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2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40E\"/>
    </mc:Choice>
  </mc:AlternateContent>
  <xr:revisionPtr revIDLastSave="1" documentId="88B0A95A02099ADEC2565C18834329E272FB26C4" xr6:coauthVersionLast="23" xr6:coauthVersionMax="23" xr10:uidLastSave="{1FC605CA-5A87-4E9E-8D92-148791BD201F}"/>
  <bookViews>
    <workbookView xWindow="-390" yWindow="-105" windowWidth="6270" windowHeight="4230" tabRatio="876" firstSheet="38" activeTab="5" xr2:uid="{00000000-000D-0000-FFFF-FFFF00000000}"/>
  </bookViews>
  <sheets>
    <sheet name="tablas caudales" sheetId="49" r:id="rId1"/>
    <sheet name="planilla caudales" sheetId="48" r:id="rId2"/>
    <sheet name="deuda" sheetId="24" r:id="rId3"/>
    <sheet name="Mensajes" sheetId="25" r:id="rId4"/>
    <sheet name="Gráficos" sheetId="26" r:id="rId5"/>
    <sheet name="Hijuelas" sheetId="27" r:id="rId6"/>
    <sheet name="1_1" sheetId="1" r:id="rId7"/>
    <sheet name="1_2" sheetId="66" r:id="rId8"/>
    <sheet name="2_1" sheetId="12" r:id="rId9"/>
    <sheet name="2_2" sheetId="28" r:id="rId10"/>
    <sheet name="3_1" sheetId="2" r:id="rId11"/>
    <sheet name="3_2" sheetId="30" r:id="rId12"/>
    <sheet name="4_1" sheetId="4" r:id="rId13"/>
    <sheet name="4_2" sheetId="31" r:id="rId14"/>
    <sheet name="5_1" sheetId="5" r:id="rId15"/>
    <sheet name="5_2" sheetId="32" r:id="rId16"/>
    <sheet name="6_1" sheetId="6" r:id="rId17"/>
    <sheet name="6_2" sheetId="33" r:id="rId18"/>
    <sheet name="7_1" sheetId="7" r:id="rId19"/>
    <sheet name="7_2" sheetId="34" r:id="rId20"/>
    <sheet name="8_1" sheetId="19" r:id="rId21"/>
    <sheet name="8_2" sheetId="35" r:id="rId22"/>
    <sheet name="9_1" sheetId="8" r:id="rId23"/>
    <sheet name="9_2" sheetId="36" r:id="rId24"/>
    <sheet name="10_1" sheetId="10" r:id="rId25"/>
    <sheet name="10_2" sheetId="37" r:id="rId26"/>
    <sheet name="11_1" sheetId="20" r:id="rId27"/>
    <sheet name="11_2" sheetId="38" r:id="rId28"/>
    <sheet name="12_1" sheetId="21" r:id="rId29"/>
    <sheet name="12_2" sheetId="39" r:id="rId30"/>
    <sheet name="Hoja1" sheetId="67" r:id="rId31"/>
    <sheet name="13_1" sheetId="9" r:id="rId32"/>
    <sheet name="13_2" sheetId="50" r:id="rId33"/>
    <sheet name="14_1" sheetId="52" r:id="rId34"/>
    <sheet name="14_2" sheetId="53" r:id="rId35"/>
    <sheet name="15_1" sheetId="55" r:id="rId36"/>
    <sheet name="15_2" sheetId="65" r:id="rId37"/>
    <sheet name="16_1" sheetId="56" r:id="rId38"/>
    <sheet name="16_2" sheetId="57" r:id="rId39"/>
    <sheet name="17_1" sheetId="58" r:id="rId40"/>
    <sheet name="17_2" sheetId="59" r:id="rId41"/>
    <sheet name="18_1" sheetId="60" r:id="rId42"/>
    <sheet name="18_2" sheetId="61" r:id="rId43"/>
    <sheet name="planilla notificacion" sheetId="3" r:id="rId44"/>
    <sheet name="mts p&quot; cupos" sheetId="22" r:id="rId45"/>
    <sheet name="Hoja2" sheetId="23" r:id="rId46"/>
    <sheet name="Hoja3" sheetId="68" r:id="rId47"/>
  </sheets>
  <externalReferences>
    <externalReference r:id="rId48"/>
  </externalReferences>
  <definedNames>
    <definedName name="_xlnm._FilterDatabase" localSheetId="10" hidden="1">'3_1'!$A$12:$T$65</definedName>
    <definedName name="_xlnm._FilterDatabase" localSheetId="2" hidden="1">deuda!$A$1:$I$833</definedName>
    <definedName name="_xlnm.Print_Area" localSheetId="6">'1_1'!$A$2:$M$61</definedName>
    <definedName name="_xlnm.Print_Area" localSheetId="7">'1_2'!$A$1:$H$374</definedName>
    <definedName name="_xlnm.Print_Area" localSheetId="24">'10_1'!$A$1:$M$31</definedName>
    <definedName name="_xlnm.Print_Area" localSheetId="25">'10_2'!$A$1:$G$238</definedName>
    <definedName name="_xlnm.Print_Area" localSheetId="26">'11_1'!$A$1:$M$44</definedName>
    <definedName name="_xlnm.Print_Area" localSheetId="27">'11_2'!$A$1:$G$459</definedName>
    <definedName name="_xlnm.Print_Area" localSheetId="28">'12_1'!$A$1:$O$93</definedName>
    <definedName name="_xlnm.Print_Area" localSheetId="29">'12_2'!$A$1:$H$272</definedName>
    <definedName name="_xlnm.Print_Area" localSheetId="31">'13_1'!$A$1:$M$39</definedName>
    <definedName name="_xlnm.Print_Area" localSheetId="32">'13_2'!$A$1:$H$289</definedName>
    <definedName name="_xlnm.Print_Area" localSheetId="33">'14_1'!$A$1:$M$25</definedName>
    <definedName name="_xlnm.Print_Area" localSheetId="34">'14_2'!$A$1:$G$187</definedName>
    <definedName name="_xlnm.Print_Area" localSheetId="35">'15_1'!$A$1:$N$38</definedName>
    <definedName name="_xlnm.Print_Area" localSheetId="36">'15_2'!$A$1:$G$119</definedName>
    <definedName name="_xlnm.Print_Area" localSheetId="37">'16_1'!$A$1:$M$58</definedName>
    <definedName name="_xlnm.Print_Area" localSheetId="38">'16_2'!$A$1:$H$527</definedName>
    <definedName name="_xlnm.Print_Area" localSheetId="39">'17_1'!$A$1:$M$20</definedName>
    <definedName name="_xlnm.Print_Area" localSheetId="40">'17_2'!$A$1:$H$85</definedName>
    <definedName name="_xlnm.Print_Area" localSheetId="41">'18_1'!$A$1:$M$50</definedName>
    <definedName name="_xlnm.Print_Area" localSheetId="42">'18_2'!$A$1:$H$323</definedName>
    <definedName name="_xlnm.Print_Area" localSheetId="8">'2_1'!$A$1:$M$19</definedName>
    <definedName name="_xlnm.Print_Area" localSheetId="9">'2_2'!$A$1:$G$67</definedName>
    <definedName name="_xlnm.Print_Area" localSheetId="10">'3_1'!$A$1:$M$67</definedName>
    <definedName name="_xlnm.Print_Area" localSheetId="11">'3_2'!$A$1:$G$544</definedName>
    <definedName name="_xlnm.Print_Area" localSheetId="12">'4_1'!$A$1:$M$63</definedName>
    <definedName name="_xlnm.Print_Area" localSheetId="13">'4_2'!$A$1:$I$239</definedName>
    <definedName name="_xlnm.Print_Area" localSheetId="14">'5_1'!$A$1:$M$27</definedName>
    <definedName name="_xlnm.Print_Area" localSheetId="15">'5_2'!$A$1:$G$136</definedName>
    <definedName name="_xlnm.Print_Area" localSheetId="16">'6_1'!$A$1:$M$25</definedName>
    <definedName name="_xlnm.Print_Area" localSheetId="17">'6_2'!$B$1:$G$102</definedName>
    <definedName name="_xlnm.Print_Area" localSheetId="18">'7_1'!$A$1:$M$41</definedName>
    <definedName name="_xlnm.Print_Area" localSheetId="19">'7_2'!$B$1:$G$272</definedName>
    <definedName name="_xlnm.Print_Area" localSheetId="20">'8_1'!$A$1:$M$27</definedName>
    <definedName name="_xlnm.Print_Area" localSheetId="21">'8_2'!$A$1:$G$238</definedName>
    <definedName name="_xlnm.Print_Area" localSheetId="22">'9_1'!$A$1:$M$51</definedName>
    <definedName name="_xlnm.Print_Area" localSheetId="23">'9_2'!$A$1:$G$391</definedName>
    <definedName name="_xlnm.Print_Area" localSheetId="5">Hijuelas!$A$2:$K$23</definedName>
    <definedName name="_xlnm.Print_Area" localSheetId="30">Hoja1!$A$1:$G$34</definedName>
    <definedName name="_xlnm.Print_Area" localSheetId="44">'mts p" cupos'!$A$1:$O$304</definedName>
    <definedName name="_xlnm.Print_Area" localSheetId="43">'planilla notificacion'!#REF!</definedName>
  </definedNames>
  <calcPr calcId="171026"/>
</workbook>
</file>

<file path=xl/calcChain.xml><?xml version="1.0" encoding="utf-8"?>
<calcChain xmlns="http://schemas.openxmlformats.org/spreadsheetml/2006/main">
  <c r="D20" i="27" l="1"/>
  <c r="C5" i="20"/>
  <c r="K13" i="20"/>
  <c r="H5" i="20"/>
  <c r="I44" i="20"/>
  <c r="H8" i="20"/>
  <c r="C10" i="20"/>
  <c r="E10" i="20"/>
  <c r="O13" i="20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P13" i="20"/>
  <c r="F13" i="20"/>
  <c r="H13" i="20"/>
  <c r="O14" i="20"/>
  <c r="P14" i="20"/>
  <c r="F14" i="20"/>
  <c r="H14" i="20"/>
  <c r="O15" i="20"/>
  <c r="P15" i="20"/>
  <c r="F15" i="20"/>
  <c r="H15" i="20"/>
  <c r="O16" i="20"/>
  <c r="P16" i="20"/>
  <c r="F16" i="20"/>
  <c r="H16" i="20"/>
  <c r="O17" i="20"/>
  <c r="P17" i="20"/>
  <c r="F17" i="20"/>
  <c r="H17" i="20"/>
  <c r="O18" i="20"/>
  <c r="P18" i="20"/>
  <c r="F18" i="20"/>
  <c r="H18" i="20"/>
  <c r="O19" i="20"/>
  <c r="P19" i="20"/>
  <c r="F19" i="20"/>
  <c r="H19" i="20"/>
  <c r="O20" i="20"/>
  <c r="P20" i="20"/>
  <c r="F20" i="20"/>
  <c r="H20" i="20"/>
  <c r="O21" i="20"/>
  <c r="P21" i="20"/>
  <c r="F21" i="20"/>
  <c r="H21" i="20"/>
  <c r="O22" i="20"/>
  <c r="P22" i="20"/>
  <c r="F22" i="20"/>
  <c r="H22" i="20"/>
  <c r="O23" i="20"/>
  <c r="P23" i="20"/>
  <c r="F23" i="20"/>
  <c r="H23" i="20"/>
  <c r="O24" i="20"/>
  <c r="P24" i="20"/>
  <c r="F24" i="20"/>
  <c r="H24" i="20"/>
  <c r="O25" i="20"/>
  <c r="P25" i="20"/>
  <c r="F25" i="20"/>
  <c r="H25" i="20"/>
  <c r="O26" i="20"/>
  <c r="P26" i="20"/>
  <c r="F26" i="20"/>
  <c r="H26" i="20"/>
  <c r="O27" i="20"/>
  <c r="P27" i="20"/>
  <c r="F27" i="20"/>
  <c r="H27" i="20"/>
  <c r="O28" i="20"/>
  <c r="P28" i="20"/>
  <c r="F28" i="20"/>
  <c r="H28" i="20"/>
  <c r="H29" i="20"/>
  <c r="O30" i="20"/>
  <c r="P30" i="20"/>
  <c r="F30" i="20"/>
  <c r="H30" i="20"/>
  <c r="O31" i="20"/>
  <c r="P31" i="20"/>
  <c r="F31" i="20"/>
  <c r="H31" i="20"/>
  <c r="O32" i="20"/>
  <c r="P32" i="20"/>
  <c r="F32" i="20"/>
  <c r="H32" i="20"/>
  <c r="O33" i="20"/>
  <c r="P33" i="20"/>
  <c r="F33" i="20"/>
  <c r="H33" i="20"/>
  <c r="O34" i="20"/>
  <c r="P34" i="20"/>
  <c r="F34" i="20"/>
  <c r="H34" i="20"/>
  <c r="O35" i="20"/>
  <c r="P35" i="20"/>
  <c r="F35" i="20"/>
  <c r="H35" i="20"/>
  <c r="O36" i="20"/>
  <c r="P36" i="20"/>
  <c r="F36" i="20"/>
  <c r="H36" i="20"/>
  <c r="O37" i="20"/>
  <c r="P37" i="20"/>
  <c r="F37" i="20"/>
  <c r="H37" i="20"/>
  <c r="O38" i="20"/>
  <c r="P38" i="20"/>
  <c r="F38" i="20"/>
  <c r="H38" i="20"/>
  <c r="O39" i="20"/>
  <c r="P39" i="20"/>
  <c r="F39" i="20"/>
  <c r="H39" i="20"/>
  <c r="O40" i="20"/>
  <c r="P40" i="20"/>
  <c r="F40" i="20"/>
  <c r="H40" i="20"/>
  <c r="O41" i="20"/>
  <c r="P41" i="20"/>
  <c r="F41" i="20"/>
  <c r="H41" i="20"/>
  <c r="O42" i="20"/>
  <c r="P42" i="20"/>
  <c r="F42" i="20"/>
  <c r="H42" i="20"/>
  <c r="O43" i="20"/>
  <c r="P43" i="20"/>
  <c r="F43" i="20"/>
  <c r="H43" i="20"/>
  <c r="H44" i="20"/>
  <c r="G10" i="20"/>
  <c r="I10" i="20"/>
  <c r="J13" i="20"/>
  <c r="L13" i="20"/>
  <c r="K14" i="20"/>
  <c r="J14" i="20"/>
  <c r="L14" i="20"/>
  <c r="K15" i="20"/>
  <c r="J15" i="20"/>
  <c r="L15" i="20"/>
  <c r="K16" i="20"/>
  <c r="J16" i="20"/>
  <c r="L16" i="20"/>
  <c r="K17" i="20"/>
  <c r="J17" i="20"/>
  <c r="L17" i="20"/>
  <c r="K18" i="20"/>
  <c r="J18" i="20"/>
  <c r="L18" i="20"/>
  <c r="K19" i="20"/>
  <c r="J19" i="20"/>
  <c r="L19" i="20"/>
  <c r="K20" i="20"/>
  <c r="J20" i="20"/>
  <c r="L20" i="20"/>
  <c r="K21" i="20"/>
  <c r="J21" i="20"/>
  <c r="L21" i="20"/>
  <c r="K22" i="20"/>
  <c r="J22" i="20"/>
  <c r="L22" i="20"/>
  <c r="K23" i="20"/>
  <c r="J23" i="20"/>
  <c r="L23" i="20"/>
  <c r="K24" i="20"/>
  <c r="J24" i="20"/>
  <c r="L24" i="20"/>
  <c r="K25" i="20"/>
  <c r="J25" i="20"/>
  <c r="L25" i="20"/>
  <c r="K26" i="20"/>
  <c r="J26" i="20"/>
  <c r="L26" i="20"/>
  <c r="K27" i="20"/>
  <c r="J27" i="20"/>
  <c r="L27" i="20"/>
  <c r="K28" i="20"/>
  <c r="J28" i="20"/>
  <c r="L28" i="20"/>
  <c r="K29" i="20"/>
  <c r="J29" i="20"/>
  <c r="L29" i="20"/>
  <c r="K30" i="20"/>
  <c r="J30" i="20"/>
  <c r="L30" i="20"/>
  <c r="K31" i="20"/>
  <c r="J31" i="20"/>
  <c r="L31" i="20"/>
  <c r="K32" i="20"/>
  <c r="J32" i="20"/>
  <c r="L32" i="20"/>
  <c r="K33" i="20"/>
  <c r="J33" i="20"/>
  <c r="L33" i="20"/>
  <c r="K34" i="20"/>
  <c r="J34" i="20"/>
  <c r="L34" i="20"/>
  <c r="K35" i="20"/>
  <c r="J35" i="20"/>
  <c r="L35" i="20"/>
  <c r="K36" i="20"/>
  <c r="J36" i="20"/>
  <c r="L36" i="20"/>
  <c r="K37" i="20"/>
  <c r="J37" i="20"/>
  <c r="L37" i="20"/>
  <c r="K38" i="20"/>
  <c r="J38" i="20"/>
  <c r="L38" i="20"/>
  <c r="K39" i="20"/>
  <c r="J39" i="20"/>
  <c r="L39" i="20"/>
  <c r="K40" i="20"/>
  <c r="J40" i="20"/>
  <c r="L40" i="20"/>
  <c r="K41" i="20"/>
  <c r="J41" i="20"/>
  <c r="L41" i="20"/>
  <c r="K42" i="20"/>
  <c r="J42" i="20"/>
  <c r="L42" i="20"/>
  <c r="K43" i="20"/>
  <c r="J43" i="20"/>
  <c r="L43" i="20"/>
  <c r="E44" i="20"/>
  <c r="J44" i="20"/>
  <c r="D21" i="27"/>
  <c r="C74" i="21"/>
  <c r="L83" i="21"/>
  <c r="P83" i="21"/>
  <c r="Q83" i="21"/>
  <c r="F83" i="21"/>
  <c r="H83" i="21"/>
  <c r="H74" i="21"/>
  <c r="J91" i="21"/>
  <c r="H77" i="21"/>
  <c r="C78" i="21"/>
  <c r="E78" i="21"/>
  <c r="P84" i="21"/>
  <c r="Q84" i="21"/>
  <c r="F84" i="21"/>
  <c r="H84" i="21"/>
  <c r="P85" i="21"/>
  <c r="Q85" i="21"/>
  <c r="F85" i="21"/>
  <c r="H85" i="21"/>
  <c r="P86" i="21"/>
  <c r="Q86" i="21"/>
  <c r="F86" i="21"/>
  <c r="H86" i="21"/>
  <c r="P87" i="21"/>
  <c r="Q87" i="21"/>
  <c r="F87" i="21"/>
  <c r="H87" i="21"/>
  <c r="P88" i="21"/>
  <c r="Q88" i="21"/>
  <c r="F88" i="21"/>
  <c r="H88" i="21"/>
  <c r="P89" i="21"/>
  <c r="Q89" i="21"/>
  <c r="F89" i="21"/>
  <c r="H89" i="21"/>
  <c r="H90" i="21"/>
  <c r="H91" i="21"/>
  <c r="G78" i="21"/>
  <c r="I78" i="21"/>
  <c r="I83" i="21"/>
  <c r="K83" i="21"/>
  <c r="M83" i="21"/>
  <c r="L84" i="21"/>
  <c r="I84" i="21"/>
  <c r="K84" i="21"/>
  <c r="M84" i="21"/>
  <c r="L85" i="21"/>
  <c r="I85" i="21"/>
  <c r="K85" i="21"/>
  <c r="M85" i="21"/>
  <c r="C3" i="56"/>
  <c r="K55" i="56"/>
  <c r="H3" i="56"/>
  <c r="O18" i="56"/>
  <c r="P18" i="56"/>
  <c r="F18" i="56"/>
  <c r="H18" i="56"/>
  <c r="I18" i="56"/>
  <c r="I56" i="56"/>
  <c r="H5" i="56"/>
  <c r="C7" i="56"/>
  <c r="E7" i="56"/>
  <c r="O10" i="56"/>
  <c r="P10" i="56"/>
  <c r="F10" i="56"/>
  <c r="H10" i="56"/>
  <c r="O11" i="56"/>
  <c r="P11" i="56"/>
  <c r="F11" i="56"/>
  <c r="H11" i="56"/>
  <c r="O12" i="56"/>
  <c r="P12" i="56"/>
  <c r="F12" i="56"/>
  <c r="H12" i="56"/>
  <c r="O13" i="56"/>
  <c r="P13" i="56"/>
  <c r="F13" i="56"/>
  <c r="H13" i="56"/>
  <c r="O14" i="56"/>
  <c r="P14" i="56"/>
  <c r="F14" i="56"/>
  <c r="H14" i="56"/>
  <c r="H15" i="56"/>
  <c r="O16" i="56"/>
  <c r="P16" i="56"/>
  <c r="F16" i="56"/>
  <c r="H16" i="56"/>
  <c r="O17" i="56"/>
  <c r="P17" i="56"/>
  <c r="F17" i="56"/>
  <c r="H17" i="56"/>
  <c r="O19" i="56"/>
  <c r="P19" i="56"/>
  <c r="F19" i="56"/>
  <c r="H19" i="56"/>
  <c r="O20" i="56"/>
  <c r="P20" i="56"/>
  <c r="F20" i="56"/>
  <c r="H20" i="56"/>
  <c r="O21" i="56"/>
  <c r="P21" i="56"/>
  <c r="F21" i="56"/>
  <c r="H21" i="56"/>
  <c r="O22" i="56"/>
  <c r="P22" i="56"/>
  <c r="F22" i="56"/>
  <c r="H22" i="56"/>
  <c r="O23" i="56"/>
  <c r="P23" i="56"/>
  <c r="F23" i="56"/>
  <c r="H23" i="56"/>
  <c r="O24" i="56"/>
  <c r="P24" i="56"/>
  <c r="F24" i="56"/>
  <c r="H24" i="56"/>
  <c r="O25" i="56"/>
  <c r="P25" i="56"/>
  <c r="F25" i="56"/>
  <c r="H25" i="56"/>
  <c r="O26" i="56"/>
  <c r="P26" i="56"/>
  <c r="F26" i="56"/>
  <c r="H26" i="56"/>
  <c r="O27" i="56"/>
  <c r="P27" i="56"/>
  <c r="F27" i="56"/>
  <c r="H27" i="56"/>
  <c r="O28" i="56"/>
  <c r="P28" i="56"/>
  <c r="F28" i="56"/>
  <c r="H28" i="56"/>
  <c r="O29" i="56"/>
  <c r="P29" i="56"/>
  <c r="F29" i="56"/>
  <c r="H29" i="56"/>
  <c r="O30" i="56"/>
  <c r="P30" i="56"/>
  <c r="F30" i="56"/>
  <c r="H30" i="56"/>
  <c r="O31" i="56"/>
  <c r="P31" i="56"/>
  <c r="F31" i="56"/>
  <c r="H31" i="56"/>
  <c r="O32" i="56"/>
  <c r="P32" i="56"/>
  <c r="F32" i="56"/>
  <c r="H32" i="56"/>
  <c r="O33" i="56"/>
  <c r="P33" i="56"/>
  <c r="F33" i="56"/>
  <c r="H33" i="56"/>
  <c r="O34" i="56"/>
  <c r="P34" i="56"/>
  <c r="F34" i="56"/>
  <c r="H34" i="56"/>
  <c r="O35" i="56"/>
  <c r="P35" i="56"/>
  <c r="F35" i="56"/>
  <c r="H35" i="56"/>
  <c r="O36" i="56"/>
  <c r="P36" i="56"/>
  <c r="F36" i="56"/>
  <c r="H36" i="56"/>
  <c r="O37" i="56"/>
  <c r="P37" i="56"/>
  <c r="F37" i="56"/>
  <c r="H37" i="56"/>
  <c r="O38" i="56"/>
  <c r="P38" i="56"/>
  <c r="F38" i="56"/>
  <c r="H38" i="56"/>
  <c r="O39" i="56"/>
  <c r="P39" i="56"/>
  <c r="F39" i="56"/>
  <c r="H39" i="56"/>
  <c r="O40" i="56"/>
  <c r="P40" i="56"/>
  <c r="F40" i="56"/>
  <c r="H40" i="56"/>
  <c r="O41" i="56"/>
  <c r="P41" i="56"/>
  <c r="F41" i="56"/>
  <c r="H41" i="56"/>
  <c r="O42" i="56"/>
  <c r="P42" i="56"/>
  <c r="F42" i="56"/>
  <c r="H42" i="56"/>
  <c r="O43" i="56"/>
  <c r="P43" i="56"/>
  <c r="F43" i="56"/>
  <c r="H43" i="56"/>
  <c r="O44" i="56"/>
  <c r="P44" i="56"/>
  <c r="F44" i="56"/>
  <c r="H44" i="56"/>
  <c r="O45" i="56"/>
  <c r="P45" i="56"/>
  <c r="F45" i="56"/>
  <c r="H45" i="56"/>
  <c r="O46" i="56"/>
  <c r="P46" i="56"/>
  <c r="F46" i="56"/>
  <c r="H46" i="56"/>
  <c r="O47" i="56"/>
  <c r="P47" i="56"/>
  <c r="F47" i="56"/>
  <c r="H47" i="56"/>
  <c r="O48" i="56"/>
  <c r="P48" i="56"/>
  <c r="F48" i="56"/>
  <c r="H48" i="56"/>
  <c r="O49" i="56"/>
  <c r="P49" i="56"/>
  <c r="F49" i="56"/>
  <c r="H49" i="56"/>
  <c r="O50" i="56"/>
  <c r="P50" i="56"/>
  <c r="F50" i="56"/>
  <c r="H50" i="56"/>
  <c r="O51" i="56"/>
  <c r="P51" i="56"/>
  <c r="F51" i="56"/>
  <c r="H51" i="56"/>
  <c r="O52" i="56"/>
  <c r="P52" i="56"/>
  <c r="F52" i="56"/>
  <c r="H52" i="56"/>
  <c r="O53" i="56"/>
  <c r="P53" i="56"/>
  <c r="F53" i="56"/>
  <c r="H53" i="56"/>
  <c r="O54" i="56"/>
  <c r="P54" i="56"/>
  <c r="F54" i="56"/>
  <c r="H54" i="56"/>
  <c r="O55" i="56"/>
  <c r="P55" i="56"/>
  <c r="F55" i="56"/>
  <c r="H55" i="56"/>
  <c r="H56" i="56"/>
  <c r="G7" i="56"/>
  <c r="I7" i="56"/>
  <c r="J55" i="56"/>
  <c r="L55" i="56"/>
  <c r="K54" i="56"/>
  <c r="J54" i="56"/>
  <c r="L54" i="56"/>
  <c r="K53" i="56"/>
  <c r="J53" i="56"/>
  <c r="L53" i="56"/>
  <c r="K52" i="56"/>
  <c r="J52" i="56"/>
  <c r="L52" i="56"/>
  <c r="K51" i="56"/>
  <c r="J51" i="56"/>
  <c r="L51" i="56"/>
  <c r="K50" i="56"/>
  <c r="J50" i="56"/>
  <c r="L50" i="56"/>
  <c r="K49" i="56"/>
  <c r="J49" i="56"/>
  <c r="L49" i="56"/>
  <c r="K48" i="56"/>
  <c r="J48" i="56"/>
  <c r="L48" i="56"/>
  <c r="K47" i="56"/>
  <c r="J47" i="56"/>
  <c r="L47" i="56"/>
  <c r="K46" i="56"/>
  <c r="J46" i="56"/>
  <c r="L46" i="56"/>
  <c r="K45" i="56"/>
  <c r="J45" i="56"/>
  <c r="L45" i="56"/>
  <c r="K44" i="56"/>
  <c r="J44" i="56"/>
  <c r="L44" i="56"/>
  <c r="K43" i="56"/>
  <c r="J43" i="56"/>
  <c r="L43" i="56"/>
  <c r="K42" i="56"/>
  <c r="J42" i="56"/>
  <c r="L42" i="56"/>
  <c r="K41" i="56"/>
  <c r="J41" i="56"/>
  <c r="L41" i="56"/>
  <c r="K40" i="56"/>
  <c r="J40" i="56"/>
  <c r="L40" i="56"/>
  <c r="K39" i="56"/>
  <c r="J39" i="56"/>
  <c r="L39" i="56"/>
  <c r="K38" i="56"/>
  <c r="J38" i="56"/>
  <c r="L38" i="56"/>
  <c r="K37" i="56"/>
  <c r="J37" i="56"/>
  <c r="L37" i="56"/>
  <c r="K36" i="56"/>
  <c r="J36" i="56"/>
  <c r="L36" i="56"/>
  <c r="K35" i="56"/>
  <c r="J35" i="56"/>
  <c r="L35" i="56"/>
  <c r="K34" i="56"/>
  <c r="J34" i="56"/>
  <c r="L34" i="56"/>
  <c r="K33" i="56"/>
  <c r="J33" i="56"/>
  <c r="L33" i="56"/>
  <c r="K32" i="56"/>
  <c r="J32" i="56"/>
  <c r="L32" i="56"/>
  <c r="K31" i="56"/>
  <c r="J31" i="56"/>
  <c r="L31" i="56"/>
  <c r="K30" i="56"/>
  <c r="J30" i="56"/>
  <c r="L30" i="56"/>
  <c r="K29" i="56"/>
  <c r="J29" i="56"/>
  <c r="L29" i="56"/>
  <c r="K28" i="56"/>
  <c r="J28" i="56"/>
  <c r="L28" i="56"/>
  <c r="K27" i="56"/>
  <c r="J27" i="56"/>
  <c r="L27" i="56"/>
  <c r="K26" i="56"/>
  <c r="J26" i="56"/>
  <c r="L26" i="56"/>
  <c r="K25" i="56"/>
  <c r="J25" i="56"/>
  <c r="L25" i="56"/>
  <c r="K24" i="56"/>
  <c r="J24" i="56"/>
  <c r="L24" i="56"/>
  <c r="K23" i="56"/>
  <c r="J23" i="56"/>
  <c r="L23" i="56"/>
  <c r="K22" i="56"/>
  <c r="J22" i="56"/>
  <c r="L22" i="56"/>
  <c r="K21" i="56"/>
  <c r="J21" i="56"/>
  <c r="L21" i="56"/>
  <c r="K20" i="56"/>
  <c r="J20" i="56"/>
  <c r="L20" i="56"/>
  <c r="K19" i="56"/>
  <c r="J19" i="56"/>
  <c r="L19" i="56"/>
  <c r="K18" i="56"/>
  <c r="J18" i="56"/>
  <c r="L18" i="56"/>
  <c r="K17" i="56"/>
  <c r="J17" i="56"/>
  <c r="L17" i="56"/>
  <c r="K16" i="56"/>
  <c r="J16" i="56"/>
  <c r="L16" i="56"/>
  <c r="K15" i="56"/>
  <c r="J15" i="56"/>
  <c r="L15" i="56"/>
  <c r="K14" i="56"/>
  <c r="J14" i="56"/>
  <c r="L14" i="56"/>
  <c r="K13" i="56"/>
  <c r="J13" i="56"/>
  <c r="L13" i="56"/>
  <c r="K12" i="56"/>
  <c r="J12" i="56"/>
  <c r="L12" i="56"/>
  <c r="K11" i="56"/>
  <c r="J11" i="56"/>
  <c r="L11" i="56"/>
  <c r="K10" i="56"/>
  <c r="J10" i="56"/>
  <c r="L10" i="56"/>
  <c r="O13" i="2"/>
  <c r="P13" i="2"/>
  <c r="F13" i="2"/>
  <c r="H13" i="2"/>
  <c r="H14" i="2"/>
  <c r="O15" i="2"/>
  <c r="P15" i="2"/>
  <c r="F15" i="2"/>
  <c r="H15" i="2"/>
  <c r="O16" i="2"/>
  <c r="P16" i="2"/>
  <c r="F16" i="2"/>
  <c r="H16" i="2"/>
  <c r="O17" i="2"/>
  <c r="P17" i="2"/>
  <c r="F17" i="2"/>
  <c r="H17" i="2"/>
  <c r="O18" i="2"/>
  <c r="P18" i="2"/>
  <c r="F18" i="2"/>
  <c r="H18" i="2"/>
  <c r="O19" i="2"/>
  <c r="P19" i="2"/>
  <c r="F19" i="2"/>
  <c r="H19" i="2"/>
  <c r="O20" i="2"/>
  <c r="P20" i="2"/>
  <c r="F20" i="2"/>
  <c r="H20" i="2"/>
  <c r="O21" i="2"/>
  <c r="P21" i="2"/>
  <c r="F21" i="2"/>
  <c r="H21" i="2"/>
  <c r="O22" i="2"/>
  <c r="P22" i="2"/>
  <c r="F22" i="2"/>
  <c r="H22" i="2"/>
  <c r="O23" i="2"/>
  <c r="P23" i="2"/>
  <c r="F23" i="2"/>
  <c r="H23" i="2"/>
  <c r="O24" i="2"/>
  <c r="P24" i="2"/>
  <c r="F24" i="2"/>
  <c r="H24" i="2"/>
  <c r="O25" i="2"/>
  <c r="P25" i="2"/>
  <c r="F25" i="2"/>
  <c r="H25" i="2"/>
  <c r="O26" i="2"/>
  <c r="P26" i="2"/>
  <c r="F26" i="2"/>
  <c r="H26" i="2"/>
  <c r="O27" i="2"/>
  <c r="P27" i="2"/>
  <c r="F27" i="2"/>
  <c r="H27" i="2"/>
  <c r="O28" i="2"/>
  <c r="P28" i="2"/>
  <c r="F28" i="2"/>
  <c r="H28" i="2"/>
  <c r="H29" i="2"/>
  <c r="O30" i="2"/>
  <c r="P30" i="2"/>
  <c r="F30" i="2"/>
  <c r="H30" i="2"/>
  <c r="O31" i="2"/>
  <c r="P31" i="2"/>
  <c r="F31" i="2"/>
  <c r="H31" i="2"/>
  <c r="O32" i="2"/>
  <c r="P32" i="2"/>
  <c r="F32" i="2"/>
  <c r="H32" i="2"/>
  <c r="O33" i="2"/>
  <c r="P33" i="2"/>
  <c r="F33" i="2"/>
  <c r="H33" i="2"/>
  <c r="O34" i="2"/>
  <c r="P34" i="2"/>
  <c r="F34" i="2"/>
  <c r="H34" i="2"/>
  <c r="O35" i="2"/>
  <c r="P35" i="2"/>
  <c r="F35" i="2"/>
  <c r="H35" i="2"/>
  <c r="H36" i="2"/>
  <c r="O37" i="2"/>
  <c r="P37" i="2"/>
  <c r="F37" i="2"/>
  <c r="H37" i="2"/>
  <c r="O38" i="2"/>
  <c r="P38" i="2"/>
  <c r="F38" i="2"/>
  <c r="H38" i="2"/>
  <c r="O39" i="2"/>
  <c r="P39" i="2"/>
  <c r="F39" i="2"/>
  <c r="H39" i="2"/>
  <c r="O40" i="2"/>
  <c r="P40" i="2"/>
  <c r="F40" i="2"/>
  <c r="H40" i="2"/>
  <c r="O41" i="2"/>
  <c r="P41" i="2"/>
  <c r="F41" i="2"/>
  <c r="H41" i="2"/>
  <c r="O42" i="2"/>
  <c r="P42" i="2"/>
  <c r="F42" i="2"/>
  <c r="H42" i="2"/>
  <c r="O43" i="2"/>
  <c r="P43" i="2"/>
  <c r="F43" i="2"/>
  <c r="H43" i="2"/>
  <c r="O44" i="2"/>
  <c r="P44" i="2"/>
  <c r="F44" i="2"/>
  <c r="H44" i="2"/>
  <c r="O45" i="2"/>
  <c r="P45" i="2"/>
  <c r="F45" i="2"/>
  <c r="H45" i="2"/>
  <c r="O46" i="2"/>
  <c r="P46" i="2"/>
  <c r="F46" i="2"/>
  <c r="H46" i="2"/>
  <c r="O47" i="2"/>
  <c r="P47" i="2"/>
  <c r="F47" i="2"/>
  <c r="H47" i="2"/>
  <c r="O48" i="2"/>
  <c r="P48" i="2"/>
  <c r="F48" i="2"/>
  <c r="H48" i="2"/>
  <c r="O49" i="2"/>
  <c r="P49" i="2"/>
  <c r="F49" i="2"/>
  <c r="H49" i="2"/>
  <c r="O50" i="2"/>
  <c r="P50" i="2"/>
  <c r="F50" i="2"/>
  <c r="H50" i="2"/>
  <c r="O51" i="2"/>
  <c r="P51" i="2"/>
  <c r="F51" i="2"/>
  <c r="H51" i="2"/>
  <c r="O52" i="2"/>
  <c r="P52" i="2"/>
  <c r="F52" i="2"/>
  <c r="H52" i="2"/>
  <c r="O53" i="2"/>
  <c r="P53" i="2"/>
  <c r="F53" i="2"/>
  <c r="H53" i="2"/>
  <c r="O54" i="2"/>
  <c r="P54" i="2"/>
  <c r="F54" i="2"/>
  <c r="H54" i="2"/>
  <c r="O55" i="2"/>
  <c r="P55" i="2"/>
  <c r="F55" i="2"/>
  <c r="H55" i="2"/>
  <c r="O56" i="2"/>
  <c r="P56" i="2"/>
  <c r="F56" i="2"/>
  <c r="H56" i="2"/>
  <c r="O57" i="2"/>
  <c r="P57" i="2"/>
  <c r="F57" i="2"/>
  <c r="H57" i="2"/>
  <c r="O58" i="2"/>
  <c r="P58" i="2"/>
  <c r="F58" i="2"/>
  <c r="H58" i="2"/>
  <c r="O59" i="2"/>
  <c r="P59" i="2"/>
  <c r="F59" i="2"/>
  <c r="H59" i="2"/>
  <c r="O60" i="2"/>
  <c r="P60" i="2"/>
  <c r="F60" i="2"/>
  <c r="H60" i="2"/>
  <c r="O61" i="2"/>
  <c r="P61" i="2"/>
  <c r="F61" i="2"/>
  <c r="H61" i="2"/>
  <c r="O62" i="2"/>
  <c r="P62" i="2"/>
  <c r="F62" i="2"/>
  <c r="H62" i="2"/>
  <c r="O63" i="2"/>
  <c r="P63" i="2"/>
  <c r="F63" i="2"/>
  <c r="H63" i="2"/>
  <c r="O64" i="2"/>
  <c r="P64" i="2"/>
  <c r="F64" i="2"/>
  <c r="H64" i="2"/>
  <c r="O65" i="2"/>
  <c r="P65" i="2"/>
  <c r="F65" i="2"/>
  <c r="H65" i="2"/>
  <c r="H66" i="2"/>
  <c r="E66" i="2"/>
  <c r="H6" i="4"/>
  <c r="I63" i="4"/>
  <c r="H9" i="4"/>
  <c r="C10" i="4"/>
  <c r="E10" i="4"/>
  <c r="O13" i="4"/>
  <c r="P13" i="4"/>
  <c r="F13" i="4"/>
  <c r="H13" i="4"/>
  <c r="O14" i="4"/>
  <c r="P14" i="4"/>
  <c r="F14" i="4"/>
  <c r="H14" i="4"/>
  <c r="O15" i="4"/>
  <c r="P15" i="4"/>
  <c r="F15" i="4"/>
  <c r="H15" i="4"/>
  <c r="H16" i="4"/>
  <c r="H17" i="4"/>
  <c r="O18" i="4"/>
  <c r="P18" i="4"/>
  <c r="F18" i="4"/>
  <c r="H18" i="4"/>
  <c r="O19" i="4"/>
  <c r="P19" i="4"/>
  <c r="F19" i="4"/>
  <c r="H19" i="4"/>
  <c r="O20" i="4"/>
  <c r="P20" i="4"/>
  <c r="F20" i="4"/>
  <c r="H20" i="4"/>
  <c r="O21" i="4"/>
  <c r="P21" i="4"/>
  <c r="F21" i="4"/>
  <c r="H21" i="4"/>
  <c r="O22" i="4"/>
  <c r="P22" i="4"/>
  <c r="F22" i="4"/>
  <c r="H22" i="4"/>
  <c r="H23" i="4"/>
  <c r="H24" i="4"/>
  <c r="H25" i="4"/>
  <c r="H26" i="4"/>
  <c r="H27" i="4"/>
  <c r="O28" i="4"/>
  <c r="P28" i="4"/>
  <c r="F28" i="4"/>
  <c r="H28" i="4"/>
  <c r="O29" i="4"/>
  <c r="P29" i="4"/>
  <c r="F29" i="4"/>
  <c r="H29" i="4"/>
  <c r="O30" i="4"/>
  <c r="P30" i="4"/>
  <c r="F30" i="4"/>
  <c r="H30" i="4"/>
  <c r="O31" i="4"/>
  <c r="P31" i="4"/>
  <c r="F31" i="4"/>
  <c r="H31" i="4"/>
  <c r="O32" i="4"/>
  <c r="P32" i="4"/>
  <c r="F32" i="4"/>
  <c r="H32" i="4"/>
  <c r="O33" i="4"/>
  <c r="P33" i="4"/>
  <c r="F33" i="4"/>
  <c r="H33" i="4"/>
  <c r="O34" i="4"/>
  <c r="P34" i="4"/>
  <c r="F34" i="4"/>
  <c r="H34" i="4"/>
  <c r="O35" i="4"/>
  <c r="P35" i="4"/>
  <c r="F35" i="4"/>
  <c r="H35" i="4"/>
  <c r="O36" i="4"/>
  <c r="P36" i="4"/>
  <c r="F36" i="4"/>
  <c r="H36" i="4"/>
  <c r="O37" i="4"/>
  <c r="P37" i="4"/>
  <c r="F37" i="4"/>
  <c r="H37" i="4"/>
  <c r="O38" i="4"/>
  <c r="P38" i="4"/>
  <c r="F38" i="4"/>
  <c r="H38" i="4"/>
  <c r="O39" i="4"/>
  <c r="P39" i="4"/>
  <c r="F39" i="4"/>
  <c r="H39" i="4"/>
  <c r="O40" i="4"/>
  <c r="P40" i="4"/>
  <c r="F40" i="4"/>
  <c r="H40" i="4"/>
  <c r="O41" i="4"/>
  <c r="P41" i="4"/>
  <c r="F41" i="4"/>
  <c r="H41" i="4"/>
  <c r="O42" i="4"/>
  <c r="P42" i="4"/>
  <c r="F42" i="4"/>
  <c r="H42" i="4"/>
  <c r="O43" i="4"/>
  <c r="P43" i="4"/>
  <c r="F43" i="4"/>
  <c r="H43" i="4"/>
  <c r="O44" i="4"/>
  <c r="P44" i="4"/>
  <c r="F44" i="4"/>
  <c r="H44" i="4"/>
  <c r="O45" i="4"/>
  <c r="P45" i="4"/>
  <c r="F45" i="4"/>
  <c r="H45" i="4"/>
  <c r="O46" i="4"/>
  <c r="P46" i="4"/>
  <c r="F46" i="4"/>
  <c r="H46" i="4"/>
  <c r="O47" i="4"/>
  <c r="P47" i="4"/>
  <c r="F47" i="4"/>
  <c r="H47" i="4"/>
  <c r="O48" i="4"/>
  <c r="P48" i="4"/>
  <c r="F48" i="4"/>
  <c r="H48" i="4"/>
  <c r="O49" i="4"/>
  <c r="P49" i="4"/>
  <c r="F49" i="4"/>
  <c r="H49" i="4"/>
  <c r="O50" i="4"/>
  <c r="P50" i="4"/>
  <c r="F50" i="4"/>
  <c r="H50" i="4"/>
  <c r="O51" i="4"/>
  <c r="P51" i="4"/>
  <c r="F51" i="4"/>
  <c r="H51" i="4"/>
  <c r="O52" i="4"/>
  <c r="P52" i="4"/>
  <c r="F52" i="4"/>
  <c r="H52" i="4"/>
  <c r="O53" i="4"/>
  <c r="P53" i="4"/>
  <c r="F53" i="4"/>
  <c r="H53" i="4"/>
  <c r="O54" i="4"/>
  <c r="P54" i="4"/>
  <c r="F54" i="4"/>
  <c r="H54" i="4"/>
  <c r="O55" i="4"/>
  <c r="P55" i="4"/>
  <c r="F55" i="4"/>
  <c r="H55" i="4"/>
  <c r="O56" i="4"/>
  <c r="P56" i="4"/>
  <c r="F56" i="4"/>
  <c r="H56" i="4"/>
  <c r="O57" i="4"/>
  <c r="P57" i="4"/>
  <c r="F57" i="4"/>
  <c r="H57" i="4"/>
  <c r="O58" i="4"/>
  <c r="P58" i="4"/>
  <c r="F58" i="4"/>
  <c r="H58" i="4"/>
  <c r="O59" i="4"/>
  <c r="P59" i="4"/>
  <c r="F59" i="4"/>
  <c r="H59" i="4"/>
  <c r="O60" i="4"/>
  <c r="P60" i="4"/>
  <c r="F60" i="4"/>
  <c r="H60" i="4"/>
  <c r="O61" i="4"/>
  <c r="P61" i="4"/>
  <c r="F61" i="4"/>
  <c r="H61" i="4"/>
  <c r="O62" i="4"/>
  <c r="P62" i="4"/>
  <c r="F62" i="4"/>
  <c r="H62" i="4"/>
  <c r="H63" i="4"/>
  <c r="G10" i="4"/>
  <c r="I10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13" i="27"/>
  <c r="C6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O14" i="52"/>
  <c r="P14" i="52"/>
  <c r="F14" i="52"/>
  <c r="H14" i="52"/>
  <c r="O15" i="52"/>
  <c r="P15" i="52"/>
  <c r="F15" i="52"/>
  <c r="H15" i="52"/>
  <c r="O16" i="52"/>
  <c r="P16" i="52"/>
  <c r="F16" i="52"/>
  <c r="H16" i="52"/>
  <c r="O17" i="52"/>
  <c r="P17" i="52"/>
  <c r="F17" i="52"/>
  <c r="H17" i="52"/>
  <c r="O19" i="52"/>
  <c r="P19" i="52"/>
  <c r="F19" i="52"/>
  <c r="H19" i="52"/>
  <c r="O20" i="52"/>
  <c r="P20" i="52"/>
  <c r="F20" i="52"/>
  <c r="H20" i="52"/>
  <c r="O21" i="52"/>
  <c r="P21" i="52"/>
  <c r="F21" i="52"/>
  <c r="H21" i="52"/>
  <c r="O22" i="52"/>
  <c r="P22" i="52"/>
  <c r="F22" i="52"/>
  <c r="H22" i="52"/>
  <c r="O23" i="52"/>
  <c r="P23" i="52"/>
  <c r="F23" i="52"/>
  <c r="H23" i="52"/>
  <c r="O24" i="52"/>
  <c r="P24" i="52"/>
  <c r="F24" i="52"/>
  <c r="H24" i="52"/>
  <c r="H25" i="52"/>
  <c r="H5" i="52"/>
  <c r="I25" i="52"/>
  <c r="H8" i="52"/>
  <c r="C9" i="52"/>
  <c r="E9" i="52"/>
  <c r="G9" i="52"/>
  <c r="I9" i="52"/>
  <c r="J13" i="52"/>
  <c r="J14" i="52"/>
  <c r="J15" i="52"/>
  <c r="J16" i="52"/>
  <c r="J17" i="52"/>
  <c r="J18" i="52"/>
  <c r="J19" i="52"/>
  <c r="J20" i="52"/>
  <c r="J21" i="52"/>
  <c r="J22" i="52"/>
  <c r="J23" i="52"/>
  <c r="J24" i="52"/>
  <c r="J25" i="52"/>
  <c r="D22" i="27"/>
  <c r="D23" i="27"/>
  <c r="C5" i="52"/>
  <c r="K13" i="52"/>
  <c r="L13" i="52"/>
  <c r="K14" i="52"/>
  <c r="L14" i="52"/>
  <c r="K15" i="52"/>
  <c r="L15" i="52"/>
  <c r="K16" i="52"/>
  <c r="L16" i="52"/>
  <c r="K17" i="52"/>
  <c r="L17" i="52"/>
  <c r="K18" i="52"/>
  <c r="L18" i="52"/>
  <c r="K19" i="52"/>
  <c r="L19" i="52"/>
  <c r="K20" i="52"/>
  <c r="L20" i="52"/>
  <c r="K21" i="52"/>
  <c r="L21" i="52"/>
  <c r="K22" i="52"/>
  <c r="L22" i="52"/>
  <c r="K23" i="52"/>
  <c r="L23" i="52"/>
  <c r="K24" i="52"/>
  <c r="L24" i="52"/>
  <c r="E39" i="9"/>
  <c r="H5" i="9"/>
  <c r="C10" i="9"/>
  <c r="F10" i="9"/>
  <c r="H13" i="9"/>
  <c r="O14" i="9"/>
  <c r="P14" i="9"/>
  <c r="F14" i="9"/>
  <c r="H14" i="9"/>
  <c r="O15" i="9"/>
  <c r="P15" i="9"/>
  <c r="F15" i="9"/>
  <c r="H15" i="9"/>
  <c r="O16" i="9"/>
  <c r="P16" i="9"/>
  <c r="F16" i="9"/>
  <c r="H16" i="9"/>
  <c r="O17" i="9"/>
  <c r="P17" i="9"/>
  <c r="F17" i="9"/>
  <c r="H17" i="9"/>
  <c r="O18" i="9"/>
  <c r="P18" i="9"/>
  <c r="F18" i="9"/>
  <c r="H18" i="9"/>
  <c r="O19" i="9"/>
  <c r="P19" i="9"/>
  <c r="F19" i="9"/>
  <c r="H19" i="9"/>
  <c r="O20" i="9"/>
  <c r="P20" i="9"/>
  <c r="F20" i="9"/>
  <c r="H20" i="9"/>
  <c r="O21" i="9"/>
  <c r="P21" i="9"/>
  <c r="F21" i="9"/>
  <c r="H21" i="9"/>
  <c r="H22" i="9"/>
  <c r="O23" i="9"/>
  <c r="P23" i="9"/>
  <c r="F23" i="9"/>
  <c r="H23" i="9"/>
  <c r="H24" i="9"/>
  <c r="O25" i="9"/>
  <c r="P25" i="9"/>
  <c r="F25" i="9"/>
  <c r="H25" i="9"/>
  <c r="O26" i="9"/>
  <c r="P26" i="9"/>
  <c r="F26" i="9"/>
  <c r="H26" i="9"/>
  <c r="O27" i="9"/>
  <c r="P27" i="9"/>
  <c r="F27" i="9"/>
  <c r="H27" i="9"/>
  <c r="O28" i="9"/>
  <c r="P28" i="9"/>
  <c r="F28" i="9"/>
  <c r="H28" i="9"/>
  <c r="O29" i="9"/>
  <c r="P29" i="9"/>
  <c r="F29" i="9"/>
  <c r="H29" i="9"/>
  <c r="O30" i="9"/>
  <c r="P30" i="9"/>
  <c r="F30" i="9"/>
  <c r="H30" i="9"/>
  <c r="O31" i="9"/>
  <c r="P31" i="9"/>
  <c r="F31" i="9"/>
  <c r="H31" i="9"/>
  <c r="O32" i="9"/>
  <c r="P32" i="9"/>
  <c r="F32" i="9"/>
  <c r="H32" i="9"/>
  <c r="O33" i="9"/>
  <c r="P33" i="9"/>
  <c r="F33" i="9"/>
  <c r="H33" i="9"/>
  <c r="O34" i="9"/>
  <c r="P34" i="9"/>
  <c r="F34" i="9"/>
  <c r="H34" i="9"/>
  <c r="O35" i="9"/>
  <c r="P35" i="9"/>
  <c r="F35" i="9"/>
  <c r="H35" i="9"/>
  <c r="O36" i="9"/>
  <c r="P36" i="9"/>
  <c r="F36" i="9"/>
  <c r="H36" i="9"/>
  <c r="O37" i="9"/>
  <c r="P37" i="9"/>
  <c r="F37" i="9"/>
  <c r="H37" i="9"/>
  <c r="O38" i="9"/>
  <c r="P38" i="9"/>
  <c r="F38" i="9"/>
  <c r="H38" i="9"/>
  <c r="H39" i="9"/>
  <c r="H10" i="9"/>
  <c r="J10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C5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Q26" i="9"/>
  <c r="S26" i="9"/>
  <c r="Q27" i="9"/>
  <c r="S27" i="9"/>
  <c r="Q28" i="9"/>
  <c r="S28" i="9"/>
  <c r="Q29" i="9"/>
  <c r="S29" i="9"/>
  <c r="Q30" i="9"/>
  <c r="S30" i="9"/>
  <c r="Q31" i="9"/>
  <c r="S31" i="9"/>
  <c r="Q32" i="9"/>
  <c r="S32" i="9"/>
  <c r="Q33" i="9"/>
  <c r="S33" i="9"/>
  <c r="Q34" i="9"/>
  <c r="S34" i="9"/>
  <c r="Q35" i="9"/>
  <c r="S35" i="9"/>
  <c r="Q36" i="9"/>
  <c r="S36" i="9"/>
  <c r="Q37" i="9"/>
  <c r="S37" i="9"/>
  <c r="Q38" i="9"/>
  <c r="S38" i="9"/>
  <c r="O18" i="52"/>
  <c r="P18" i="52"/>
  <c r="F18" i="52"/>
  <c r="H5" i="10"/>
  <c r="I30" i="10"/>
  <c r="H8" i="10"/>
  <c r="C9" i="10"/>
  <c r="E9" i="10"/>
  <c r="O12" i="10"/>
  <c r="P12" i="10"/>
  <c r="F12" i="10"/>
  <c r="H12" i="10"/>
  <c r="O13" i="10"/>
  <c r="P13" i="10"/>
  <c r="F13" i="10"/>
  <c r="H13" i="10"/>
  <c r="O14" i="10"/>
  <c r="P14" i="10"/>
  <c r="F14" i="10"/>
  <c r="H14" i="10"/>
  <c r="O15" i="10"/>
  <c r="P15" i="10"/>
  <c r="F15" i="10"/>
  <c r="H15" i="10"/>
  <c r="O16" i="10"/>
  <c r="P16" i="10"/>
  <c r="F16" i="10"/>
  <c r="H16" i="10"/>
  <c r="O17" i="10"/>
  <c r="P17" i="10"/>
  <c r="F17" i="10"/>
  <c r="H17" i="10"/>
  <c r="O18" i="10"/>
  <c r="P18" i="10"/>
  <c r="F18" i="10"/>
  <c r="H18" i="10"/>
  <c r="O19" i="10"/>
  <c r="P19" i="10"/>
  <c r="F19" i="10"/>
  <c r="H19" i="10"/>
  <c r="O20" i="10"/>
  <c r="P20" i="10"/>
  <c r="F20" i="10"/>
  <c r="H20" i="10"/>
  <c r="O21" i="10"/>
  <c r="P21" i="10"/>
  <c r="F21" i="10"/>
  <c r="H21" i="10"/>
  <c r="O22" i="10"/>
  <c r="P22" i="10"/>
  <c r="F22" i="10"/>
  <c r="H22" i="10"/>
  <c r="O23" i="10"/>
  <c r="P23" i="10"/>
  <c r="F23" i="10"/>
  <c r="H23" i="10"/>
  <c r="O24" i="10"/>
  <c r="P24" i="10"/>
  <c r="F24" i="10"/>
  <c r="H24" i="10"/>
  <c r="O25" i="10"/>
  <c r="P25" i="10"/>
  <c r="F25" i="10"/>
  <c r="H25" i="10"/>
  <c r="O26" i="10"/>
  <c r="P26" i="10"/>
  <c r="F26" i="10"/>
  <c r="H26" i="10"/>
  <c r="O27" i="10"/>
  <c r="P27" i="10"/>
  <c r="F27" i="10"/>
  <c r="H27" i="10"/>
  <c r="O28" i="10"/>
  <c r="P28" i="10"/>
  <c r="F28" i="10"/>
  <c r="H28" i="10"/>
  <c r="O29" i="10"/>
  <c r="P29" i="10"/>
  <c r="F29" i="10"/>
  <c r="H29" i="10"/>
  <c r="H30" i="10"/>
  <c r="G9" i="10"/>
  <c r="I9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D19" i="27"/>
  <c r="C5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E63" i="4"/>
  <c r="I66" i="2"/>
  <c r="E30" i="10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C21" i="67"/>
  <c r="C24" i="67"/>
  <c r="F25" i="67"/>
  <c r="F26" i="67"/>
  <c r="B30" i="67"/>
  <c r="B31" i="67"/>
  <c r="P15" i="21"/>
  <c r="P90" i="21"/>
  <c r="B33" i="67"/>
  <c r="C21" i="39"/>
  <c r="C22" i="39"/>
  <c r="C24" i="39"/>
  <c r="F25" i="39"/>
  <c r="F26" i="39"/>
  <c r="B30" i="39"/>
  <c r="B31" i="39"/>
  <c r="B33" i="39"/>
  <c r="C38" i="39"/>
  <c r="C39" i="39"/>
  <c r="C41" i="39"/>
  <c r="F42" i="39"/>
  <c r="F43" i="39"/>
  <c r="B47" i="39"/>
  <c r="B48" i="39"/>
  <c r="P16" i="21"/>
  <c r="P17" i="21"/>
  <c r="B50" i="39"/>
  <c r="C55" i="39"/>
  <c r="C56" i="39"/>
  <c r="C58" i="39"/>
  <c r="F58" i="39"/>
  <c r="F59" i="39"/>
  <c r="C60" i="39"/>
  <c r="F60" i="39"/>
  <c r="D61" i="39"/>
  <c r="F61" i="39"/>
  <c r="E61" i="39"/>
  <c r="D62" i="39"/>
  <c r="F62" i="39"/>
  <c r="E62" i="39"/>
  <c r="B64" i="39"/>
  <c r="B65" i="39"/>
  <c r="B67" i="39"/>
  <c r="C72" i="39"/>
  <c r="C73" i="39"/>
  <c r="C75" i="39"/>
  <c r="F75" i="39"/>
  <c r="F76" i="39"/>
  <c r="C77" i="39"/>
  <c r="F77" i="39"/>
  <c r="D78" i="39"/>
  <c r="F78" i="39"/>
  <c r="E78" i="39"/>
  <c r="D79" i="39"/>
  <c r="F79" i="39"/>
  <c r="E79" i="39"/>
  <c r="B81" i="39"/>
  <c r="B82" i="39"/>
  <c r="B84" i="39"/>
  <c r="C89" i="39"/>
  <c r="C90" i="39"/>
  <c r="C92" i="39"/>
  <c r="F93" i="39"/>
  <c r="F94" i="39"/>
  <c r="B98" i="39"/>
  <c r="B99" i="39"/>
  <c r="P26" i="21"/>
  <c r="P27" i="21"/>
  <c r="B101" i="39"/>
  <c r="C106" i="39"/>
  <c r="C107" i="39"/>
  <c r="C109" i="39"/>
  <c r="F110" i="39"/>
  <c r="F111" i="39"/>
  <c r="B115" i="39"/>
  <c r="B116" i="39"/>
  <c r="P28" i="21"/>
  <c r="B118" i="39"/>
  <c r="C123" i="39"/>
  <c r="C124" i="39"/>
  <c r="C126" i="39"/>
  <c r="F127" i="39"/>
  <c r="F128" i="39"/>
  <c r="B132" i="39"/>
  <c r="B133" i="39"/>
  <c r="P29" i="21"/>
  <c r="P30" i="21"/>
  <c r="B135" i="39"/>
  <c r="C140" i="39"/>
  <c r="C141" i="39"/>
  <c r="C143" i="39"/>
  <c r="F144" i="39"/>
  <c r="F145" i="39"/>
  <c r="B149" i="39"/>
  <c r="B150" i="39"/>
  <c r="P31" i="21"/>
  <c r="P32" i="21"/>
  <c r="B152" i="39"/>
  <c r="C157" i="39"/>
  <c r="C158" i="39"/>
  <c r="C160" i="39"/>
  <c r="F161" i="39"/>
  <c r="F162" i="39"/>
  <c r="B166" i="39"/>
  <c r="B167" i="39"/>
  <c r="P33" i="21"/>
  <c r="P34" i="21"/>
  <c r="P35" i="21"/>
  <c r="P36" i="21"/>
  <c r="B169" i="39"/>
  <c r="C174" i="39"/>
  <c r="C175" i="39"/>
  <c r="C177" i="39"/>
  <c r="F178" i="39"/>
  <c r="F179" i="39"/>
  <c r="B183" i="39"/>
  <c r="B184" i="39"/>
  <c r="P37" i="21"/>
  <c r="P38" i="21"/>
  <c r="P39" i="21"/>
  <c r="P40" i="21"/>
  <c r="B186" i="39"/>
  <c r="C191" i="39"/>
  <c r="C192" i="39"/>
  <c r="C194" i="39"/>
  <c r="F195" i="39"/>
  <c r="F196" i="39"/>
  <c r="B200" i="39"/>
  <c r="B201" i="39"/>
  <c r="P41" i="21"/>
  <c r="B203" i="39"/>
  <c r="C208" i="39"/>
  <c r="C209" i="39"/>
  <c r="C211" i="39"/>
  <c r="F212" i="39"/>
  <c r="F213" i="39"/>
  <c r="B217" i="39"/>
  <c r="B218" i="39"/>
  <c r="P42" i="21"/>
  <c r="B220" i="39"/>
  <c r="C225" i="39"/>
  <c r="C226" i="39"/>
  <c r="C228" i="39"/>
  <c r="F229" i="39"/>
  <c r="F230" i="39"/>
  <c r="B234" i="39"/>
  <c r="B235" i="39"/>
  <c r="P43" i="21"/>
  <c r="B237" i="39"/>
  <c r="C242" i="39"/>
  <c r="C243" i="39"/>
  <c r="C245" i="39"/>
  <c r="F246" i="39"/>
  <c r="F247" i="39"/>
  <c r="B251" i="39"/>
  <c r="B252" i="39"/>
  <c r="P44" i="21"/>
  <c r="B254" i="39"/>
  <c r="C259" i="39"/>
  <c r="C260" i="39"/>
  <c r="C262" i="39"/>
  <c r="F263" i="39"/>
  <c r="F264" i="39"/>
  <c r="B268" i="39"/>
  <c r="B269" i="39"/>
  <c r="P45" i="21"/>
  <c r="B271" i="39"/>
  <c r="F8" i="67"/>
  <c r="C7" i="67"/>
  <c r="C4" i="67"/>
  <c r="P13" i="21"/>
  <c r="P14" i="21"/>
  <c r="B16" i="67"/>
  <c r="B14" i="67"/>
  <c r="B13" i="67"/>
  <c r="F9" i="67"/>
  <c r="D15" i="27"/>
  <c r="C5" i="6"/>
  <c r="K23" i="6"/>
  <c r="D14" i="27"/>
  <c r="C6" i="5"/>
  <c r="K24" i="5"/>
  <c r="E50" i="8"/>
  <c r="I50" i="8"/>
  <c r="H5" i="8"/>
  <c r="C21" i="53"/>
  <c r="C22" i="53"/>
  <c r="C24" i="53"/>
  <c r="F25" i="53"/>
  <c r="F26" i="53"/>
  <c r="B30" i="53"/>
  <c r="B31" i="53"/>
  <c r="C38" i="53"/>
  <c r="C39" i="53"/>
  <c r="C41" i="53"/>
  <c r="F42" i="53"/>
  <c r="F43" i="53"/>
  <c r="B47" i="53"/>
  <c r="B48" i="53"/>
  <c r="C55" i="53"/>
  <c r="C56" i="53"/>
  <c r="C58" i="53"/>
  <c r="F59" i="53"/>
  <c r="F60" i="53"/>
  <c r="B64" i="53"/>
  <c r="B65" i="53"/>
  <c r="C72" i="53"/>
  <c r="C73" i="53"/>
  <c r="C75" i="53"/>
  <c r="F76" i="53"/>
  <c r="F77" i="53"/>
  <c r="B81" i="53"/>
  <c r="B82" i="53"/>
  <c r="C89" i="53"/>
  <c r="C90" i="53"/>
  <c r="C92" i="53"/>
  <c r="F93" i="53"/>
  <c r="C94" i="53"/>
  <c r="F94" i="53"/>
  <c r="B98" i="53"/>
  <c r="B99" i="53"/>
  <c r="C106" i="53"/>
  <c r="C107" i="53"/>
  <c r="C109" i="53"/>
  <c r="F110" i="53"/>
  <c r="F111" i="53"/>
  <c r="B115" i="53"/>
  <c r="B116" i="53"/>
  <c r="C123" i="53"/>
  <c r="C124" i="53"/>
  <c r="C126" i="53"/>
  <c r="F127" i="53"/>
  <c r="F128" i="53"/>
  <c r="B132" i="53"/>
  <c r="B133" i="53"/>
  <c r="C140" i="53"/>
  <c r="C141" i="53"/>
  <c r="C143" i="53"/>
  <c r="F144" i="53"/>
  <c r="F145" i="53"/>
  <c r="B149" i="53"/>
  <c r="B150" i="53"/>
  <c r="C157" i="53"/>
  <c r="C158" i="53"/>
  <c r="C160" i="53"/>
  <c r="F161" i="53"/>
  <c r="C162" i="53"/>
  <c r="F162" i="53"/>
  <c r="B166" i="53"/>
  <c r="B167" i="53"/>
  <c r="C174" i="53"/>
  <c r="C175" i="53"/>
  <c r="C177" i="53"/>
  <c r="F178" i="53"/>
  <c r="F179" i="53"/>
  <c r="B183" i="53"/>
  <c r="B184" i="53"/>
  <c r="E25" i="52"/>
  <c r="O13" i="52"/>
  <c r="E91" i="21"/>
  <c r="E56" i="56"/>
  <c r="H25" i="27"/>
  <c r="K25" i="27"/>
  <c r="H7" i="2"/>
  <c r="E27" i="19"/>
  <c r="I27" i="19"/>
  <c r="C26" i="67"/>
  <c r="E46" i="21"/>
  <c r="J46" i="21"/>
  <c r="F61" i="66"/>
  <c r="E61" i="66"/>
  <c r="F17" i="58"/>
  <c r="O29" i="2"/>
  <c r="O36" i="2"/>
  <c r="O14" i="2"/>
  <c r="D172" i="23"/>
  <c r="F5" i="23"/>
  <c r="H5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6" i="23"/>
  <c r="G147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D173" i="23"/>
  <c r="B174" i="23"/>
  <c r="F174" i="23"/>
  <c r="G174" i="23"/>
  <c r="D178" i="23"/>
  <c r="G178" i="23"/>
  <c r="D179" i="23"/>
  <c r="G179" i="23"/>
  <c r="D180" i="23"/>
  <c r="G180" i="23"/>
  <c r="D181" i="23"/>
  <c r="G181" i="23"/>
  <c r="D182" i="23"/>
  <c r="G182" i="23"/>
  <c r="D183" i="23"/>
  <c r="G183" i="23"/>
  <c r="D184" i="23"/>
  <c r="G184" i="23"/>
  <c r="D43" i="22"/>
  <c r="F5" i="22"/>
  <c r="H5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D104" i="22"/>
  <c r="F62" i="22"/>
  <c r="H62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D135" i="22"/>
  <c r="F115" i="22"/>
  <c r="H115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D155" i="22"/>
  <c r="F145" i="22"/>
  <c r="H145" i="22"/>
  <c r="G148" i="22"/>
  <c r="G149" i="22"/>
  <c r="G150" i="22"/>
  <c r="G151" i="22"/>
  <c r="G152" i="22"/>
  <c r="G153" i="22"/>
  <c r="G154" i="22"/>
  <c r="G155" i="22"/>
  <c r="D204" i="22"/>
  <c r="F166" i="22"/>
  <c r="H166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D252" i="22"/>
  <c r="F221" i="22"/>
  <c r="H221" i="22"/>
  <c r="G224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B267" i="22"/>
  <c r="F267" i="22"/>
  <c r="G267" i="22"/>
  <c r="D271" i="22"/>
  <c r="G271" i="22"/>
  <c r="D272" i="22"/>
  <c r="G272" i="22"/>
  <c r="D273" i="22"/>
  <c r="G273" i="22"/>
  <c r="D274" i="22"/>
  <c r="G274" i="22"/>
  <c r="D275" i="22"/>
  <c r="G275" i="22"/>
  <c r="D276" i="22"/>
  <c r="G276" i="22"/>
  <c r="D277" i="22"/>
  <c r="G277" i="22"/>
  <c r="C4" i="61"/>
  <c r="C5" i="61"/>
  <c r="C7" i="61"/>
  <c r="F8" i="61"/>
  <c r="F9" i="61"/>
  <c r="C6" i="60"/>
  <c r="K13" i="60"/>
  <c r="D10" i="61"/>
  <c r="F10" i="61"/>
  <c r="E10" i="61"/>
  <c r="B13" i="61"/>
  <c r="B14" i="61"/>
  <c r="C21" i="61"/>
  <c r="C22" i="61"/>
  <c r="C24" i="61"/>
  <c r="F25" i="61"/>
  <c r="F26" i="61"/>
  <c r="B30" i="61"/>
  <c r="B31" i="61"/>
  <c r="C38" i="61"/>
  <c r="C39" i="61"/>
  <c r="C41" i="61"/>
  <c r="F42" i="61"/>
  <c r="F43" i="61"/>
  <c r="B47" i="61"/>
  <c r="B48" i="61"/>
  <c r="C55" i="61"/>
  <c r="C56" i="61"/>
  <c r="C58" i="61"/>
  <c r="F59" i="61"/>
  <c r="F60" i="61"/>
  <c r="B64" i="61"/>
  <c r="B65" i="61"/>
  <c r="C72" i="61"/>
  <c r="C73" i="61"/>
  <c r="C75" i="61"/>
  <c r="F76" i="61"/>
  <c r="F77" i="61"/>
  <c r="B81" i="61"/>
  <c r="B82" i="61"/>
  <c r="B84" i="61"/>
  <c r="C89" i="61"/>
  <c r="C90" i="61"/>
  <c r="C92" i="61"/>
  <c r="F93" i="61"/>
  <c r="F94" i="61"/>
  <c r="B98" i="61"/>
  <c r="B99" i="61"/>
  <c r="B101" i="61"/>
  <c r="C106" i="61"/>
  <c r="C107" i="61"/>
  <c r="C109" i="61"/>
  <c r="F110" i="61"/>
  <c r="F111" i="61"/>
  <c r="B115" i="61"/>
  <c r="B116" i="61"/>
  <c r="B118" i="61"/>
  <c r="C123" i="61"/>
  <c r="C124" i="61"/>
  <c r="C126" i="61"/>
  <c r="F127" i="61"/>
  <c r="F128" i="61"/>
  <c r="B132" i="61"/>
  <c r="B133" i="61"/>
  <c r="B135" i="61"/>
  <c r="C140" i="61"/>
  <c r="C141" i="61"/>
  <c r="C143" i="61"/>
  <c r="F144" i="61"/>
  <c r="F145" i="61"/>
  <c r="B149" i="61"/>
  <c r="B150" i="61"/>
  <c r="B152" i="61"/>
  <c r="C157" i="61"/>
  <c r="C158" i="61"/>
  <c r="C160" i="61"/>
  <c r="F161" i="61"/>
  <c r="F162" i="61"/>
  <c r="B166" i="61"/>
  <c r="B167" i="61"/>
  <c r="B169" i="61"/>
  <c r="C174" i="61"/>
  <c r="C175" i="61"/>
  <c r="C177" i="61"/>
  <c r="F178" i="61"/>
  <c r="F179" i="61"/>
  <c r="B183" i="61"/>
  <c r="B184" i="61"/>
  <c r="B186" i="61"/>
  <c r="C191" i="61"/>
  <c r="C192" i="61"/>
  <c r="C194" i="61"/>
  <c r="F195" i="61"/>
  <c r="F196" i="61"/>
  <c r="B200" i="61"/>
  <c r="B201" i="61"/>
  <c r="B203" i="61"/>
  <c r="C208" i="61"/>
  <c r="C209" i="61"/>
  <c r="C211" i="61"/>
  <c r="F212" i="61"/>
  <c r="F213" i="61"/>
  <c r="B217" i="61"/>
  <c r="B218" i="61"/>
  <c r="B220" i="61"/>
  <c r="C225" i="61"/>
  <c r="C226" i="61"/>
  <c r="C228" i="61"/>
  <c r="F229" i="61"/>
  <c r="F230" i="61"/>
  <c r="B234" i="61"/>
  <c r="B235" i="61"/>
  <c r="B237" i="61"/>
  <c r="C242" i="61"/>
  <c r="C243" i="61"/>
  <c r="C245" i="61"/>
  <c r="F246" i="61"/>
  <c r="F247" i="61"/>
  <c r="B251" i="61"/>
  <c r="B252" i="61"/>
  <c r="B254" i="61"/>
  <c r="C259" i="61"/>
  <c r="C260" i="61"/>
  <c r="C262" i="61"/>
  <c r="F263" i="61"/>
  <c r="F264" i="61"/>
  <c r="B268" i="61"/>
  <c r="B269" i="61"/>
  <c r="B271" i="61"/>
  <c r="C276" i="61"/>
  <c r="C277" i="61"/>
  <c r="C279" i="61"/>
  <c r="F280" i="61"/>
  <c r="F281" i="61"/>
  <c r="B285" i="61"/>
  <c r="B286" i="61"/>
  <c r="B288" i="61"/>
  <c r="C293" i="61"/>
  <c r="C294" i="61"/>
  <c r="C296" i="61"/>
  <c r="F297" i="61"/>
  <c r="F298" i="61"/>
  <c r="B302" i="61"/>
  <c r="B303" i="61"/>
  <c r="B305" i="61"/>
  <c r="C310" i="61"/>
  <c r="C311" i="61"/>
  <c r="C313" i="61"/>
  <c r="F314" i="61"/>
  <c r="F315" i="61"/>
  <c r="B319" i="61"/>
  <c r="B320" i="61"/>
  <c r="B322" i="61"/>
  <c r="H6" i="60"/>
  <c r="O13" i="60"/>
  <c r="O14" i="60"/>
  <c r="O15" i="60"/>
  <c r="O16" i="60"/>
  <c r="O17" i="60"/>
  <c r="O18" i="60"/>
  <c r="O19" i="60"/>
  <c r="O20" i="60"/>
  <c r="O21" i="60"/>
  <c r="O22" i="60"/>
  <c r="O23" i="60"/>
  <c r="O24" i="60"/>
  <c r="O25" i="60"/>
  <c r="O26" i="60"/>
  <c r="O27" i="60"/>
  <c r="O28" i="60"/>
  <c r="O29" i="60"/>
  <c r="O30" i="60"/>
  <c r="O31" i="60"/>
  <c r="O32" i="60"/>
  <c r="O33" i="60"/>
  <c r="O34" i="60"/>
  <c r="O35" i="60"/>
  <c r="O36" i="60"/>
  <c r="O37" i="60"/>
  <c r="F38" i="60"/>
  <c r="H38" i="60"/>
  <c r="C196" i="61"/>
  <c r="O38" i="60"/>
  <c r="O39" i="60"/>
  <c r="O40" i="60"/>
  <c r="O41" i="60"/>
  <c r="O42" i="60"/>
  <c r="O43" i="60"/>
  <c r="O44" i="60"/>
  <c r="O45" i="60"/>
  <c r="O46" i="60"/>
  <c r="O47" i="60"/>
  <c r="O48" i="60"/>
  <c r="E49" i="60"/>
  <c r="I49" i="60"/>
  <c r="C4" i="59"/>
  <c r="C5" i="59"/>
  <c r="C7" i="59"/>
  <c r="F8" i="59"/>
  <c r="F9" i="59"/>
  <c r="B13" i="59"/>
  <c r="B14" i="59"/>
  <c r="C21" i="59"/>
  <c r="C22" i="59"/>
  <c r="C24" i="59"/>
  <c r="F25" i="59"/>
  <c r="F26" i="59"/>
  <c r="B30" i="59"/>
  <c r="B31" i="59"/>
  <c r="C38" i="59"/>
  <c r="C39" i="59"/>
  <c r="C41" i="59"/>
  <c r="F42" i="59"/>
  <c r="F43" i="59"/>
  <c r="B47" i="59"/>
  <c r="B48" i="59"/>
  <c r="C55" i="59"/>
  <c r="C56" i="59"/>
  <c r="C58" i="59"/>
  <c r="F59" i="59"/>
  <c r="F60" i="59"/>
  <c r="B64" i="59"/>
  <c r="B65" i="59"/>
  <c r="C72" i="59"/>
  <c r="C73" i="59"/>
  <c r="C75" i="59"/>
  <c r="F76" i="59"/>
  <c r="F77" i="59"/>
  <c r="B81" i="59"/>
  <c r="B82" i="59"/>
  <c r="B84" i="59"/>
  <c r="H6" i="58"/>
  <c r="O13" i="58"/>
  <c r="O14" i="58"/>
  <c r="O15" i="58"/>
  <c r="O16" i="58"/>
  <c r="H17" i="58"/>
  <c r="C77" i="59"/>
  <c r="O17" i="58"/>
  <c r="E18" i="58"/>
  <c r="I18" i="58"/>
  <c r="C4" i="57"/>
  <c r="C5" i="57"/>
  <c r="C7" i="57"/>
  <c r="F8" i="57"/>
  <c r="F9" i="57"/>
  <c r="A13" i="57"/>
  <c r="I13" i="57"/>
  <c r="B14" i="57"/>
  <c r="C21" i="57"/>
  <c r="C22" i="57"/>
  <c r="C24" i="57"/>
  <c r="F25" i="57"/>
  <c r="F26" i="57"/>
  <c r="A30" i="57"/>
  <c r="B31" i="57"/>
  <c r="C38" i="57"/>
  <c r="C39" i="57"/>
  <c r="C41" i="57"/>
  <c r="F42" i="57"/>
  <c r="F43" i="57"/>
  <c r="A47" i="57"/>
  <c r="B48" i="57"/>
  <c r="C55" i="57"/>
  <c r="C56" i="57"/>
  <c r="C58" i="57"/>
  <c r="F59" i="57"/>
  <c r="F60" i="57"/>
  <c r="A64" i="57"/>
  <c r="B65" i="57"/>
  <c r="C72" i="57"/>
  <c r="C73" i="57"/>
  <c r="C75" i="57"/>
  <c r="F76" i="57"/>
  <c r="F77" i="57"/>
  <c r="A81" i="57"/>
  <c r="B82" i="57"/>
  <c r="C89" i="57"/>
  <c r="C90" i="57"/>
  <c r="C92" i="57"/>
  <c r="F93" i="57"/>
  <c r="F94" i="57"/>
  <c r="A98" i="57"/>
  <c r="B99" i="57"/>
  <c r="C106" i="57"/>
  <c r="C107" i="57"/>
  <c r="C109" i="57"/>
  <c r="F110" i="57"/>
  <c r="F111" i="57"/>
  <c r="A115" i="57"/>
  <c r="B116" i="57"/>
  <c r="C123" i="57"/>
  <c r="C124" i="57"/>
  <c r="C126" i="57"/>
  <c r="F127" i="57"/>
  <c r="F128" i="57"/>
  <c r="A132" i="57"/>
  <c r="B133" i="57"/>
  <c r="C140" i="57"/>
  <c r="C141" i="57"/>
  <c r="C143" i="57"/>
  <c r="F144" i="57"/>
  <c r="F145" i="57"/>
  <c r="A149" i="57"/>
  <c r="B150" i="57"/>
  <c r="C157" i="57"/>
  <c r="C158" i="57"/>
  <c r="C160" i="57"/>
  <c r="F161" i="57"/>
  <c r="F162" i="57"/>
  <c r="A166" i="57"/>
  <c r="B167" i="57"/>
  <c r="C174" i="57"/>
  <c r="C175" i="57"/>
  <c r="C177" i="57"/>
  <c r="F178" i="57"/>
  <c r="F179" i="57"/>
  <c r="A183" i="57"/>
  <c r="B184" i="57"/>
  <c r="C191" i="57"/>
  <c r="C192" i="57"/>
  <c r="C194" i="57"/>
  <c r="F195" i="57"/>
  <c r="F196" i="57"/>
  <c r="A200" i="57"/>
  <c r="B201" i="57"/>
  <c r="C208" i="57"/>
  <c r="C209" i="57"/>
  <c r="C211" i="57"/>
  <c r="F212" i="57"/>
  <c r="F213" i="57"/>
  <c r="A217" i="57"/>
  <c r="B218" i="57"/>
  <c r="C225" i="57"/>
  <c r="C226" i="57"/>
  <c r="C228" i="57"/>
  <c r="F229" i="57"/>
  <c r="F230" i="57"/>
  <c r="A234" i="57"/>
  <c r="B235" i="57"/>
  <c r="C242" i="57"/>
  <c r="C243" i="57"/>
  <c r="C245" i="57"/>
  <c r="F246" i="57"/>
  <c r="F247" i="57"/>
  <c r="A251" i="57"/>
  <c r="B252" i="57"/>
  <c r="C259" i="57"/>
  <c r="C260" i="57"/>
  <c r="C262" i="57"/>
  <c r="F263" i="57"/>
  <c r="F264" i="57"/>
  <c r="A268" i="57"/>
  <c r="B269" i="57"/>
  <c r="C276" i="57"/>
  <c r="C277" i="57"/>
  <c r="C279" i="57"/>
  <c r="F280" i="57"/>
  <c r="F281" i="57"/>
  <c r="A285" i="57"/>
  <c r="B286" i="57"/>
  <c r="C293" i="57"/>
  <c r="C294" i="57"/>
  <c r="C296" i="57"/>
  <c r="F297" i="57"/>
  <c r="F298" i="57"/>
  <c r="A302" i="57"/>
  <c r="B303" i="57"/>
  <c r="C310" i="57"/>
  <c r="C311" i="57"/>
  <c r="C313" i="57"/>
  <c r="F314" i="57"/>
  <c r="F315" i="57"/>
  <c r="A319" i="57"/>
  <c r="B320" i="57"/>
  <c r="C327" i="57"/>
  <c r="C328" i="57"/>
  <c r="C330" i="57"/>
  <c r="F331" i="57"/>
  <c r="F332" i="57"/>
  <c r="A336" i="57"/>
  <c r="B337" i="57"/>
  <c r="C344" i="57"/>
  <c r="C345" i="57"/>
  <c r="C347" i="57"/>
  <c r="F348" i="57"/>
  <c r="F349" i="57"/>
  <c r="A353" i="57"/>
  <c r="B354" i="57"/>
  <c r="C361" i="57"/>
  <c r="C362" i="57"/>
  <c r="C364" i="57"/>
  <c r="F365" i="57"/>
  <c r="F366" i="57"/>
  <c r="A370" i="57"/>
  <c r="B371" i="57"/>
  <c r="C378" i="57"/>
  <c r="C379" i="57"/>
  <c r="C381" i="57"/>
  <c r="F382" i="57"/>
  <c r="F383" i="57"/>
  <c r="A387" i="57"/>
  <c r="B388" i="57"/>
  <c r="C395" i="57"/>
  <c r="C396" i="57"/>
  <c r="C398" i="57"/>
  <c r="F399" i="57"/>
  <c r="F400" i="57"/>
  <c r="A404" i="57"/>
  <c r="B405" i="57"/>
  <c r="C412" i="57"/>
  <c r="C413" i="57"/>
  <c r="C415" i="57"/>
  <c r="F416" i="57"/>
  <c r="F417" i="57"/>
  <c r="A421" i="57"/>
  <c r="B422" i="57"/>
  <c r="C429" i="57"/>
  <c r="C430" i="57"/>
  <c r="C432" i="57"/>
  <c r="F433" i="57"/>
  <c r="F434" i="57"/>
  <c r="A438" i="57"/>
  <c r="B439" i="57"/>
  <c r="C446" i="57"/>
  <c r="C447" i="57"/>
  <c r="C449" i="57"/>
  <c r="F450" i="57"/>
  <c r="F451" i="57"/>
  <c r="A455" i="57"/>
  <c r="B456" i="57"/>
  <c r="C463" i="57"/>
  <c r="C464" i="57"/>
  <c r="C466" i="57"/>
  <c r="F467" i="57"/>
  <c r="F468" i="57"/>
  <c r="A472" i="57"/>
  <c r="B473" i="57"/>
  <c r="C480" i="57"/>
  <c r="C481" i="57"/>
  <c r="C483" i="57"/>
  <c r="F484" i="57"/>
  <c r="F485" i="57"/>
  <c r="A489" i="57"/>
  <c r="B490" i="57"/>
  <c r="C497" i="57"/>
  <c r="C498" i="57"/>
  <c r="C500" i="57"/>
  <c r="F501" i="57"/>
  <c r="F502" i="57"/>
  <c r="A506" i="57"/>
  <c r="B507" i="57"/>
  <c r="C514" i="57"/>
  <c r="C515" i="57"/>
  <c r="C517" i="57"/>
  <c r="F517" i="57"/>
  <c r="F518" i="57"/>
  <c r="C519" i="57"/>
  <c r="F519" i="57"/>
  <c r="D520" i="57"/>
  <c r="F520" i="57"/>
  <c r="E520" i="57"/>
  <c r="D521" i="57"/>
  <c r="F521" i="57"/>
  <c r="E521" i="57"/>
  <c r="A523" i="57"/>
  <c r="B524" i="57"/>
  <c r="B526" i="57"/>
  <c r="S13" i="58"/>
  <c r="S17" i="58"/>
  <c r="O15" i="56"/>
  <c r="O56" i="56"/>
  <c r="I57" i="56"/>
  <c r="C4" i="65"/>
  <c r="C5" i="65"/>
  <c r="C7" i="65"/>
  <c r="F8" i="65"/>
  <c r="F9" i="65"/>
  <c r="B13" i="65"/>
  <c r="B14" i="65"/>
  <c r="I16" i="65"/>
  <c r="C21" i="65"/>
  <c r="C22" i="65"/>
  <c r="C24" i="65"/>
  <c r="F25" i="65"/>
  <c r="F26" i="65"/>
  <c r="B30" i="65"/>
  <c r="B31" i="65"/>
  <c r="C38" i="65"/>
  <c r="C39" i="65"/>
  <c r="C41" i="65"/>
  <c r="F42" i="65"/>
  <c r="F43" i="65"/>
  <c r="B47" i="65"/>
  <c r="B48" i="65"/>
  <c r="C55" i="65"/>
  <c r="C56" i="65"/>
  <c r="C58" i="65"/>
  <c r="F59" i="65"/>
  <c r="F60" i="65"/>
  <c r="B64" i="65"/>
  <c r="B65" i="65"/>
  <c r="C72" i="65"/>
  <c r="C73" i="65"/>
  <c r="C75" i="65"/>
  <c r="F76" i="65"/>
  <c r="F77" i="65"/>
  <c r="B81" i="65"/>
  <c r="B82" i="65"/>
  <c r="C89" i="65"/>
  <c r="C90" i="65"/>
  <c r="C92" i="65"/>
  <c r="F93" i="65"/>
  <c r="F94" i="65"/>
  <c r="B98" i="65"/>
  <c r="B99" i="65"/>
  <c r="C106" i="65"/>
  <c r="C107" i="65"/>
  <c r="C109" i="65"/>
  <c r="F110" i="65"/>
  <c r="F111" i="65"/>
  <c r="B115" i="65"/>
  <c r="B116" i="65"/>
  <c r="H6" i="55"/>
  <c r="I26" i="55"/>
  <c r="H9" i="55"/>
  <c r="C10" i="55"/>
  <c r="E10" i="55"/>
  <c r="O13" i="55"/>
  <c r="O14" i="55"/>
  <c r="O15" i="55"/>
  <c r="O16" i="55"/>
  <c r="O17" i="55"/>
  <c r="O18" i="55"/>
  <c r="O19" i="55"/>
  <c r="O20" i="55"/>
  <c r="H21" i="55"/>
  <c r="O21" i="55"/>
  <c r="O22" i="55"/>
  <c r="O23" i="55"/>
  <c r="O24" i="55"/>
  <c r="O25" i="55"/>
  <c r="E26" i="55"/>
  <c r="C4" i="53"/>
  <c r="C5" i="53"/>
  <c r="C7" i="53"/>
  <c r="F8" i="53"/>
  <c r="F9" i="53"/>
  <c r="B13" i="53"/>
  <c r="B14" i="53"/>
  <c r="I16" i="53"/>
  <c r="C4" i="50"/>
  <c r="C5" i="50"/>
  <c r="C7" i="50"/>
  <c r="F8" i="50"/>
  <c r="F9" i="50"/>
  <c r="B13" i="50"/>
  <c r="B14" i="50"/>
  <c r="C21" i="50"/>
  <c r="C22" i="50"/>
  <c r="C24" i="50"/>
  <c r="F25" i="50"/>
  <c r="F26" i="50"/>
  <c r="B30" i="50"/>
  <c r="B31" i="50"/>
  <c r="C38" i="50"/>
  <c r="C39" i="50"/>
  <c r="C41" i="50"/>
  <c r="F42" i="50"/>
  <c r="F43" i="50"/>
  <c r="B47" i="50"/>
  <c r="B48" i="50"/>
  <c r="C55" i="50"/>
  <c r="C56" i="50"/>
  <c r="C58" i="50"/>
  <c r="F59" i="50"/>
  <c r="F60" i="50"/>
  <c r="B64" i="50"/>
  <c r="B65" i="50"/>
  <c r="C72" i="50"/>
  <c r="C73" i="50"/>
  <c r="C75" i="50"/>
  <c r="F76" i="50"/>
  <c r="F77" i="50"/>
  <c r="B81" i="50"/>
  <c r="B82" i="50"/>
  <c r="C89" i="50"/>
  <c r="C90" i="50"/>
  <c r="C92" i="50"/>
  <c r="F93" i="50"/>
  <c r="F94" i="50"/>
  <c r="B98" i="50"/>
  <c r="B99" i="50"/>
  <c r="C106" i="50"/>
  <c r="C107" i="50"/>
  <c r="C109" i="50"/>
  <c r="F110" i="50"/>
  <c r="F111" i="50"/>
  <c r="B115" i="50"/>
  <c r="B116" i="50"/>
  <c r="C123" i="50"/>
  <c r="C124" i="50"/>
  <c r="C126" i="50"/>
  <c r="F127" i="50"/>
  <c r="F128" i="50"/>
  <c r="B132" i="50"/>
  <c r="B133" i="50"/>
  <c r="C140" i="50"/>
  <c r="C141" i="50"/>
  <c r="C143" i="50"/>
  <c r="F144" i="50"/>
  <c r="F145" i="50"/>
  <c r="B149" i="50"/>
  <c r="B150" i="50"/>
  <c r="C157" i="50"/>
  <c r="C158" i="50"/>
  <c r="C160" i="50"/>
  <c r="F161" i="50"/>
  <c r="F162" i="50"/>
  <c r="B166" i="50"/>
  <c r="B167" i="50"/>
  <c r="C174" i="50"/>
  <c r="C175" i="50"/>
  <c r="C177" i="50"/>
  <c r="F178" i="50"/>
  <c r="F179" i="50"/>
  <c r="B183" i="50"/>
  <c r="B184" i="50"/>
  <c r="C191" i="50"/>
  <c r="C192" i="50"/>
  <c r="C194" i="50"/>
  <c r="F195" i="50"/>
  <c r="F196" i="50"/>
  <c r="B200" i="50"/>
  <c r="B201" i="50"/>
  <c r="C208" i="50"/>
  <c r="C209" i="50"/>
  <c r="C211" i="50"/>
  <c r="F212" i="50"/>
  <c r="F213" i="50"/>
  <c r="B217" i="50"/>
  <c r="B218" i="50"/>
  <c r="C225" i="50"/>
  <c r="C226" i="50"/>
  <c r="C228" i="50"/>
  <c r="F229" i="50"/>
  <c r="F230" i="50"/>
  <c r="B234" i="50"/>
  <c r="B235" i="50"/>
  <c r="C242" i="50"/>
  <c r="C243" i="50"/>
  <c r="C245" i="50"/>
  <c r="F246" i="50"/>
  <c r="F247" i="50"/>
  <c r="B251" i="50"/>
  <c r="B252" i="50"/>
  <c r="C259" i="50"/>
  <c r="C260" i="50"/>
  <c r="C262" i="50"/>
  <c r="F263" i="50"/>
  <c r="F264" i="50"/>
  <c r="B268" i="50"/>
  <c r="B269" i="50"/>
  <c r="C276" i="50"/>
  <c r="C277" i="50"/>
  <c r="C279" i="50"/>
  <c r="F280" i="50"/>
  <c r="F281" i="50"/>
  <c r="B285" i="50"/>
  <c r="B286" i="50"/>
  <c r="O13" i="9"/>
  <c r="O22" i="9"/>
  <c r="O24" i="9"/>
  <c r="C4" i="39"/>
  <c r="C5" i="39"/>
  <c r="C7" i="39"/>
  <c r="F8" i="39"/>
  <c r="F9" i="39"/>
  <c r="B13" i="39"/>
  <c r="B14" i="39"/>
  <c r="H6" i="21"/>
  <c r="H21" i="27"/>
  <c r="K21" i="27"/>
  <c r="C4" i="38"/>
  <c r="C5" i="38"/>
  <c r="C7" i="38"/>
  <c r="F8" i="38"/>
  <c r="F9" i="38"/>
  <c r="B13" i="38"/>
  <c r="B14" i="38"/>
  <c r="C21" i="38"/>
  <c r="C22" i="38"/>
  <c r="C24" i="38"/>
  <c r="F25" i="38"/>
  <c r="F26" i="38"/>
  <c r="B30" i="38"/>
  <c r="B31" i="38"/>
  <c r="C38" i="38"/>
  <c r="C39" i="38"/>
  <c r="C41" i="38"/>
  <c r="F42" i="38"/>
  <c r="F43" i="38"/>
  <c r="B47" i="38"/>
  <c r="B48" i="38"/>
  <c r="C55" i="38"/>
  <c r="C56" i="38"/>
  <c r="C58" i="38"/>
  <c r="F59" i="38"/>
  <c r="F60" i="38"/>
  <c r="B64" i="38"/>
  <c r="B65" i="38"/>
  <c r="C72" i="38"/>
  <c r="C73" i="38"/>
  <c r="C75" i="38"/>
  <c r="F76" i="38"/>
  <c r="F77" i="38"/>
  <c r="B81" i="38"/>
  <c r="B82" i="38"/>
  <c r="C89" i="38"/>
  <c r="C90" i="38"/>
  <c r="C92" i="38"/>
  <c r="F93" i="38"/>
  <c r="F94" i="38"/>
  <c r="B98" i="38"/>
  <c r="B99" i="38"/>
  <c r="C106" i="38"/>
  <c r="C107" i="38"/>
  <c r="C109" i="38"/>
  <c r="F110" i="38"/>
  <c r="F111" i="38"/>
  <c r="B115" i="38"/>
  <c r="B116" i="38"/>
  <c r="C123" i="38"/>
  <c r="C124" i="38"/>
  <c r="C126" i="38"/>
  <c r="F127" i="38"/>
  <c r="F128" i="38"/>
  <c r="B132" i="38"/>
  <c r="B133" i="38"/>
  <c r="C140" i="38"/>
  <c r="C141" i="38"/>
  <c r="C143" i="38"/>
  <c r="F144" i="38"/>
  <c r="F145" i="38"/>
  <c r="B149" i="38"/>
  <c r="B150" i="38"/>
  <c r="C157" i="38"/>
  <c r="C158" i="38"/>
  <c r="C160" i="38"/>
  <c r="F161" i="38"/>
  <c r="F162" i="38"/>
  <c r="B166" i="38"/>
  <c r="B167" i="38"/>
  <c r="C174" i="38"/>
  <c r="C175" i="38"/>
  <c r="C177" i="38"/>
  <c r="F178" i="38"/>
  <c r="F179" i="38"/>
  <c r="B183" i="38"/>
  <c r="B184" i="38"/>
  <c r="C191" i="38"/>
  <c r="C192" i="38"/>
  <c r="C194" i="38"/>
  <c r="F195" i="38"/>
  <c r="F196" i="38"/>
  <c r="B200" i="38"/>
  <c r="B201" i="38"/>
  <c r="C208" i="38"/>
  <c r="C209" i="38"/>
  <c r="C211" i="38"/>
  <c r="F212" i="38"/>
  <c r="F213" i="38"/>
  <c r="B217" i="38"/>
  <c r="B218" i="38"/>
  <c r="C225" i="38"/>
  <c r="C226" i="38"/>
  <c r="C228" i="38"/>
  <c r="F229" i="38"/>
  <c r="F230" i="38"/>
  <c r="B234" i="38"/>
  <c r="B235" i="38"/>
  <c r="C242" i="38"/>
  <c r="C243" i="38"/>
  <c r="C245" i="38"/>
  <c r="F246" i="38"/>
  <c r="F247" i="38"/>
  <c r="B251" i="38"/>
  <c r="B252" i="38"/>
  <c r="C259" i="38"/>
  <c r="C260" i="38"/>
  <c r="C262" i="38"/>
  <c r="F263" i="38"/>
  <c r="F264" i="38"/>
  <c r="B268" i="38"/>
  <c r="B269" i="38"/>
  <c r="C276" i="38"/>
  <c r="C277" i="38"/>
  <c r="C279" i="38"/>
  <c r="F280" i="38"/>
  <c r="F281" i="38"/>
  <c r="B285" i="38"/>
  <c r="B286" i="38"/>
  <c r="C293" i="38"/>
  <c r="C294" i="38"/>
  <c r="C296" i="38"/>
  <c r="F297" i="38"/>
  <c r="F298" i="38"/>
  <c r="B302" i="38"/>
  <c r="B303" i="38"/>
  <c r="C310" i="38"/>
  <c r="C311" i="38"/>
  <c r="C313" i="38"/>
  <c r="F314" i="38"/>
  <c r="F315" i="38"/>
  <c r="B319" i="38"/>
  <c r="B320" i="38"/>
  <c r="C327" i="38"/>
  <c r="C328" i="38"/>
  <c r="C330" i="38"/>
  <c r="F331" i="38"/>
  <c r="F332" i="38"/>
  <c r="B336" i="38"/>
  <c r="B337" i="38"/>
  <c r="C344" i="38"/>
  <c r="C345" i="38"/>
  <c r="C347" i="38"/>
  <c r="F348" i="38"/>
  <c r="F349" i="38"/>
  <c r="B353" i="38"/>
  <c r="B354" i="38"/>
  <c r="C361" i="38"/>
  <c r="C362" i="38"/>
  <c r="C364" i="38"/>
  <c r="F365" i="38"/>
  <c r="F366" i="38"/>
  <c r="B370" i="38"/>
  <c r="B371" i="38"/>
  <c r="C378" i="38"/>
  <c r="C379" i="38"/>
  <c r="C381" i="38"/>
  <c r="F382" i="38"/>
  <c r="F383" i="38"/>
  <c r="B387" i="38"/>
  <c r="B388" i="38"/>
  <c r="C395" i="38"/>
  <c r="C396" i="38"/>
  <c r="C398" i="38"/>
  <c r="F399" i="38"/>
  <c r="F400" i="38"/>
  <c r="B404" i="38"/>
  <c r="B405" i="38"/>
  <c r="C412" i="38"/>
  <c r="C413" i="38"/>
  <c r="C415" i="38"/>
  <c r="F416" i="38"/>
  <c r="F417" i="38"/>
  <c r="B421" i="38"/>
  <c r="B422" i="38"/>
  <c r="C429" i="38"/>
  <c r="C430" i="38"/>
  <c r="C432" i="38"/>
  <c r="F433" i="38"/>
  <c r="F434" i="38"/>
  <c r="B438" i="38"/>
  <c r="B439" i="38"/>
  <c r="C446" i="38"/>
  <c r="C447" i="38"/>
  <c r="C449" i="38"/>
  <c r="F450" i="38"/>
  <c r="F451" i="38"/>
  <c r="B455" i="38"/>
  <c r="B456" i="38"/>
  <c r="O29" i="20"/>
  <c r="H20" i="27"/>
  <c r="K20" i="27"/>
  <c r="C4" i="37"/>
  <c r="C5" i="37"/>
  <c r="C7" i="37"/>
  <c r="F8" i="37"/>
  <c r="F9" i="37"/>
  <c r="B13" i="37"/>
  <c r="B14" i="37"/>
  <c r="C21" i="37"/>
  <c r="C22" i="37"/>
  <c r="C24" i="37"/>
  <c r="F25" i="37"/>
  <c r="F26" i="37"/>
  <c r="B30" i="37"/>
  <c r="B31" i="37"/>
  <c r="C38" i="37"/>
  <c r="C39" i="37"/>
  <c r="C41" i="37"/>
  <c r="F42" i="37"/>
  <c r="F43" i="37"/>
  <c r="B47" i="37"/>
  <c r="B48" i="37"/>
  <c r="C55" i="37"/>
  <c r="C56" i="37"/>
  <c r="C58" i="37"/>
  <c r="F59" i="37"/>
  <c r="F60" i="37"/>
  <c r="B64" i="37"/>
  <c r="B65" i="37"/>
  <c r="C72" i="37"/>
  <c r="C73" i="37"/>
  <c r="C75" i="37"/>
  <c r="F76" i="37"/>
  <c r="F77" i="37"/>
  <c r="B81" i="37"/>
  <c r="B82" i="37"/>
  <c r="C89" i="37"/>
  <c r="C90" i="37"/>
  <c r="C92" i="37"/>
  <c r="F93" i="37"/>
  <c r="F94" i="37"/>
  <c r="B98" i="37"/>
  <c r="B99" i="37"/>
  <c r="C106" i="37"/>
  <c r="C107" i="37"/>
  <c r="C109" i="37"/>
  <c r="F110" i="37"/>
  <c r="F111" i="37"/>
  <c r="B115" i="37"/>
  <c r="B116" i="37"/>
  <c r="C123" i="37"/>
  <c r="C124" i="37"/>
  <c r="C126" i="37"/>
  <c r="F127" i="37"/>
  <c r="F128" i="37"/>
  <c r="B132" i="37"/>
  <c r="B133" i="37"/>
  <c r="C140" i="37"/>
  <c r="C141" i="37"/>
  <c r="C143" i="37"/>
  <c r="F144" i="37"/>
  <c r="F145" i="37"/>
  <c r="B149" i="37"/>
  <c r="B150" i="37"/>
  <c r="C157" i="37"/>
  <c r="C158" i="37"/>
  <c r="C160" i="37"/>
  <c r="F161" i="37"/>
  <c r="F162" i="37"/>
  <c r="B166" i="37"/>
  <c r="B167" i="37"/>
  <c r="C174" i="37"/>
  <c r="C175" i="37"/>
  <c r="C177" i="37"/>
  <c r="F178" i="37"/>
  <c r="F179" i="37"/>
  <c r="B183" i="37"/>
  <c r="B184" i="37"/>
  <c r="C191" i="37"/>
  <c r="C192" i="37"/>
  <c r="C194" i="37"/>
  <c r="F195" i="37"/>
  <c r="F196" i="37"/>
  <c r="B200" i="37"/>
  <c r="B201" i="37"/>
  <c r="C208" i="37"/>
  <c r="C209" i="37"/>
  <c r="C211" i="37"/>
  <c r="F212" i="37"/>
  <c r="F213" i="37"/>
  <c r="B217" i="37"/>
  <c r="B218" i="37"/>
  <c r="C225" i="37"/>
  <c r="C226" i="37"/>
  <c r="C228" i="37"/>
  <c r="F229" i="37"/>
  <c r="F230" i="37"/>
  <c r="B234" i="37"/>
  <c r="B235" i="37"/>
  <c r="C4" i="36"/>
  <c r="C5" i="36"/>
  <c r="C7" i="36"/>
  <c r="F8" i="36"/>
  <c r="F9" i="36"/>
  <c r="B13" i="36"/>
  <c r="B14" i="36"/>
  <c r="C21" i="36"/>
  <c r="C22" i="36"/>
  <c r="C24" i="36"/>
  <c r="F25" i="36"/>
  <c r="F26" i="36"/>
  <c r="B30" i="36"/>
  <c r="B31" i="36"/>
  <c r="C38" i="36"/>
  <c r="C39" i="36"/>
  <c r="C41" i="36"/>
  <c r="F42" i="36"/>
  <c r="F43" i="36"/>
  <c r="B47" i="36"/>
  <c r="B48" i="36"/>
  <c r="C55" i="36"/>
  <c r="C56" i="36"/>
  <c r="C58" i="36"/>
  <c r="F59" i="36"/>
  <c r="F60" i="36"/>
  <c r="B64" i="36"/>
  <c r="B65" i="36"/>
  <c r="C72" i="36"/>
  <c r="C73" i="36"/>
  <c r="C75" i="36"/>
  <c r="F76" i="36"/>
  <c r="F77" i="36"/>
  <c r="B81" i="36"/>
  <c r="B82" i="36"/>
  <c r="C89" i="36"/>
  <c r="C90" i="36"/>
  <c r="C92" i="36"/>
  <c r="F93" i="36"/>
  <c r="F94" i="36"/>
  <c r="B98" i="36"/>
  <c r="B99" i="36"/>
  <c r="C106" i="36"/>
  <c r="C107" i="36"/>
  <c r="C109" i="36"/>
  <c r="F110" i="36"/>
  <c r="F111" i="36"/>
  <c r="B115" i="36"/>
  <c r="B116" i="36"/>
  <c r="C123" i="36"/>
  <c r="C124" i="36"/>
  <c r="C126" i="36"/>
  <c r="F127" i="36"/>
  <c r="F128" i="36"/>
  <c r="B132" i="36"/>
  <c r="B133" i="36"/>
  <c r="C140" i="36"/>
  <c r="C141" i="36"/>
  <c r="C143" i="36"/>
  <c r="F144" i="36"/>
  <c r="F145" i="36"/>
  <c r="B149" i="36"/>
  <c r="B150" i="36"/>
  <c r="C157" i="36"/>
  <c r="C158" i="36"/>
  <c r="C160" i="36"/>
  <c r="F161" i="36"/>
  <c r="F162" i="36"/>
  <c r="B166" i="36"/>
  <c r="B167" i="36"/>
  <c r="C174" i="36"/>
  <c r="C175" i="36"/>
  <c r="C177" i="36"/>
  <c r="F178" i="36"/>
  <c r="F179" i="36"/>
  <c r="B183" i="36"/>
  <c r="B184" i="36"/>
  <c r="C191" i="36"/>
  <c r="C192" i="36"/>
  <c r="C194" i="36"/>
  <c r="F195" i="36"/>
  <c r="F196" i="36"/>
  <c r="B200" i="36"/>
  <c r="B201" i="36"/>
  <c r="C208" i="36"/>
  <c r="C209" i="36"/>
  <c r="C211" i="36"/>
  <c r="F212" i="36"/>
  <c r="F213" i="36"/>
  <c r="B217" i="36"/>
  <c r="B218" i="36"/>
  <c r="C225" i="36"/>
  <c r="C226" i="36"/>
  <c r="C228" i="36"/>
  <c r="F229" i="36"/>
  <c r="F230" i="36"/>
  <c r="B234" i="36"/>
  <c r="B235" i="36"/>
  <c r="C242" i="36"/>
  <c r="C243" i="36"/>
  <c r="C245" i="36"/>
  <c r="F246" i="36"/>
  <c r="F247" i="36"/>
  <c r="B251" i="36"/>
  <c r="B252" i="36"/>
  <c r="C259" i="36"/>
  <c r="C260" i="36"/>
  <c r="C262" i="36"/>
  <c r="F263" i="36"/>
  <c r="F264" i="36"/>
  <c r="B268" i="36"/>
  <c r="B269" i="36"/>
  <c r="C276" i="36"/>
  <c r="C277" i="36"/>
  <c r="C279" i="36"/>
  <c r="F280" i="36"/>
  <c r="F281" i="36"/>
  <c r="B285" i="36"/>
  <c r="B286" i="36"/>
  <c r="C293" i="36"/>
  <c r="C294" i="36"/>
  <c r="C296" i="36"/>
  <c r="F297" i="36"/>
  <c r="F298" i="36"/>
  <c r="B302" i="36"/>
  <c r="B303" i="36"/>
  <c r="C310" i="36"/>
  <c r="C311" i="36"/>
  <c r="C313" i="36"/>
  <c r="F314" i="36"/>
  <c r="F315" i="36"/>
  <c r="B319" i="36"/>
  <c r="B320" i="36"/>
  <c r="C327" i="36"/>
  <c r="C328" i="36"/>
  <c r="C330" i="36"/>
  <c r="F331" i="36"/>
  <c r="F332" i="36"/>
  <c r="B336" i="36"/>
  <c r="B337" i="36"/>
  <c r="C344" i="36"/>
  <c r="C345" i="36"/>
  <c r="C347" i="36"/>
  <c r="F348" i="36"/>
  <c r="F349" i="36"/>
  <c r="B353" i="36"/>
  <c r="B354" i="36"/>
  <c r="C361" i="36"/>
  <c r="C362" i="36"/>
  <c r="C364" i="36"/>
  <c r="F365" i="36"/>
  <c r="F366" i="36"/>
  <c r="B370" i="36"/>
  <c r="B371" i="36"/>
  <c r="C378" i="36"/>
  <c r="C379" i="36"/>
  <c r="C381" i="36"/>
  <c r="F382" i="36"/>
  <c r="F383" i="36"/>
  <c r="B387" i="36"/>
  <c r="B388" i="36"/>
  <c r="O13" i="8"/>
  <c r="F50" i="8"/>
  <c r="H8" i="8"/>
  <c r="C9" i="8"/>
  <c r="E9" i="8"/>
  <c r="C4" i="35"/>
  <c r="C5" i="35"/>
  <c r="C7" i="35"/>
  <c r="F8" i="35"/>
  <c r="F9" i="35"/>
  <c r="B13" i="35"/>
  <c r="B14" i="35"/>
  <c r="I15" i="35"/>
  <c r="C21" i="35"/>
  <c r="C22" i="35"/>
  <c r="C24" i="35"/>
  <c r="F25" i="35"/>
  <c r="F26" i="35"/>
  <c r="B30" i="35"/>
  <c r="B31" i="35"/>
  <c r="C38" i="35"/>
  <c r="C39" i="35"/>
  <c r="C41" i="35"/>
  <c r="F42" i="35"/>
  <c r="F43" i="35"/>
  <c r="B47" i="35"/>
  <c r="B48" i="35"/>
  <c r="C55" i="35"/>
  <c r="C56" i="35"/>
  <c r="C58" i="35"/>
  <c r="F59" i="35"/>
  <c r="F60" i="35"/>
  <c r="B64" i="35"/>
  <c r="B65" i="35"/>
  <c r="C72" i="35"/>
  <c r="C73" i="35"/>
  <c r="C75" i="35"/>
  <c r="F76" i="35"/>
  <c r="F77" i="35"/>
  <c r="B81" i="35"/>
  <c r="B82" i="35"/>
  <c r="C89" i="35"/>
  <c r="C90" i="35"/>
  <c r="C92" i="35"/>
  <c r="F93" i="35"/>
  <c r="F94" i="35"/>
  <c r="B98" i="35"/>
  <c r="B99" i="35"/>
  <c r="C106" i="35"/>
  <c r="C107" i="35"/>
  <c r="C109" i="35"/>
  <c r="F110" i="35"/>
  <c r="F111" i="35"/>
  <c r="B115" i="35"/>
  <c r="B116" i="35"/>
  <c r="C123" i="35"/>
  <c r="C124" i="35"/>
  <c r="C126" i="35"/>
  <c r="F127" i="35"/>
  <c r="F128" i="35"/>
  <c r="B132" i="35"/>
  <c r="B133" i="35"/>
  <c r="C140" i="35"/>
  <c r="C141" i="35"/>
  <c r="C143" i="35"/>
  <c r="F144" i="35"/>
  <c r="F145" i="35"/>
  <c r="B149" i="35"/>
  <c r="B150" i="35"/>
  <c r="C157" i="35"/>
  <c r="C158" i="35"/>
  <c r="C160" i="35"/>
  <c r="F161" i="35"/>
  <c r="F162" i="35"/>
  <c r="B166" i="35"/>
  <c r="B167" i="35"/>
  <c r="C174" i="35"/>
  <c r="C175" i="35"/>
  <c r="C177" i="35"/>
  <c r="F178" i="35"/>
  <c r="F179" i="35"/>
  <c r="B183" i="35"/>
  <c r="B184" i="35"/>
  <c r="C191" i="35"/>
  <c r="C192" i="35"/>
  <c r="C194" i="35"/>
  <c r="F195" i="35"/>
  <c r="F196" i="35"/>
  <c r="B200" i="35"/>
  <c r="B201" i="35"/>
  <c r="C208" i="35"/>
  <c r="C209" i="35"/>
  <c r="C211" i="35"/>
  <c r="F212" i="35"/>
  <c r="F213" i="35"/>
  <c r="B217" i="35"/>
  <c r="B218" i="35"/>
  <c r="C225" i="35"/>
  <c r="C226" i="35"/>
  <c r="C228" i="35"/>
  <c r="F229" i="35"/>
  <c r="F230" i="35"/>
  <c r="B234" i="35"/>
  <c r="B235" i="35"/>
  <c r="H3" i="19"/>
  <c r="O10" i="19"/>
  <c r="O11" i="19"/>
  <c r="O14" i="19"/>
  <c r="O13" i="19"/>
  <c r="O15" i="19"/>
  <c r="O16" i="19"/>
  <c r="O17" i="19"/>
  <c r="O18" i="19"/>
  <c r="O19" i="19"/>
  <c r="O12" i="19"/>
  <c r="O20" i="19"/>
  <c r="O21" i="19"/>
  <c r="O22" i="19"/>
  <c r="O23" i="19"/>
  <c r="O24" i="19"/>
  <c r="O25" i="19"/>
  <c r="O26" i="19"/>
  <c r="H6" i="19"/>
  <c r="C4" i="34"/>
  <c r="C5" i="34"/>
  <c r="C7" i="34"/>
  <c r="F8" i="34"/>
  <c r="F9" i="34"/>
  <c r="B13" i="34"/>
  <c r="B14" i="34"/>
  <c r="H16" i="34"/>
  <c r="C21" i="34"/>
  <c r="C22" i="34"/>
  <c r="C24" i="34"/>
  <c r="F25" i="34"/>
  <c r="F26" i="34"/>
  <c r="B30" i="34"/>
  <c r="B31" i="34"/>
  <c r="C38" i="34"/>
  <c r="C39" i="34"/>
  <c r="C41" i="34"/>
  <c r="F42" i="34"/>
  <c r="F43" i="34"/>
  <c r="B47" i="34"/>
  <c r="B48" i="34"/>
  <c r="C55" i="34"/>
  <c r="C56" i="34"/>
  <c r="C58" i="34"/>
  <c r="F59" i="34"/>
  <c r="F60" i="34"/>
  <c r="B64" i="34"/>
  <c r="B65" i="34"/>
  <c r="C72" i="34"/>
  <c r="C73" i="34"/>
  <c r="C75" i="34"/>
  <c r="F76" i="34"/>
  <c r="F77" i="34"/>
  <c r="B81" i="34"/>
  <c r="B82" i="34"/>
  <c r="C89" i="34"/>
  <c r="C90" i="34"/>
  <c r="C92" i="34"/>
  <c r="F93" i="34"/>
  <c r="F94" i="34"/>
  <c r="B98" i="34"/>
  <c r="B99" i="34"/>
  <c r="C106" i="34"/>
  <c r="C107" i="34"/>
  <c r="C109" i="34"/>
  <c r="F110" i="34"/>
  <c r="F111" i="34"/>
  <c r="B115" i="34"/>
  <c r="B116" i="34"/>
  <c r="C123" i="34"/>
  <c r="C124" i="34"/>
  <c r="C126" i="34"/>
  <c r="F127" i="34"/>
  <c r="F128" i="34"/>
  <c r="B132" i="34"/>
  <c r="B133" i="34"/>
  <c r="C140" i="34"/>
  <c r="C141" i="34"/>
  <c r="C143" i="34"/>
  <c r="F144" i="34"/>
  <c r="F145" i="34"/>
  <c r="B149" i="34"/>
  <c r="B150" i="34"/>
  <c r="C157" i="34"/>
  <c r="C158" i="34"/>
  <c r="C160" i="34"/>
  <c r="F161" i="34"/>
  <c r="F162" i="34"/>
  <c r="B166" i="34"/>
  <c r="B167" i="34"/>
  <c r="C174" i="34"/>
  <c r="C175" i="34"/>
  <c r="C177" i="34"/>
  <c r="F178" i="34"/>
  <c r="F179" i="34"/>
  <c r="B183" i="34"/>
  <c r="B184" i="34"/>
  <c r="C191" i="34"/>
  <c r="C192" i="34"/>
  <c r="C194" i="34"/>
  <c r="F195" i="34"/>
  <c r="F196" i="34"/>
  <c r="B200" i="34"/>
  <c r="B201" i="34"/>
  <c r="C208" i="34"/>
  <c r="C209" i="34"/>
  <c r="C211" i="34"/>
  <c r="F212" i="34"/>
  <c r="F213" i="34"/>
  <c r="B217" i="34"/>
  <c r="B218" i="34"/>
  <c r="C225" i="34"/>
  <c r="C226" i="34"/>
  <c r="C228" i="34"/>
  <c r="F229" i="34"/>
  <c r="F230" i="34"/>
  <c r="B234" i="34"/>
  <c r="B235" i="34"/>
  <c r="C242" i="34"/>
  <c r="C243" i="34"/>
  <c r="C245" i="34"/>
  <c r="F246" i="34"/>
  <c r="F247" i="34"/>
  <c r="B251" i="34"/>
  <c r="B252" i="34"/>
  <c r="C259" i="34"/>
  <c r="C260" i="34"/>
  <c r="C262" i="34"/>
  <c r="F263" i="34"/>
  <c r="F264" i="34"/>
  <c r="B268" i="34"/>
  <c r="B269" i="34"/>
  <c r="H5" i="7"/>
  <c r="I40" i="7"/>
  <c r="H8" i="7"/>
  <c r="C9" i="7"/>
  <c r="E9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E40" i="7"/>
  <c r="C4" i="33"/>
  <c r="C5" i="33"/>
  <c r="C7" i="33"/>
  <c r="F8" i="33"/>
  <c r="F9" i="33"/>
  <c r="B13" i="33"/>
  <c r="B14" i="33"/>
  <c r="C21" i="33"/>
  <c r="C22" i="33"/>
  <c r="C24" i="33"/>
  <c r="F25" i="33"/>
  <c r="F26" i="33"/>
  <c r="B30" i="33"/>
  <c r="B31" i="33"/>
  <c r="C38" i="33"/>
  <c r="C39" i="33"/>
  <c r="C41" i="33"/>
  <c r="F42" i="33"/>
  <c r="F43" i="33"/>
  <c r="B47" i="33"/>
  <c r="B48" i="33"/>
  <c r="C55" i="33"/>
  <c r="C56" i="33"/>
  <c r="C58" i="33"/>
  <c r="F59" i="33"/>
  <c r="F60" i="33"/>
  <c r="B64" i="33"/>
  <c r="B65" i="33"/>
  <c r="C72" i="33"/>
  <c r="C73" i="33"/>
  <c r="C75" i="33"/>
  <c r="F76" i="33"/>
  <c r="F77" i="33"/>
  <c r="B81" i="33"/>
  <c r="B82" i="33"/>
  <c r="C89" i="33"/>
  <c r="C90" i="33"/>
  <c r="C92" i="33"/>
  <c r="F93" i="33"/>
  <c r="F94" i="33"/>
  <c r="B98" i="33"/>
  <c r="B99" i="33"/>
  <c r="H5" i="6"/>
  <c r="I24" i="6"/>
  <c r="H7" i="6"/>
  <c r="C9" i="6"/>
  <c r="E9" i="6"/>
  <c r="O13" i="6"/>
  <c r="O14" i="6"/>
  <c r="O15" i="6"/>
  <c r="O16" i="6"/>
  <c r="O17" i="6"/>
  <c r="O18" i="6"/>
  <c r="O19" i="6"/>
  <c r="O20" i="6"/>
  <c r="O21" i="6"/>
  <c r="O22" i="6"/>
  <c r="O23" i="6"/>
  <c r="E24" i="6"/>
  <c r="C4" i="32"/>
  <c r="C5" i="32"/>
  <c r="C7" i="32"/>
  <c r="F8" i="32"/>
  <c r="F9" i="32"/>
  <c r="B13" i="32"/>
  <c r="B14" i="32"/>
  <c r="C21" i="32"/>
  <c r="C24" i="32"/>
  <c r="F25" i="32"/>
  <c r="F26" i="32"/>
  <c r="B30" i="32"/>
  <c r="B31" i="32"/>
  <c r="C38" i="32"/>
  <c r="C39" i="32"/>
  <c r="C41" i="32"/>
  <c r="F41" i="32"/>
  <c r="F42" i="32"/>
  <c r="C43" i="32"/>
  <c r="F43" i="32"/>
  <c r="D44" i="32"/>
  <c r="F44" i="32"/>
  <c r="E44" i="32"/>
  <c r="D45" i="32"/>
  <c r="F45" i="32"/>
  <c r="E45" i="32"/>
  <c r="B47" i="32"/>
  <c r="B48" i="32"/>
  <c r="B50" i="32"/>
  <c r="C55" i="32"/>
  <c r="C56" i="32"/>
  <c r="C58" i="32"/>
  <c r="F59" i="32"/>
  <c r="F60" i="32"/>
  <c r="B64" i="32"/>
  <c r="B65" i="32"/>
  <c r="C72" i="32"/>
  <c r="C73" i="32"/>
  <c r="C75" i="32"/>
  <c r="F76" i="32"/>
  <c r="F77" i="32"/>
  <c r="B81" i="32"/>
  <c r="B82" i="32"/>
  <c r="C89" i="32"/>
  <c r="C90" i="32"/>
  <c r="C92" i="32"/>
  <c r="F93" i="32"/>
  <c r="F94" i="32"/>
  <c r="B98" i="32"/>
  <c r="B99" i="32"/>
  <c r="C106" i="32"/>
  <c r="C107" i="32"/>
  <c r="C109" i="32"/>
  <c r="F110" i="32"/>
  <c r="F111" i="32"/>
  <c r="B115" i="32"/>
  <c r="B116" i="32"/>
  <c r="C123" i="32"/>
  <c r="C124" i="32"/>
  <c r="C126" i="32"/>
  <c r="F127" i="32"/>
  <c r="F128" i="32"/>
  <c r="B132" i="32"/>
  <c r="B133" i="32"/>
  <c r="H6" i="5"/>
  <c r="I25" i="5"/>
  <c r="H9" i="5"/>
  <c r="C10" i="5"/>
  <c r="E10" i="5"/>
  <c r="O13" i="5"/>
  <c r="O14" i="5"/>
  <c r="O15" i="5"/>
  <c r="O16" i="5"/>
  <c r="H17" i="5"/>
  <c r="C26" i="32"/>
  <c r="O17" i="5"/>
  <c r="O18" i="5"/>
  <c r="O19" i="5"/>
  <c r="O20" i="5"/>
  <c r="O21" i="5"/>
  <c r="O22" i="5"/>
  <c r="O23" i="5"/>
  <c r="O24" i="5"/>
  <c r="E25" i="5"/>
  <c r="C4" i="31"/>
  <c r="C5" i="31"/>
  <c r="C7" i="31"/>
  <c r="F8" i="31"/>
  <c r="F9" i="31"/>
  <c r="B13" i="31"/>
  <c r="B14" i="31"/>
  <c r="I14" i="31"/>
  <c r="C21" i="31"/>
  <c r="C22" i="31"/>
  <c r="C24" i="31"/>
  <c r="F25" i="31"/>
  <c r="F26" i="31"/>
  <c r="B30" i="31"/>
  <c r="B31" i="31"/>
  <c r="C38" i="31"/>
  <c r="C39" i="31"/>
  <c r="C41" i="31"/>
  <c r="F42" i="31"/>
  <c r="F43" i="31"/>
  <c r="B47" i="31"/>
  <c r="B48" i="31"/>
  <c r="C55" i="31"/>
  <c r="C56" i="31"/>
  <c r="C58" i="31"/>
  <c r="F59" i="31"/>
  <c r="F60" i="31"/>
  <c r="B64" i="31"/>
  <c r="B65" i="31"/>
  <c r="C72" i="31"/>
  <c r="C73" i="31"/>
  <c r="C75" i="31"/>
  <c r="F76" i="31"/>
  <c r="F77" i="31"/>
  <c r="B81" i="31"/>
  <c r="B82" i="31"/>
  <c r="C89" i="31"/>
  <c r="C90" i="31"/>
  <c r="C92" i="31"/>
  <c r="F93" i="31"/>
  <c r="F94" i="31"/>
  <c r="B98" i="31"/>
  <c r="B99" i="31"/>
  <c r="C106" i="31"/>
  <c r="C107" i="31"/>
  <c r="C109" i="31"/>
  <c r="F110" i="31"/>
  <c r="F111" i="31"/>
  <c r="B115" i="31"/>
  <c r="B116" i="31"/>
  <c r="C123" i="31"/>
  <c r="C124" i="31"/>
  <c r="C126" i="31"/>
  <c r="F127" i="31"/>
  <c r="F128" i="31"/>
  <c r="B132" i="31"/>
  <c r="B133" i="31"/>
  <c r="C140" i="31"/>
  <c r="C141" i="31"/>
  <c r="C143" i="31"/>
  <c r="F144" i="31"/>
  <c r="F145" i="31"/>
  <c r="B149" i="31"/>
  <c r="B150" i="31"/>
  <c r="C157" i="31"/>
  <c r="C158" i="31"/>
  <c r="C160" i="31"/>
  <c r="F161" i="31"/>
  <c r="F162" i="31"/>
  <c r="B166" i="31"/>
  <c r="B167" i="31"/>
  <c r="C174" i="31"/>
  <c r="C175" i="31"/>
  <c r="C177" i="31"/>
  <c r="F178" i="31"/>
  <c r="F179" i="31"/>
  <c r="B183" i="31"/>
  <c r="B184" i="31"/>
  <c r="C191" i="31"/>
  <c r="C192" i="31"/>
  <c r="C194" i="31"/>
  <c r="F195" i="31"/>
  <c r="F196" i="31"/>
  <c r="B200" i="31"/>
  <c r="B201" i="31"/>
  <c r="C208" i="31"/>
  <c r="C209" i="31"/>
  <c r="C211" i="31"/>
  <c r="F212" i="31"/>
  <c r="F213" i="31"/>
  <c r="B217" i="31"/>
  <c r="B218" i="31"/>
  <c r="C225" i="31"/>
  <c r="C226" i="31"/>
  <c r="C228" i="31"/>
  <c r="F228" i="31"/>
  <c r="F229" i="31"/>
  <c r="C230" i="31"/>
  <c r="F230" i="31"/>
  <c r="D231" i="31"/>
  <c r="F231" i="31"/>
  <c r="E231" i="31"/>
  <c r="D232" i="31"/>
  <c r="G232" i="31"/>
  <c r="B234" i="31"/>
  <c r="B235" i="31"/>
  <c r="B237" i="31"/>
  <c r="O23" i="4"/>
  <c r="O24" i="4"/>
  <c r="O25" i="4"/>
  <c r="O26" i="4"/>
  <c r="O27" i="4"/>
  <c r="O16" i="4"/>
  <c r="O17" i="4"/>
  <c r="B2" i="30"/>
  <c r="C4" i="30"/>
  <c r="C5" i="30"/>
  <c r="C7" i="30"/>
  <c r="F8" i="30"/>
  <c r="F9" i="30"/>
  <c r="B13" i="30"/>
  <c r="H13" i="30"/>
  <c r="B14" i="30"/>
  <c r="B19" i="30"/>
  <c r="C21" i="30"/>
  <c r="C22" i="30"/>
  <c r="C24" i="30"/>
  <c r="F25" i="30"/>
  <c r="F26" i="30"/>
  <c r="B30" i="30"/>
  <c r="B31" i="30"/>
  <c r="B36" i="30"/>
  <c r="C38" i="30"/>
  <c r="C39" i="30"/>
  <c r="C41" i="30"/>
  <c r="F42" i="30"/>
  <c r="F43" i="30"/>
  <c r="B47" i="30"/>
  <c r="B48" i="30"/>
  <c r="B53" i="30"/>
  <c r="C55" i="30"/>
  <c r="C56" i="30"/>
  <c r="C58" i="30"/>
  <c r="F59" i="30"/>
  <c r="F60" i="30"/>
  <c r="B64" i="30"/>
  <c r="B65" i="30"/>
  <c r="B70" i="30"/>
  <c r="C72" i="30"/>
  <c r="C73" i="30"/>
  <c r="C75" i="30"/>
  <c r="F76" i="30"/>
  <c r="F77" i="30"/>
  <c r="B81" i="30"/>
  <c r="B82" i="30"/>
  <c r="B87" i="30"/>
  <c r="C89" i="30"/>
  <c r="C90" i="30"/>
  <c r="C92" i="30"/>
  <c r="F93" i="30"/>
  <c r="F94" i="30"/>
  <c r="B98" i="30"/>
  <c r="B99" i="30"/>
  <c r="B104" i="30"/>
  <c r="C106" i="30"/>
  <c r="C107" i="30"/>
  <c r="C109" i="30"/>
  <c r="F110" i="30"/>
  <c r="F111" i="30"/>
  <c r="B115" i="30"/>
  <c r="B116" i="30"/>
  <c r="B121" i="30"/>
  <c r="C123" i="30"/>
  <c r="C124" i="30"/>
  <c r="C126" i="30"/>
  <c r="F127" i="30"/>
  <c r="F128" i="30"/>
  <c r="B132" i="30"/>
  <c r="B133" i="30"/>
  <c r="B138" i="30"/>
  <c r="C140" i="30"/>
  <c r="C141" i="30"/>
  <c r="C143" i="30"/>
  <c r="F144" i="30"/>
  <c r="F145" i="30"/>
  <c r="B149" i="30"/>
  <c r="B150" i="30"/>
  <c r="B155" i="30"/>
  <c r="C157" i="30"/>
  <c r="C158" i="30"/>
  <c r="C160" i="30"/>
  <c r="F161" i="30"/>
  <c r="F162" i="30"/>
  <c r="B166" i="30"/>
  <c r="B167" i="30"/>
  <c r="B172" i="30"/>
  <c r="C174" i="30"/>
  <c r="C175" i="30"/>
  <c r="C177" i="30"/>
  <c r="F178" i="30"/>
  <c r="F179" i="30"/>
  <c r="B183" i="30"/>
  <c r="B184" i="30"/>
  <c r="B189" i="30"/>
  <c r="C191" i="30"/>
  <c r="C192" i="30"/>
  <c r="C194" i="30"/>
  <c r="F195" i="30"/>
  <c r="F196" i="30"/>
  <c r="B200" i="30"/>
  <c r="B201" i="30"/>
  <c r="B206" i="30"/>
  <c r="C208" i="30"/>
  <c r="C209" i="30"/>
  <c r="C211" i="30"/>
  <c r="F212" i="30"/>
  <c r="F213" i="30"/>
  <c r="B217" i="30"/>
  <c r="B218" i="30"/>
  <c r="B223" i="30"/>
  <c r="C225" i="30"/>
  <c r="C226" i="30"/>
  <c r="C228" i="30"/>
  <c r="F229" i="30"/>
  <c r="F230" i="30"/>
  <c r="B234" i="30"/>
  <c r="B235" i="30"/>
  <c r="B240" i="30"/>
  <c r="C242" i="30"/>
  <c r="C243" i="30"/>
  <c r="C245" i="30"/>
  <c r="F246" i="30"/>
  <c r="F247" i="30"/>
  <c r="B251" i="30"/>
  <c r="B252" i="30"/>
  <c r="B257" i="30"/>
  <c r="C259" i="30"/>
  <c r="C260" i="30"/>
  <c r="C262" i="30"/>
  <c r="F263" i="30"/>
  <c r="F264" i="30"/>
  <c r="B268" i="30"/>
  <c r="B269" i="30"/>
  <c r="B274" i="30"/>
  <c r="C276" i="30"/>
  <c r="C277" i="30"/>
  <c r="C279" i="30"/>
  <c r="F280" i="30"/>
  <c r="F281" i="30"/>
  <c r="B285" i="30"/>
  <c r="B286" i="30"/>
  <c r="B291" i="30"/>
  <c r="C293" i="30"/>
  <c r="C294" i="30"/>
  <c r="C296" i="30"/>
  <c r="F297" i="30"/>
  <c r="F298" i="30"/>
  <c r="B302" i="30"/>
  <c r="B303" i="30"/>
  <c r="B308" i="30"/>
  <c r="C310" i="30"/>
  <c r="C311" i="30"/>
  <c r="C313" i="30"/>
  <c r="F314" i="30"/>
  <c r="F315" i="30"/>
  <c r="B319" i="30"/>
  <c r="B320" i="30"/>
  <c r="B325" i="30"/>
  <c r="C327" i="30"/>
  <c r="C328" i="30"/>
  <c r="C330" i="30"/>
  <c r="F331" i="30"/>
  <c r="F332" i="30"/>
  <c r="B336" i="30"/>
  <c r="B337" i="30"/>
  <c r="B342" i="30"/>
  <c r="C344" i="30"/>
  <c r="C345" i="30"/>
  <c r="C347" i="30"/>
  <c r="F348" i="30"/>
  <c r="F349" i="30"/>
  <c r="B353" i="30"/>
  <c r="B354" i="30"/>
  <c r="B359" i="30"/>
  <c r="C361" i="30"/>
  <c r="C362" i="30"/>
  <c r="C364" i="30"/>
  <c r="F365" i="30"/>
  <c r="F366" i="30"/>
  <c r="B370" i="30"/>
  <c r="B371" i="30"/>
  <c r="B376" i="30"/>
  <c r="C378" i="30"/>
  <c r="C379" i="30"/>
  <c r="C381" i="30"/>
  <c r="F382" i="30"/>
  <c r="F383" i="30"/>
  <c r="B387" i="30"/>
  <c r="B388" i="30"/>
  <c r="B393" i="30"/>
  <c r="C395" i="30"/>
  <c r="C396" i="30"/>
  <c r="C398" i="30"/>
  <c r="F399" i="30"/>
  <c r="F400" i="30"/>
  <c r="B404" i="30"/>
  <c r="B405" i="30"/>
  <c r="B410" i="30"/>
  <c r="C412" i="30"/>
  <c r="C413" i="30"/>
  <c r="C415" i="30"/>
  <c r="F416" i="30"/>
  <c r="F417" i="30"/>
  <c r="B421" i="30"/>
  <c r="B422" i="30"/>
  <c r="B427" i="30"/>
  <c r="C429" i="30"/>
  <c r="C430" i="30"/>
  <c r="C432" i="30"/>
  <c r="F433" i="30"/>
  <c r="F434" i="30"/>
  <c r="B438" i="30"/>
  <c r="B439" i="30"/>
  <c r="B444" i="30"/>
  <c r="C446" i="30"/>
  <c r="C447" i="30"/>
  <c r="C449" i="30"/>
  <c r="F450" i="30"/>
  <c r="F451" i="30"/>
  <c r="B455" i="30"/>
  <c r="B456" i="30"/>
  <c r="B461" i="30"/>
  <c r="C463" i="30"/>
  <c r="C464" i="30"/>
  <c r="C466" i="30"/>
  <c r="F467" i="30"/>
  <c r="F468" i="30"/>
  <c r="B472" i="30"/>
  <c r="B473" i="30"/>
  <c r="B478" i="30"/>
  <c r="C480" i="30"/>
  <c r="C481" i="30"/>
  <c r="C483" i="30"/>
  <c r="F484" i="30"/>
  <c r="F485" i="30"/>
  <c r="B489" i="30"/>
  <c r="B490" i="30"/>
  <c r="B495" i="30"/>
  <c r="C497" i="30"/>
  <c r="C498" i="30"/>
  <c r="C500" i="30"/>
  <c r="F501" i="30"/>
  <c r="F502" i="30"/>
  <c r="B506" i="30"/>
  <c r="B507" i="30"/>
  <c r="B512" i="30"/>
  <c r="C514" i="30"/>
  <c r="C515" i="30"/>
  <c r="C517" i="30"/>
  <c r="F518" i="30"/>
  <c r="F519" i="30"/>
  <c r="B523" i="30"/>
  <c r="B524" i="30"/>
  <c r="B529" i="30"/>
  <c r="C531" i="30"/>
  <c r="C532" i="30"/>
  <c r="C534" i="30"/>
  <c r="F534" i="30"/>
  <c r="F535" i="30"/>
  <c r="C536" i="30"/>
  <c r="F536" i="30"/>
  <c r="D537" i="30"/>
  <c r="F537" i="30"/>
  <c r="E537" i="30"/>
  <c r="D538" i="30"/>
  <c r="F538" i="30"/>
  <c r="E538" i="30"/>
  <c r="B540" i="30"/>
  <c r="B541" i="30"/>
  <c r="B543" i="30"/>
  <c r="H5" i="2"/>
  <c r="B2" i="28"/>
  <c r="C4" i="28"/>
  <c r="C5" i="28"/>
  <c r="C7" i="28"/>
  <c r="F8" i="28"/>
  <c r="F9" i="28"/>
  <c r="I12" i="28"/>
  <c r="B13" i="28"/>
  <c r="B14" i="28"/>
  <c r="B19" i="28"/>
  <c r="C21" i="28"/>
  <c r="C22" i="28"/>
  <c r="C24" i="28"/>
  <c r="F25" i="28"/>
  <c r="F26" i="28"/>
  <c r="B30" i="28"/>
  <c r="B31" i="28"/>
  <c r="B36" i="28"/>
  <c r="C38" i="28"/>
  <c r="C39" i="28"/>
  <c r="C41" i="28"/>
  <c r="F42" i="28"/>
  <c r="F43" i="28"/>
  <c r="B47" i="28"/>
  <c r="B48" i="28"/>
  <c r="B53" i="28"/>
  <c r="C55" i="28"/>
  <c r="C56" i="28"/>
  <c r="C58" i="28"/>
  <c r="F58" i="28"/>
  <c r="F59" i="28"/>
  <c r="C60" i="28"/>
  <c r="F60" i="28"/>
  <c r="D61" i="28"/>
  <c r="F61" i="28"/>
  <c r="E61" i="28"/>
  <c r="D62" i="28"/>
  <c r="G62" i="28"/>
  <c r="B64" i="28"/>
  <c r="B65" i="28"/>
  <c r="B67" i="28"/>
  <c r="H5" i="12"/>
  <c r="I19" i="12"/>
  <c r="H7" i="12"/>
  <c r="C9" i="12"/>
  <c r="F9" i="12"/>
  <c r="O13" i="12"/>
  <c r="O14" i="12"/>
  <c r="O15" i="12"/>
  <c r="O16" i="12"/>
  <c r="O17" i="12"/>
  <c r="O18" i="12"/>
  <c r="E19" i="12"/>
  <c r="B2" i="66"/>
  <c r="F8" i="66"/>
  <c r="F9" i="66"/>
  <c r="F10" i="66"/>
  <c r="G11" i="66"/>
  <c r="I12" i="66"/>
  <c r="B13" i="66"/>
  <c r="B14" i="66"/>
  <c r="B19" i="66"/>
  <c r="F25" i="66"/>
  <c r="F26" i="66"/>
  <c r="F27" i="66"/>
  <c r="G28" i="66"/>
  <c r="B30" i="66"/>
  <c r="B31" i="66"/>
  <c r="B36" i="66"/>
  <c r="F42" i="66"/>
  <c r="F43" i="66"/>
  <c r="F44" i="66"/>
  <c r="G45" i="66"/>
  <c r="B47" i="66"/>
  <c r="B48" i="66"/>
  <c r="B53" i="66"/>
  <c r="F59" i="66"/>
  <c r="F60" i="66"/>
  <c r="G62" i="66"/>
  <c r="B64" i="66"/>
  <c r="B65" i="66"/>
  <c r="B67" i="66"/>
  <c r="B70" i="66"/>
  <c r="C72" i="66"/>
  <c r="C73" i="66"/>
  <c r="C75" i="66"/>
  <c r="F76" i="66"/>
  <c r="F77" i="66"/>
  <c r="D78" i="66"/>
  <c r="F78" i="66"/>
  <c r="E78" i="66"/>
  <c r="D79" i="66"/>
  <c r="G79" i="66"/>
  <c r="B81" i="66"/>
  <c r="B82" i="66"/>
  <c r="B84" i="66"/>
  <c r="B87" i="66"/>
  <c r="C89" i="66"/>
  <c r="C90" i="66"/>
  <c r="C92" i="66"/>
  <c r="F93" i="66"/>
  <c r="F94" i="66"/>
  <c r="D95" i="66"/>
  <c r="F95" i="66"/>
  <c r="E95" i="66"/>
  <c r="D96" i="66"/>
  <c r="G96" i="66"/>
  <c r="B98" i="66"/>
  <c r="B99" i="66"/>
  <c r="B101" i="66"/>
  <c r="B104" i="66"/>
  <c r="C106" i="66"/>
  <c r="C107" i="66"/>
  <c r="C109" i="66"/>
  <c r="F110" i="66"/>
  <c r="F111" i="66"/>
  <c r="D112" i="66"/>
  <c r="F112" i="66"/>
  <c r="E112" i="66"/>
  <c r="D113" i="66"/>
  <c r="G113" i="66"/>
  <c r="B115" i="66"/>
  <c r="B116" i="66"/>
  <c r="B118" i="66"/>
  <c r="B121" i="66"/>
  <c r="C123" i="66"/>
  <c r="C124" i="66"/>
  <c r="C126" i="66"/>
  <c r="F127" i="66"/>
  <c r="F128" i="66"/>
  <c r="D129" i="66"/>
  <c r="F129" i="66"/>
  <c r="E129" i="66"/>
  <c r="D130" i="66"/>
  <c r="G130" i="66"/>
  <c r="B132" i="66"/>
  <c r="B133" i="66"/>
  <c r="B135" i="66"/>
  <c r="B138" i="66"/>
  <c r="C140" i="66"/>
  <c r="C141" i="66"/>
  <c r="C143" i="66"/>
  <c r="F144" i="66"/>
  <c r="F145" i="66"/>
  <c r="D146" i="66"/>
  <c r="F146" i="66"/>
  <c r="E146" i="66"/>
  <c r="D147" i="66"/>
  <c r="G147" i="66"/>
  <c r="B149" i="66"/>
  <c r="B150" i="66"/>
  <c r="B152" i="66"/>
  <c r="B155" i="66"/>
  <c r="C157" i="66"/>
  <c r="C158" i="66"/>
  <c r="C160" i="66"/>
  <c r="F161" i="66"/>
  <c r="F162" i="66"/>
  <c r="D163" i="66"/>
  <c r="F163" i="66"/>
  <c r="E163" i="66"/>
  <c r="D164" i="66"/>
  <c r="G164" i="66"/>
  <c r="B166" i="66"/>
  <c r="B167" i="66"/>
  <c r="B169" i="66"/>
  <c r="B172" i="66"/>
  <c r="C174" i="66"/>
  <c r="C175" i="66"/>
  <c r="C177" i="66"/>
  <c r="F178" i="66"/>
  <c r="F179" i="66"/>
  <c r="D180" i="66"/>
  <c r="F180" i="66"/>
  <c r="E180" i="66"/>
  <c r="D181" i="66"/>
  <c r="G181" i="66"/>
  <c r="B183" i="66"/>
  <c r="B184" i="66"/>
  <c r="B186" i="66"/>
  <c r="B189" i="66"/>
  <c r="C191" i="66"/>
  <c r="C192" i="66"/>
  <c r="C194" i="66"/>
  <c r="F195" i="66"/>
  <c r="F196" i="66"/>
  <c r="D197" i="66"/>
  <c r="F197" i="66"/>
  <c r="E197" i="66"/>
  <c r="D198" i="66"/>
  <c r="G198" i="66"/>
  <c r="B200" i="66"/>
  <c r="B201" i="66"/>
  <c r="B203" i="66"/>
  <c r="B206" i="66"/>
  <c r="C208" i="66"/>
  <c r="C209" i="66"/>
  <c r="C211" i="66"/>
  <c r="F212" i="66"/>
  <c r="F213" i="66"/>
  <c r="D214" i="66"/>
  <c r="F214" i="66"/>
  <c r="E214" i="66"/>
  <c r="D215" i="66"/>
  <c r="G215" i="66"/>
  <c r="B217" i="66"/>
  <c r="B218" i="66"/>
  <c r="B220" i="66"/>
  <c r="B223" i="66"/>
  <c r="C225" i="66"/>
  <c r="C226" i="66"/>
  <c r="C228" i="66"/>
  <c r="F229" i="66"/>
  <c r="F230" i="66"/>
  <c r="D231" i="66"/>
  <c r="F231" i="66"/>
  <c r="E231" i="66"/>
  <c r="D232" i="66"/>
  <c r="G232" i="66"/>
  <c r="B234" i="66"/>
  <c r="B235" i="66"/>
  <c r="B237" i="66"/>
  <c r="B240" i="66"/>
  <c r="C242" i="66"/>
  <c r="C243" i="66"/>
  <c r="C245" i="66"/>
  <c r="F246" i="66"/>
  <c r="F247" i="66"/>
  <c r="D248" i="66"/>
  <c r="F248" i="66"/>
  <c r="E248" i="66"/>
  <c r="D249" i="66"/>
  <c r="G249" i="66"/>
  <c r="B251" i="66"/>
  <c r="B252" i="66"/>
  <c r="B254" i="66"/>
  <c r="B257" i="66"/>
  <c r="C259" i="66"/>
  <c r="C260" i="66"/>
  <c r="C262" i="66"/>
  <c r="F263" i="66"/>
  <c r="F264" i="66"/>
  <c r="D265" i="66"/>
  <c r="F265" i="66"/>
  <c r="E265" i="66"/>
  <c r="D266" i="66"/>
  <c r="G266" i="66"/>
  <c r="B268" i="66"/>
  <c r="B269" i="66"/>
  <c r="B271" i="66"/>
  <c r="B274" i="66"/>
  <c r="C276" i="66"/>
  <c r="C277" i="66"/>
  <c r="C279" i="66"/>
  <c r="F280" i="66"/>
  <c r="F281" i="66"/>
  <c r="D282" i="66"/>
  <c r="F282" i="66"/>
  <c r="E282" i="66"/>
  <c r="D283" i="66"/>
  <c r="G283" i="66"/>
  <c r="B285" i="66"/>
  <c r="B286" i="66"/>
  <c r="B288" i="66"/>
  <c r="B291" i="66"/>
  <c r="C293" i="66"/>
  <c r="C294" i="66"/>
  <c r="C296" i="66"/>
  <c r="F297" i="66"/>
  <c r="F298" i="66"/>
  <c r="D299" i="66"/>
  <c r="F299" i="66"/>
  <c r="E299" i="66"/>
  <c r="D300" i="66"/>
  <c r="G300" i="66"/>
  <c r="B302" i="66"/>
  <c r="B303" i="66"/>
  <c r="B305" i="66"/>
  <c r="B308" i="66"/>
  <c r="C310" i="66"/>
  <c r="C311" i="66"/>
  <c r="C313" i="66"/>
  <c r="F314" i="66"/>
  <c r="F315" i="66"/>
  <c r="D316" i="66"/>
  <c r="F316" i="66"/>
  <c r="E316" i="66"/>
  <c r="D317" i="66"/>
  <c r="G317" i="66"/>
  <c r="B319" i="66"/>
  <c r="B320" i="66"/>
  <c r="B322" i="66"/>
  <c r="B325" i="66"/>
  <c r="C327" i="66"/>
  <c r="C328" i="66"/>
  <c r="C330" i="66"/>
  <c r="F331" i="66"/>
  <c r="F332" i="66"/>
  <c r="D333" i="66"/>
  <c r="F333" i="66"/>
  <c r="E333" i="66"/>
  <c r="D334" i="66"/>
  <c r="G334" i="66"/>
  <c r="B336" i="66"/>
  <c r="B337" i="66"/>
  <c r="B339" i="66"/>
  <c r="B342" i="66"/>
  <c r="C344" i="66"/>
  <c r="C345" i="66"/>
  <c r="C347" i="66"/>
  <c r="F348" i="66"/>
  <c r="F349" i="66"/>
  <c r="D350" i="66"/>
  <c r="F350" i="66"/>
  <c r="E350" i="66"/>
  <c r="D351" i="66"/>
  <c r="F351" i="66"/>
  <c r="E351" i="66"/>
  <c r="B353" i="66"/>
  <c r="B354" i="66"/>
  <c r="B356" i="66"/>
  <c r="B359" i="66"/>
  <c r="C361" i="66"/>
  <c r="C362" i="66"/>
  <c r="C364" i="66"/>
  <c r="F365" i="66"/>
  <c r="F366" i="66"/>
  <c r="D367" i="66"/>
  <c r="F367" i="66"/>
  <c r="E367" i="66"/>
  <c r="D368" i="66"/>
  <c r="G368" i="66"/>
  <c r="B370" i="66"/>
  <c r="B371" i="66"/>
  <c r="B373" i="66"/>
  <c r="H6" i="1"/>
  <c r="C10" i="1"/>
  <c r="F10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E41" i="1"/>
  <c r="I41" i="1"/>
  <c r="C65" i="1"/>
  <c r="F65" i="1"/>
  <c r="F10" i="27"/>
  <c r="H10" i="27"/>
  <c r="I10" i="27"/>
  <c r="J10" i="27"/>
  <c r="K10" i="27"/>
  <c r="F11" i="27"/>
  <c r="H11" i="27"/>
  <c r="K11" i="27"/>
  <c r="D12" i="27"/>
  <c r="D11" i="27"/>
  <c r="C5" i="12"/>
  <c r="K13" i="12"/>
  <c r="F12" i="27"/>
  <c r="H12" i="27"/>
  <c r="K12" i="27"/>
  <c r="F13" i="27"/>
  <c r="H13" i="27"/>
  <c r="K13" i="27"/>
  <c r="F14" i="27"/>
  <c r="H14" i="27"/>
  <c r="K14" i="27"/>
  <c r="F15" i="27"/>
  <c r="H15" i="27"/>
  <c r="K15" i="27"/>
  <c r="F16" i="27"/>
  <c r="H16" i="27"/>
  <c r="K16" i="27"/>
  <c r="F17" i="27"/>
  <c r="H17" i="27"/>
  <c r="K17" i="27"/>
  <c r="F18" i="27"/>
  <c r="H18" i="27"/>
  <c r="K18" i="27"/>
  <c r="D17" i="27"/>
  <c r="F19" i="27"/>
  <c r="H19" i="27"/>
  <c r="K19" i="27"/>
  <c r="F20" i="27"/>
  <c r="C6" i="21"/>
  <c r="L45" i="21"/>
  <c r="F21" i="27"/>
  <c r="F22" i="27"/>
  <c r="H22" i="27"/>
  <c r="K22" i="27"/>
  <c r="F23" i="27"/>
  <c r="H23" i="27"/>
  <c r="K23" i="27"/>
  <c r="F24" i="27"/>
  <c r="H24" i="27"/>
  <c r="I24" i="27"/>
  <c r="J24" i="27"/>
  <c r="K24" i="27"/>
  <c r="D25" i="27"/>
  <c r="F25" i="27"/>
  <c r="F26" i="27"/>
  <c r="H26" i="27"/>
  <c r="K26" i="27"/>
  <c r="F27" i="27"/>
  <c r="G27" i="27"/>
  <c r="H27" i="27"/>
  <c r="I27" i="27"/>
  <c r="J27" i="27"/>
  <c r="K27" i="27"/>
  <c r="F30" i="26"/>
  <c r="T17" i="12"/>
  <c r="Q17" i="60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602" i="24"/>
  <c r="A603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74" i="24"/>
  <c r="A675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743" i="24"/>
  <c r="A744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809" i="24"/>
  <c r="A810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H5" i="48"/>
  <c r="I5" i="48"/>
  <c r="K5" i="48"/>
  <c r="H6" i="48"/>
  <c r="H7" i="48"/>
  <c r="I7" i="48"/>
  <c r="K7" i="48"/>
  <c r="H8" i="48"/>
  <c r="I8" i="48"/>
  <c r="K8" i="48"/>
  <c r="H9" i="48"/>
  <c r="I9" i="48"/>
  <c r="K9" i="48"/>
  <c r="H10" i="48"/>
  <c r="H11" i="48"/>
  <c r="H12" i="48"/>
  <c r="H13" i="48"/>
  <c r="J16" i="48"/>
  <c r="H16" i="48"/>
  <c r="K16" i="48"/>
  <c r="G17" i="48"/>
  <c r="J17" i="48"/>
  <c r="H17" i="48"/>
  <c r="K17" i="48"/>
  <c r="G18" i="48"/>
  <c r="J18" i="48"/>
  <c r="H18" i="48"/>
  <c r="K18" i="48"/>
  <c r="F19" i="48"/>
  <c r="G21" i="48"/>
  <c r="J21" i="48"/>
  <c r="H21" i="48"/>
  <c r="K21" i="48"/>
  <c r="G22" i="48"/>
  <c r="J22" i="48"/>
  <c r="H22" i="48"/>
  <c r="K22" i="48"/>
  <c r="F25" i="48"/>
  <c r="F27" i="48"/>
  <c r="G28" i="48"/>
  <c r="J28" i="48"/>
  <c r="H28" i="48"/>
  <c r="K28" i="48"/>
  <c r="G29" i="48"/>
  <c r="J29" i="48"/>
  <c r="H29" i="48"/>
  <c r="K29" i="48"/>
  <c r="G30" i="48"/>
  <c r="J30" i="48"/>
  <c r="H30" i="48"/>
  <c r="K30" i="48"/>
  <c r="G31" i="48"/>
  <c r="J31" i="48"/>
  <c r="H31" i="48"/>
  <c r="K31" i="48"/>
  <c r="J32" i="48"/>
  <c r="H32" i="48"/>
  <c r="K32" i="48"/>
  <c r="J33" i="48"/>
  <c r="H33" i="48"/>
  <c r="K33" i="48"/>
  <c r="G34" i="48"/>
  <c r="C35" i="48"/>
  <c r="F45" i="66"/>
  <c r="C10" i="58"/>
  <c r="E10" i="58"/>
  <c r="C7" i="60"/>
  <c r="E8" i="60"/>
  <c r="C10" i="60"/>
  <c r="E10" i="60"/>
  <c r="T18" i="12"/>
  <c r="S15" i="12"/>
  <c r="R15" i="60"/>
  <c r="R19" i="60"/>
  <c r="R23" i="60"/>
  <c r="T26" i="60"/>
  <c r="T28" i="60"/>
  <c r="Q16" i="60"/>
  <c r="Q20" i="60"/>
  <c r="Q24" i="60"/>
  <c r="Q28" i="60"/>
  <c r="S30" i="60"/>
  <c r="S14" i="60"/>
  <c r="S18" i="60"/>
  <c r="Q21" i="60"/>
  <c r="Q23" i="60"/>
  <c r="Q25" i="60"/>
  <c r="Q27" i="60"/>
  <c r="R29" i="60"/>
  <c r="R30" i="60"/>
  <c r="R31" i="60"/>
  <c r="R32" i="60"/>
  <c r="R33" i="60"/>
  <c r="Q34" i="60"/>
  <c r="Q35" i="60"/>
  <c r="Q36" i="60"/>
  <c r="Q37" i="60"/>
  <c r="R38" i="60"/>
  <c r="Q39" i="60"/>
  <c r="Q40" i="60"/>
  <c r="S40" i="60"/>
  <c r="R41" i="60"/>
  <c r="T41" i="60"/>
  <c r="R42" i="60"/>
  <c r="T42" i="60"/>
  <c r="R43" i="60"/>
  <c r="T43" i="60"/>
  <c r="Q44" i="60"/>
  <c r="S44" i="60"/>
  <c r="Q45" i="60"/>
  <c r="S45" i="60"/>
  <c r="Q46" i="60"/>
  <c r="S46" i="60"/>
  <c r="R47" i="60"/>
  <c r="T47" i="60"/>
  <c r="R48" i="60"/>
  <c r="T48" i="60"/>
  <c r="Q13" i="58"/>
  <c r="Q14" i="58"/>
  <c r="S14" i="58"/>
  <c r="R15" i="58"/>
  <c r="T15" i="58"/>
  <c r="R16" i="58"/>
  <c r="T16" i="58"/>
  <c r="Q17" i="58"/>
  <c r="R10" i="56"/>
  <c r="R11" i="56"/>
  <c r="T11" i="56"/>
  <c r="S32" i="60"/>
  <c r="Q33" i="60"/>
  <c r="R34" i="60"/>
  <c r="R35" i="60"/>
  <c r="R36" i="60"/>
  <c r="R37" i="60"/>
  <c r="S38" i="60"/>
  <c r="T39" i="60"/>
  <c r="T40" i="60"/>
  <c r="S41" i="60"/>
  <c r="Q42" i="60"/>
  <c r="S43" i="60"/>
  <c r="T44" i="60"/>
  <c r="T45" i="60"/>
  <c r="T46" i="60"/>
  <c r="S47" i="60"/>
  <c r="Q48" i="60"/>
  <c r="T13" i="58"/>
  <c r="T14" i="58"/>
  <c r="S15" i="58"/>
  <c r="Q16" i="58"/>
  <c r="T17" i="58"/>
  <c r="S10" i="56"/>
  <c r="Q11" i="56"/>
  <c r="R12" i="56"/>
  <c r="T12" i="56"/>
  <c r="R13" i="56"/>
  <c r="T13" i="56"/>
  <c r="R14" i="56"/>
  <c r="T14" i="56"/>
  <c r="R15" i="56"/>
  <c r="T15" i="56"/>
  <c r="Q16" i="56"/>
  <c r="S16" i="56"/>
  <c r="Q17" i="56"/>
  <c r="S17" i="56"/>
  <c r="Q18" i="56"/>
  <c r="S18" i="56"/>
  <c r="Q19" i="56"/>
  <c r="S19" i="56"/>
  <c r="R20" i="56"/>
  <c r="T20" i="56"/>
  <c r="R26" i="56"/>
  <c r="T26" i="56"/>
  <c r="R27" i="56"/>
  <c r="T27" i="56"/>
  <c r="R28" i="56"/>
  <c r="T28" i="56"/>
  <c r="R29" i="56"/>
  <c r="T29" i="56"/>
  <c r="Q30" i="56"/>
  <c r="S30" i="56"/>
  <c r="Q31" i="56"/>
  <c r="S31" i="56"/>
  <c r="Q32" i="56"/>
  <c r="S32" i="56"/>
  <c r="R33" i="56"/>
  <c r="T33" i="56"/>
  <c r="R34" i="56"/>
  <c r="T34" i="56"/>
  <c r="R35" i="56"/>
  <c r="T35" i="56"/>
  <c r="R36" i="56"/>
  <c r="T36" i="56"/>
  <c r="R21" i="56"/>
  <c r="T21" i="56"/>
  <c r="R22" i="56"/>
  <c r="T22" i="56"/>
  <c r="R23" i="56"/>
  <c r="T23" i="56"/>
  <c r="R24" i="56"/>
  <c r="T24" i="56"/>
  <c r="R25" i="56"/>
  <c r="T25" i="56"/>
  <c r="R37" i="56"/>
  <c r="T37" i="56"/>
  <c r="R38" i="56"/>
  <c r="T38" i="56"/>
  <c r="R39" i="56"/>
  <c r="T39" i="56"/>
  <c r="Q40" i="56"/>
  <c r="S40" i="56"/>
  <c r="Q41" i="56"/>
  <c r="S41" i="56"/>
  <c r="R47" i="56"/>
  <c r="T47" i="56"/>
  <c r="R48" i="56"/>
  <c r="T48" i="56"/>
  <c r="R42" i="56"/>
  <c r="T42" i="56"/>
  <c r="R43" i="56"/>
  <c r="T43" i="56"/>
  <c r="R44" i="56"/>
  <c r="T44" i="56"/>
  <c r="Q45" i="56"/>
  <c r="S45" i="56"/>
  <c r="Q46" i="56"/>
  <c r="S46" i="56"/>
  <c r="Q49" i="56"/>
  <c r="S49" i="56"/>
  <c r="Q50" i="56"/>
  <c r="S50" i="56"/>
  <c r="R51" i="56"/>
  <c r="T51" i="56"/>
  <c r="R52" i="56"/>
  <c r="T52" i="56"/>
  <c r="Q53" i="56"/>
  <c r="S53" i="56"/>
  <c r="Q54" i="56"/>
  <c r="S54" i="56"/>
  <c r="R55" i="56"/>
  <c r="T55" i="56"/>
  <c r="Q56" i="56"/>
  <c r="S56" i="56"/>
  <c r="R13" i="55"/>
  <c r="T13" i="55"/>
  <c r="R14" i="55"/>
  <c r="T14" i="55"/>
  <c r="R15" i="55"/>
  <c r="T15" i="55"/>
  <c r="Q16" i="55"/>
  <c r="T34" i="60"/>
  <c r="T36" i="60"/>
  <c r="R13" i="58"/>
  <c r="R14" i="58"/>
  <c r="Q15" i="58"/>
  <c r="S16" i="58"/>
  <c r="R17" i="58"/>
  <c r="Q10" i="56"/>
  <c r="S11" i="56"/>
  <c r="S12" i="56"/>
  <c r="Q13" i="56"/>
  <c r="S14" i="56"/>
  <c r="Q15" i="56"/>
  <c r="R16" i="56"/>
  <c r="R17" i="56"/>
  <c r="R18" i="56"/>
  <c r="R19" i="56"/>
  <c r="Q20" i="56"/>
  <c r="S26" i="56"/>
  <c r="Q27" i="56"/>
  <c r="S28" i="56"/>
  <c r="Q29" i="56"/>
  <c r="R30" i="56"/>
  <c r="R31" i="56"/>
  <c r="R32" i="56"/>
  <c r="Q33" i="56"/>
  <c r="S34" i="56"/>
  <c r="Q35" i="56"/>
  <c r="S36" i="56"/>
  <c r="Q21" i="56"/>
  <c r="S22" i="56"/>
  <c r="Q23" i="56"/>
  <c r="S24" i="56"/>
  <c r="Q25" i="56"/>
  <c r="S37" i="56"/>
  <c r="Q38" i="56"/>
  <c r="S39" i="56"/>
  <c r="T40" i="56"/>
  <c r="T41" i="56"/>
  <c r="S47" i="56"/>
  <c r="Q48" i="56"/>
  <c r="S42" i="56"/>
  <c r="Q43" i="56"/>
  <c r="S44" i="56"/>
  <c r="T45" i="56"/>
  <c r="T46" i="56"/>
  <c r="T49" i="56"/>
  <c r="T50" i="56"/>
  <c r="S51" i="56"/>
  <c r="Q52" i="56"/>
  <c r="R53" i="56"/>
  <c r="R54" i="56"/>
  <c r="Q55" i="56"/>
  <c r="P56" i="56"/>
  <c r="T56" i="56"/>
  <c r="S13" i="55"/>
  <c r="Q14" i="55"/>
  <c r="S15" i="55"/>
  <c r="S16" i="55"/>
  <c r="Q17" i="55"/>
  <c r="S17" i="55"/>
  <c r="Q18" i="55"/>
  <c r="S18" i="55"/>
  <c r="R19" i="55"/>
  <c r="T19" i="55"/>
  <c r="R20" i="55"/>
  <c r="T20" i="55"/>
  <c r="Q21" i="55"/>
  <c r="S21" i="55"/>
  <c r="Q22" i="55"/>
  <c r="S22" i="55"/>
  <c r="R23" i="55"/>
  <c r="T23" i="55"/>
  <c r="R24" i="55"/>
  <c r="T24" i="55"/>
  <c r="Q25" i="55"/>
  <c r="S25" i="55"/>
  <c r="Q32" i="60"/>
  <c r="S33" i="60"/>
  <c r="T35" i="60"/>
  <c r="T37" i="60"/>
  <c r="Q38" i="60"/>
  <c r="R39" i="60"/>
  <c r="R40" i="60"/>
  <c r="Q41" i="60"/>
  <c r="S42" i="60"/>
  <c r="Q43" i="60"/>
  <c r="R44" i="60"/>
  <c r="R45" i="60"/>
  <c r="R46" i="60"/>
  <c r="Q47" i="60"/>
  <c r="S48" i="60"/>
  <c r="Q12" i="56"/>
  <c r="S13" i="56"/>
  <c r="Q14" i="56"/>
  <c r="S15" i="56"/>
  <c r="T16" i="56"/>
  <c r="T17" i="56"/>
  <c r="T18" i="56"/>
  <c r="T19" i="56"/>
  <c r="S20" i="56"/>
  <c r="Q26" i="56"/>
  <c r="S27" i="56"/>
  <c r="Q28" i="56"/>
  <c r="S29" i="56"/>
  <c r="T30" i="56"/>
  <c r="T31" i="56"/>
  <c r="T32" i="56"/>
  <c r="S33" i="56"/>
  <c r="Q34" i="56"/>
  <c r="S35" i="56"/>
  <c r="Q36" i="56"/>
  <c r="S21" i="56"/>
  <c r="Q22" i="56"/>
  <c r="S23" i="56"/>
  <c r="Q24" i="56"/>
  <c r="S25" i="56"/>
  <c r="Q37" i="56"/>
  <c r="S38" i="56"/>
  <c r="Q39" i="56"/>
  <c r="R40" i="56"/>
  <c r="R41" i="56"/>
  <c r="Q47" i="56"/>
  <c r="S48" i="56"/>
  <c r="Q42" i="56"/>
  <c r="S43" i="56"/>
  <c r="Q44" i="56"/>
  <c r="R45" i="56"/>
  <c r="R46" i="56"/>
  <c r="R49" i="56"/>
  <c r="R50" i="56"/>
  <c r="Q51" i="56"/>
  <c r="S52" i="56"/>
  <c r="T53" i="56"/>
  <c r="T54" i="56"/>
  <c r="S55" i="56"/>
  <c r="R56" i="56"/>
  <c r="Q13" i="55"/>
  <c r="S14" i="55"/>
  <c r="Q15" i="55"/>
  <c r="R16" i="55"/>
  <c r="T16" i="55"/>
  <c r="R17" i="55"/>
  <c r="T17" i="55"/>
  <c r="R18" i="55"/>
  <c r="T18" i="55"/>
  <c r="Q19" i="55"/>
  <c r="S19" i="55"/>
  <c r="Q20" i="55"/>
  <c r="S20" i="55"/>
  <c r="R21" i="55"/>
  <c r="T21" i="55"/>
  <c r="R22" i="55"/>
  <c r="T22" i="55"/>
  <c r="Q23" i="55"/>
  <c r="S23" i="55"/>
  <c r="Q24" i="55"/>
  <c r="S24" i="55"/>
  <c r="R25" i="55"/>
  <c r="T25" i="55"/>
  <c r="S18" i="12"/>
  <c r="Q18" i="12"/>
  <c r="S17" i="12"/>
  <c r="Q17" i="12"/>
  <c r="P17" i="12"/>
  <c r="F17" i="12"/>
  <c r="H17" i="12"/>
  <c r="T16" i="12"/>
  <c r="R16" i="12"/>
  <c r="P16" i="12"/>
  <c r="T15" i="12"/>
  <c r="R15" i="12"/>
  <c r="P15" i="12"/>
  <c r="F15" i="12"/>
  <c r="H15" i="12"/>
  <c r="T14" i="12"/>
  <c r="R14" i="12"/>
  <c r="P14" i="12"/>
  <c r="F14" i="12"/>
  <c r="H14" i="12"/>
  <c r="Q13" i="12"/>
  <c r="T13" i="12"/>
  <c r="P13" i="12"/>
  <c r="F13" i="12"/>
  <c r="S13" i="12"/>
  <c r="R13" i="12"/>
  <c r="S37" i="7"/>
  <c r="Q13" i="2"/>
  <c r="S28" i="2"/>
  <c r="Q65" i="2"/>
  <c r="S56" i="2"/>
  <c r="Q54" i="2"/>
  <c r="S52" i="2"/>
  <c r="Q27" i="2"/>
  <c r="Q17" i="2"/>
  <c r="T25" i="2"/>
  <c r="R22" i="2"/>
  <c r="S29" i="2"/>
  <c r="Q34" i="2"/>
  <c r="T35" i="2"/>
  <c r="R30" i="2"/>
  <c r="P36" i="2"/>
  <c r="S37" i="2"/>
  <c r="Q39" i="2"/>
  <c r="T40" i="2"/>
  <c r="R42" i="2"/>
  <c r="S14" i="2"/>
  <c r="T17" i="2"/>
  <c r="R20" i="2"/>
  <c r="S24" i="2"/>
  <c r="Q33" i="2"/>
  <c r="T34" i="2"/>
  <c r="R31" i="2"/>
  <c r="S36" i="2"/>
  <c r="T28" i="2"/>
  <c r="R13" i="2"/>
  <c r="T64" i="2"/>
  <c r="S62" i="2"/>
  <c r="R59" i="2"/>
  <c r="Q56" i="2"/>
  <c r="R51" i="2"/>
  <c r="T21" i="2"/>
  <c r="Q50" i="2"/>
  <c r="Q47" i="2"/>
  <c r="S17" i="2"/>
  <c r="Q20" i="2"/>
  <c r="T22" i="2"/>
  <c r="R24" i="2"/>
  <c r="S34" i="2"/>
  <c r="Q31" i="2"/>
  <c r="T30" i="2"/>
  <c r="R36" i="2"/>
  <c r="S39" i="2"/>
  <c r="Q41" i="2"/>
  <c r="T42" i="2"/>
  <c r="R44" i="2"/>
  <c r="Q25" i="2"/>
  <c r="T20" i="2"/>
  <c r="R23" i="2"/>
  <c r="P29" i="2"/>
  <c r="S33" i="2"/>
  <c r="Q35" i="2"/>
  <c r="T31" i="2"/>
  <c r="R32" i="2"/>
  <c r="T37" i="2"/>
  <c r="S38" i="2"/>
  <c r="R39" i="2"/>
  <c r="Q40" i="2"/>
  <c r="T41" i="2"/>
  <c r="S42" i="2"/>
  <c r="R43" i="2"/>
  <c r="Q44" i="2"/>
  <c r="P14" i="2"/>
  <c r="T14" i="2"/>
  <c r="S45" i="2"/>
  <c r="R26" i="2"/>
  <c r="Q46" i="2"/>
  <c r="T47" i="2"/>
  <c r="S48" i="2"/>
  <c r="R49" i="2"/>
  <c r="T65" i="2"/>
  <c r="Q64" i="2"/>
  <c r="R63" i="2"/>
  <c r="T62" i="2"/>
  <c r="Q61" i="2"/>
  <c r="R60" i="2"/>
  <c r="S59" i="2"/>
  <c r="T58" i="2"/>
  <c r="Q57" i="2"/>
  <c r="R56" i="2"/>
  <c r="S55" i="2"/>
  <c r="T54" i="2"/>
  <c r="Q53" i="2"/>
  <c r="R52" i="2"/>
  <c r="S51" i="2"/>
  <c r="T27" i="2"/>
  <c r="Q21" i="2"/>
  <c r="R50" i="2"/>
  <c r="Q49" i="2"/>
  <c r="S15" i="2"/>
  <c r="Q60" i="2"/>
  <c r="T53" i="2"/>
  <c r="S27" i="2"/>
  <c r="T48" i="2"/>
  <c r="R25" i="2"/>
  <c r="S23" i="2"/>
  <c r="T33" i="2"/>
  <c r="Q37" i="2"/>
  <c r="R40" i="2"/>
  <c r="S43" i="2"/>
  <c r="R17" i="2"/>
  <c r="S22" i="2"/>
  <c r="T29" i="2"/>
  <c r="Q36" i="2"/>
  <c r="Q38" i="2"/>
  <c r="T39" i="2"/>
  <c r="R41" i="2"/>
  <c r="S44" i="2"/>
  <c r="Q45" i="2"/>
  <c r="T26" i="2"/>
  <c r="R47" i="2"/>
  <c r="R65" i="2"/>
  <c r="T63" i="2"/>
  <c r="S61" i="2"/>
  <c r="R58" i="2"/>
  <c r="T56" i="2"/>
  <c r="Q55" i="2"/>
  <c r="S53" i="2"/>
  <c r="R27" i="2"/>
  <c r="T50" i="2"/>
  <c r="R48" i="2"/>
  <c r="T46" i="2"/>
  <c r="Q26" i="2"/>
  <c r="T40" i="1"/>
  <c r="S39" i="1"/>
  <c r="S38" i="1"/>
  <c r="P38" i="1"/>
  <c r="F38" i="1"/>
  <c r="H38" i="1"/>
  <c r="C332" i="66"/>
  <c r="R37" i="1"/>
  <c r="T36" i="1"/>
  <c r="S35" i="1"/>
  <c r="S34" i="1"/>
  <c r="P34" i="1"/>
  <c r="F34" i="1"/>
  <c r="H34" i="1"/>
  <c r="R33" i="1"/>
  <c r="T32" i="1"/>
  <c r="S31" i="1"/>
  <c r="S30" i="1"/>
  <c r="S29" i="1"/>
  <c r="S28" i="1"/>
  <c r="P28" i="1"/>
  <c r="F28" i="1"/>
  <c r="H28" i="1"/>
  <c r="C213" i="66"/>
  <c r="R27" i="1"/>
  <c r="T26" i="1"/>
  <c r="S25" i="1"/>
  <c r="S24" i="1"/>
  <c r="S23" i="1"/>
  <c r="S22" i="1"/>
  <c r="P22" i="1"/>
  <c r="F22" i="1"/>
  <c r="H22" i="1"/>
  <c r="C128" i="66"/>
  <c r="R21" i="1"/>
  <c r="T20" i="1"/>
  <c r="S19" i="1"/>
  <c r="S18" i="1"/>
  <c r="P18" i="1"/>
  <c r="F18" i="1"/>
  <c r="H18" i="1"/>
  <c r="R17" i="1"/>
  <c r="T16" i="1"/>
  <c r="S15" i="1"/>
  <c r="S14" i="1"/>
  <c r="P14" i="1"/>
  <c r="F14" i="1"/>
  <c r="H14" i="1"/>
  <c r="R13" i="1"/>
  <c r="R62" i="4"/>
  <c r="T61" i="4"/>
  <c r="R60" i="4"/>
  <c r="T59" i="4"/>
  <c r="R58" i="4"/>
  <c r="T57" i="4"/>
  <c r="R56" i="4"/>
  <c r="T55" i="4"/>
  <c r="R54" i="4"/>
  <c r="T53" i="4"/>
  <c r="R52" i="4"/>
  <c r="T51" i="4"/>
  <c r="R50" i="4"/>
  <c r="T49" i="4"/>
  <c r="R48" i="4"/>
  <c r="T47" i="4"/>
  <c r="R46" i="4"/>
  <c r="T45" i="4"/>
  <c r="R44" i="4"/>
  <c r="T43" i="4"/>
  <c r="R42" i="4"/>
  <c r="T41" i="4"/>
  <c r="R40" i="4"/>
  <c r="T39" i="4"/>
  <c r="R38" i="4"/>
  <c r="T37" i="4"/>
  <c r="R36" i="4"/>
  <c r="R35" i="4"/>
  <c r="R34" i="4"/>
  <c r="T33" i="4"/>
  <c r="R32" i="4"/>
  <c r="T31" i="4"/>
  <c r="R30" i="4"/>
  <c r="T29" i="4"/>
  <c r="R28" i="4"/>
  <c r="T17" i="4"/>
  <c r="P17" i="4"/>
  <c r="R16" i="4"/>
  <c r="Q27" i="4"/>
  <c r="Q26" i="4"/>
  <c r="T25" i="4"/>
  <c r="P25" i="4"/>
  <c r="R24" i="4"/>
  <c r="T23" i="4"/>
  <c r="P23" i="4"/>
  <c r="R22" i="4"/>
  <c r="T21" i="4"/>
  <c r="R20" i="4"/>
  <c r="T19" i="4"/>
  <c r="R18" i="4"/>
  <c r="Q15" i="4"/>
  <c r="Q14" i="4"/>
  <c r="Q13" i="4"/>
  <c r="R24" i="5"/>
  <c r="T23" i="5"/>
  <c r="P23" i="5"/>
  <c r="R22" i="5"/>
  <c r="T21" i="5"/>
  <c r="T20" i="5"/>
  <c r="T19" i="5"/>
  <c r="T18" i="5"/>
  <c r="T17" i="5"/>
  <c r="Q16" i="5"/>
  <c r="Q14" i="5"/>
  <c r="Q23" i="6"/>
  <c r="Q21" i="6"/>
  <c r="P20" i="6"/>
  <c r="F20" i="6"/>
  <c r="H20" i="6"/>
  <c r="P19" i="6"/>
  <c r="F19" i="6"/>
  <c r="H19" i="6"/>
  <c r="S17" i="6"/>
  <c r="S15" i="6"/>
  <c r="S13" i="6"/>
  <c r="T39" i="7"/>
  <c r="T61" i="2"/>
  <c r="R55" i="2"/>
  <c r="R35" i="2"/>
  <c r="T38" i="2"/>
  <c r="Q14" i="2"/>
  <c r="Q24" i="2"/>
  <c r="S30" i="2"/>
  <c r="Q42" i="2"/>
  <c r="R14" i="2"/>
  <c r="S46" i="2"/>
  <c r="T49" i="2"/>
  <c r="T60" i="2"/>
  <c r="S57" i="2"/>
  <c r="R54" i="2"/>
  <c r="Q51" i="2"/>
  <c r="R40" i="1"/>
  <c r="Q38" i="1"/>
  <c r="P37" i="1"/>
  <c r="F37" i="1"/>
  <c r="H37" i="1"/>
  <c r="C315" i="66"/>
  <c r="Q35" i="1"/>
  <c r="T33" i="1"/>
  <c r="R32" i="1"/>
  <c r="Q30" i="1"/>
  <c r="Q28" i="1"/>
  <c r="P27" i="1"/>
  <c r="F27" i="1"/>
  <c r="H27" i="1"/>
  <c r="C196" i="66"/>
  <c r="Q25" i="1"/>
  <c r="Q23" i="1"/>
  <c r="T21" i="1"/>
  <c r="R20" i="1"/>
  <c r="Q18" i="1"/>
  <c r="P17" i="1"/>
  <c r="F17" i="1"/>
  <c r="H17" i="1"/>
  <c r="Q15" i="1"/>
  <c r="T13" i="1"/>
  <c r="T60" i="4"/>
  <c r="R59" i="4"/>
  <c r="T56" i="4"/>
  <c r="R55" i="4"/>
  <c r="T52" i="4"/>
  <c r="R51" i="4"/>
  <c r="T48" i="4"/>
  <c r="R47" i="4"/>
  <c r="T44" i="4"/>
  <c r="R43" i="4"/>
  <c r="T40" i="4"/>
  <c r="R39" i="4"/>
  <c r="T36" i="4"/>
  <c r="T35" i="4"/>
  <c r="T34" i="4"/>
  <c r="R33" i="4"/>
  <c r="T30" i="4"/>
  <c r="R29" i="4"/>
  <c r="C145" i="31"/>
  <c r="T16" i="4"/>
  <c r="S26" i="4"/>
  <c r="R25" i="4"/>
  <c r="P24" i="4"/>
  <c r="T22" i="4"/>
  <c r="R21" i="4"/>
  <c r="T18" i="4"/>
  <c r="S14" i="4"/>
  <c r="T24" i="5"/>
  <c r="R23" i="5"/>
  <c r="P22" i="5"/>
  <c r="F22" i="5"/>
  <c r="H22" i="5"/>
  <c r="P20" i="5"/>
  <c r="P18" i="5"/>
  <c r="S15" i="5"/>
  <c r="S22" i="6"/>
  <c r="T19" i="6"/>
  <c r="Q16" i="6"/>
  <c r="P13" i="6"/>
  <c r="T38" i="7"/>
  <c r="Q18" i="2"/>
  <c r="P13" i="60"/>
  <c r="F13" i="60"/>
  <c r="H13" i="60"/>
  <c r="P15" i="60"/>
  <c r="F15" i="60"/>
  <c r="H15" i="60"/>
  <c r="P17" i="60"/>
  <c r="F17" i="60"/>
  <c r="H17" i="60"/>
  <c r="P19" i="60"/>
  <c r="F19" i="60"/>
  <c r="H19" i="60"/>
  <c r="P21" i="60"/>
  <c r="F21" i="60"/>
  <c r="H21" i="60"/>
  <c r="P23" i="60"/>
  <c r="F23" i="60"/>
  <c r="H23" i="60"/>
  <c r="P25" i="60"/>
  <c r="F25" i="60"/>
  <c r="H25" i="60"/>
  <c r="P27" i="60"/>
  <c r="F27" i="60"/>
  <c r="H27" i="60"/>
  <c r="P30" i="60"/>
  <c r="F30" i="60"/>
  <c r="H30" i="60"/>
  <c r="P32" i="60"/>
  <c r="F32" i="60"/>
  <c r="H32" i="60"/>
  <c r="P34" i="60"/>
  <c r="F34" i="60"/>
  <c r="H34" i="60"/>
  <c r="C162" i="61"/>
  <c r="P42" i="60"/>
  <c r="F42" i="60"/>
  <c r="H42" i="60"/>
  <c r="C230" i="61"/>
  <c r="P44" i="60"/>
  <c r="F44" i="60"/>
  <c r="H44" i="60"/>
  <c r="C264" i="61"/>
  <c r="P16" i="58"/>
  <c r="P40" i="60"/>
  <c r="F40" i="60"/>
  <c r="H40" i="60"/>
  <c r="P41" i="60"/>
  <c r="F41" i="60"/>
  <c r="H41" i="60"/>
  <c r="P13" i="58"/>
  <c r="F13" i="58"/>
  <c r="P14" i="58"/>
  <c r="F14" i="58"/>
  <c r="H14" i="58"/>
  <c r="C26" i="59"/>
  <c r="P15" i="58"/>
  <c r="F15" i="58"/>
  <c r="H15" i="58"/>
  <c r="C43" i="59"/>
  <c r="P14" i="55"/>
  <c r="F14" i="55"/>
  <c r="H14" i="55"/>
  <c r="P16" i="55"/>
  <c r="F16" i="55"/>
  <c r="H16" i="55"/>
  <c r="P20" i="55"/>
  <c r="F20" i="55"/>
  <c r="H20" i="55"/>
  <c r="C60" i="65"/>
  <c r="P25" i="55"/>
  <c r="F25" i="55"/>
  <c r="H25" i="55"/>
  <c r="C111" i="65"/>
  <c r="R14" i="9"/>
  <c r="P13" i="9"/>
  <c r="T13" i="9"/>
  <c r="R15" i="9"/>
  <c r="C43" i="50"/>
  <c r="T17" i="9"/>
  <c r="R18" i="9"/>
  <c r="C77" i="50"/>
  <c r="S19" i="9"/>
  <c r="S20" i="9"/>
  <c r="S21" i="9"/>
  <c r="S22" i="9"/>
  <c r="S23" i="9"/>
  <c r="S24" i="9"/>
  <c r="S25" i="9"/>
  <c r="Q16" i="9"/>
  <c r="U13" i="21"/>
  <c r="Q15" i="21"/>
  <c r="F15" i="21"/>
  <c r="H15" i="21"/>
  <c r="C26" i="39"/>
  <c r="T16" i="21"/>
  <c r="T26" i="21"/>
  <c r="S30" i="21"/>
  <c r="P18" i="55"/>
  <c r="F18" i="55"/>
  <c r="H18" i="55"/>
  <c r="P21" i="55"/>
  <c r="P23" i="55"/>
  <c r="F23" i="55"/>
  <c r="H23" i="55"/>
  <c r="S14" i="9"/>
  <c r="S13" i="9"/>
  <c r="S15" i="9"/>
  <c r="S17" i="9"/>
  <c r="S18" i="9"/>
  <c r="T19" i="9"/>
  <c r="R20" i="9"/>
  <c r="T21" i="9"/>
  <c r="R22" i="9"/>
  <c r="T23" i="9"/>
  <c r="T24" i="9"/>
  <c r="R25" i="9"/>
  <c r="T16" i="9"/>
  <c r="T13" i="21"/>
  <c r="U15" i="21"/>
  <c r="S16" i="21"/>
  <c r="Q17" i="21"/>
  <c r="F17" i="21"/>
  <c r="H17" i="21"/>
  <c r="S26" i="21"/>
  <c r="U27" i="21"/>
  <c r="Q29" i="21"/>
  <c r="F29" i="21"/>
  <c r="H29" i="21"/>
  <c r="T29" i="21"/>
  <c r="T30" i="21"/>
  <c r="T31" i="21"/>
  <c r="S33" i="21"/>
  <c r="U34" i="21"/>
  <c r="S35" i="21"/>
  <c r="Q36" i="21"/>
  <c r="F36" i="21"/>
  <c r="H36" i="21"/>
  <c r="S37" i="21"/>
  <c r="S39" i="21"/>
  <c r="S41" i="21"/>
  <c r="T42" i="21"/>
  <c r="T43" i="21"/>
  <c r="T45" i="21"/>
  <c r="T13" i="20"/>
  <c r="R14" i="20"/>
  <c r="S15" i="20"/>
  <c r="C26" i="38"/>
  <c r="T16" i="20"/>
  <c r="Q17" i="20"/>
  <c r="Q18" i="20"/>
  <c r="Q22" i="20"/>
  <c r="Q23" i="20"/>
  <c r="Q24" i="20"/>
  <c r="Q19" i="20"/>
  <c r="Q20" i="20"/>
  <c r="R21" i="20"/>
  <c r="T25" i="20"/>
  <c r="R26" i="20"/>
  <c r="T27" i="20"/>
  <c r="Q30" i="20"/>
  <c r="Q28" i="20"/>
  <c r="Q29" i="20"/>
  <c r="T33" i="21"/>
  <c r="T35" i="21"/>
  <c r="T37" i="21"/>
  <c r="T39" i="21"/>
  <c r="T41" i="21"/>
  <c r="Q43" i="21"/>
  <c r="F43" i="21"/>
  <c r="H43" i="21"/>
  <c r="C230" i="39"/>
  <c r="Q45" i="21"/>
  <c r="F45" i="21"/>
  <c r="H45" i="21"/>
  <c r="C264" i="39"/>
  <c r="C9" i="38"/>
  <c r="Q14" i="20"/>
  <c r="S16" i="20"/>
  <c r="C60" i="38"/>
  <c r="C128" i="38"/>
  <c r="C145" i="38"/>
  <c r="C77" i="38"/>
  <c r="C94" i="38"/>
  <c r="C111" i="38"/>
  <c r="Q25" i="20"/>
  <c r="Q27" i="20"/>
  <c r="R28" i="20"/>
  <c r="T29" i="20"/>
  <c r="R31" i="20"/>
  <c r="T32" i="20"/>
  <c r="R33" i="20"/>
  <c r="S34" i="20"/>
  <c r="S35" i="20"/>
  <c r="T36" i="20"/>
  <c r="R37" i="20"/>
  <c r="T38" i="20"/>
  <c r="R39" i="20"/>
  <c r="Q28" i="2"/>
  <c r="Q52" i="2"/>
  <c r="Q29" i="2"/>
  <c r="R34" i="2"/>
  <c r="S40" i="2"/>
  <c r="S64" i="2"/>
  <c r="Q59" i="2"/>
  <c r="T52" i="2"/>
  <c r="S47" i="2"/>
  <c r="Q39" i="1"/>
  <c r="R36" i="1"/>
  <c r="P33" i="1"/>
  <c r="F33" i="1"/>
  <c r="H33" i="1"/>
  <c r="C281" i="66"/>
  <c r="Q29" i="1"/>
  <c r="R26" i="1"/>
  <c r="Q22" i="1"/>
  <c r="Q19" i="1"/>
  <c r="R16" i="1"/>
  <c r="P13" i="1"/>
  <c r="F13" i="1"/>
  <c r="H13" i="1"/>
  <c r="T62" i="4"/>
  <c r="R57" i="4"/>
  <c r="T54" i="4"/>
  <c r="R49" i="4"/>
  <c r="T46" i="4"/>
  <c r="R41" i="4"/>
  <c r="T38" i="4"/>
  <c r="R31" i="4"/>
  <c r="T28" i="4"/>
  <c r="S27" i="4"/>
  <c r="T24" i="4"/>
  <c r="R19" i="4"/>
  <c r="S13" i="4"/>
  <c r="T22" i="5"/>
  <c r="P19" i="5"/>
  <c r="F19" i="5"/>
  <c r="H19" i="5"/>
  <c r="S13" i="5"/>
  <c r="Q18" i="6"/>
  <c r="P39" i="7"/>
  <c r="F39" i="7"/>
  <c r="H39" i="7"/>
  <c r="S18" i="2"/>
  <c r="R18" i="2"/>
  <c r="P16" i="60"/>
  <c r="F16" i="60"/>
  <c r="H16" i="60"/>
  <c r="P20" i="60"/>
  <c r="F20" i="60"/>
  <c r="H20" i="60"/>
  <c r="C43" i="61"/>
  <c r="P24" i="60"/>
  <c r="F24" i="60"/>
  <c r="H24" i="60"/>
  <c r="C77" i="61"/>
  <c r="P28" i="60"/>
  <c r="F28" i="60"/>
  <c r="H28" i="60"/>
  <c r="P31" i="60"/>
  <c r="F31" i="60"/>
  <c r="H31" i="60"/>
  <c r="P39" i="60"/>
  <c r="F39" i="60"/>
  <c r="H39" i="60"/>
  <c r="C213" i="61"/>
  <c r="P48" i="60"/>
  <c r="F48" i="60"/>
  <c r="H48" i="60"/>
  <c r="C315" i="61"/>
  <c r="P15" i="56"/>
  <c r="P15" i="55"/>
  <c r="F15" i="55"/>
  <c r="H15" i="55"/>
  <c r="P24" i="55"/>
  <c r="F24" i="55"/>
  <c r="H24" i="55"/>
  <c r="T14" i="9"/>
  <c r="R17" i="9"/>
  <c r="T18" i="9"/>
  <c r="Q20" i="9"/>
  <c r="Q22" i="9"/>
  <c r="Q24" i="9"/>
  <c r="Q14" i="21"/>
  <c r="F14" i="21"/>
  <c r="H14" i="21"/>
  <c r="R15" i="21"/>
  <c r="R17" i="21"/>
  <c r="R27" i="21"/>
  <c r="S29" i="21"/>
  <c r="U30" i="21"/>
  <c r="Q32" i="21"/>
  <c r="F32" i="21"/>
  <c r="H32" i="21"/>
  <c r="P36" i="60"/>
  <c r="F36" i="60"/>
  <c r="H36" i="60"/>
  <c r="P19" i="55"/>
  <c r="F19" i="55"/>
  <c r="H19" i="55"/>
  <c r="C43" i="65"/>
  <c r="Q14" i="9"/>
  <c r="Q15" i="9"/>
  <c r="Q18" i="9"/>
  <c r="C94" i="50"/>
  <c r="R21" i="9"/>
  <c r="T22" i="9"/>
  <c r="R24" i="9"/>
  <c r="T25" i="9"/>
  <c r="R16" i="9"/>
  <c r="R14" i="21"/>
  <c r="Q16" i="21"/>
  <c r="F16" i="21"/>
  <c r="H16" i="21"/>
  <c r="S17" i="21"/>
  <c r="U26" i="21"/>
  <c r="Q28" i="21"/>
  <c r="F28" i="21"/>
  <c r="H28" i="21"/>
  <c r="C111" i="39"/>
  <c r="R29" i="21"/>
  <c r="R31" i="21"/>
  <c r="Q33" i="21"/>
  <c r="F33" i="21"/>
  <c r="H33" i="21"/>
  <c r="S34" i="21"/>
  <c r="U35" i="21"/>
  <c r="Q37" i="21"/>
  <c r="F37" i="21"/>
  <c r="H37" i="21"/>
  <c r="U39" i="21"/>
  <c r="Q41" i="21"/>
  <c r="F41" i="21"/>
  <c r="H41" i="21"/>
  <c r="C196" i="39"/>
  <c r="R42" i="21"/>
  <c r="R44" i="21"/>
  <c r="R13" i="20"/>
  <c r="T14" i="20"/>
  <c r="R16" i="20"/>
  <c r="S17" i="20"/>
  <c r="S22" i="20"/>
  <c r="S24" i="20"/>
  <c r="S20" i="20"/>
  <c r="R25" i="20"/>
  <c r="T26" i="20"/>
  <c r="C213" i="38"/>
  <c r="S28" i="20"/>
  <c r="R34" i="21"/>
  <c r="U42" i="21"/>
  <c r="S13" i="20"/>
  <c r="T18" i="20"/>
  <c r="T23" i="20"/>
  <c r="T19" i="20"/>
  <c r="S21" i="20"/>
  <c r="R30" i="20"/>
  <c r="C247" i="38"/>
  <c r="R32" i="20"/>
  <c r="T33" i="20"/>
  <c r="Q35" i="20"/>
  <c r="C332" i="38"/>
  <c r="R38" i="20"/>
  <c r="T39" i="20"/>
  <c r="R40" i="20"/>
  <c r="C383" i="38"/>
  <c r="T41" i="20"/>
  <c r="Q42" i="20"/>
  <c r="Q43" i="20"/>
  <c r="Q12" i="10"/>
  <c r="R13" i="10"/>
  <c r="T14" i="10"/>
  <c r="R15" i="10"/>
  <c r="T16" i="10"/>
  <c r="R17" i="10"/>
  <c r="T18" i="10"/>
  <c r="Q19" i="10"/>
  <c r="Q20" i="10"/>
  <c r="Q21" i="10"/>
  <c r="Q22" i="10"/>
  <c r="R23" i="10"/>
  <c r="T24" i="10"/>
  <c r="R25" i="10"/>
  <c r="C179" i="37"/>
  <c r="S26" i="10"/>
  <c r="S27" i="10"/>
  <c r="S28" i="10"/>
  <c r="S29" i="10"/>
  <c r="T13" i="8"/>
  <c r="R10" i="19"/>
  <c r="P11" i="19"/>
  <c r="F11" i="19"/>
  <c r="H11" i="19"/>
  <c r="S11" i="19"/>
  <c r="S14" i="19"/>
  <c r="S13" i="19"/>
  <c r="S15" i="19"/>
  <c r="T16" i="19"/>
  <c r="R17" i="19"/>
  <c r="P18" i="19"/>
  <c r="F18" i="19"/>
  <c r="T18" i="19"/>
  <c r="Q19" i="19"/>
  <c r="Q12" i="19"/>
  <c r="Q20" i="19"/>
  <c r="Q21" i="19"/>
  <c r="S58" i="2"/>
  <c r="S26" i="2"/>
  <c r="S32" i="2"/>
  <c r="R37" i="2"/>
  <c r="T43" i="2"/>
  <c r="Q48" i="2"/>
  <c r="R62" i="2"/>
  <c r="S21" i="2"/>
  <c r="R45" i="2"/>
  <c r="T37" i="1"/>
  <c r="Q34" i="1"/>
  <c r="Q31" i="1"/>
  <c r="T27" i="1"/>
  <c r="Q24" i="1"/>
  <c r="P21" i="1"/>
  <c r="F21" i="1"/>
  <c r="H21" i="1"/>
  <c r="T17" i="1"/>
  <c r="Q14" i="1"/>
  <c r="R61" i="4"/>
  <c r="T58" i="4"/>
  <c r="R53" i="4"/>
  <c r="T50" i="4"/>
  <c r="R45" i="4"/>
  <c r="T42" i="4"/>
  <c r="R37" i="4"/>
  <c r="T32" i="4"/>
  <c r="R17" i="4"/>
  <c r="P26" i="4"/>
  <c r="R23" i="4"/>
  <c r="T20" i="4"/>
  <c r="S15" i="4"/>
  <c r="P24" i="5"/>
  <c r="P21" i="5"/>
  <c r="P17" i="5"/>
  <c r="B33" i="32"/>
  <c r="S20" i="6"/>
  <c r="Q14" i="6"/>
  <c r="P14" i="60"/>
  <c r="F14" i="60"/>
  <c r="H14" i="60"/>
  <c r="P18" i="60"/>
  <c r="F18" i="60"/>
  <c r="H18" i="60"/>
  <c r="P22" i="60"/>
  <c r="F22" i="60"/>
  <c r="H22" i="60"/>
  <c r="C60" i="61"/>
  <c r="P26" i="60"/>
  <c r="F26" i="60"/>
  <c r="H26" i="60"/>
  <c r="T18" i="2"/>
  <c r="P29" i="60"/>
  <c r="F29" i="60"/>
  <c r="H29" i="60"/>
  <c r="P33" i="60"/>
  <c r="F33" i="60"/>
  <c r="H33" i="60"/>
  <c r="C145" i="61"/>
  <c r="P43" i="60"/>
  <c r="F43" i="60"/>
  <c r="H43" i="60"/>
  <c r="C247" i="61"/>
  <c r="P45" i="60"/>
  <c r="F45" i="60"/>
  <c r="H45" i="60"/>
  <c r="C281" i="61"/>
  <c r="P46" i="60"/>
  <c r="F46" i="60"/>
  <c r="H46" i="60"/>
  <c r="P47" i="60"/>
  <c r="F47" i="60"/>
  <c r="H47" i="60"/>
  <c r="C298" i="61"/>
  <c r="C43" i="57"/>
  <c r="C400" i="57"/>
  <c r="P13" i="55"/>
  <c r="F13" i="55"/>
  <c r="H13" i="55"/>
  <c r="C9" i="65"/>
  <c r="P35" i="60"/>
  <c r="F35" i="60"/>
  <c r="H35" i="60"/>
  <c r="P37" i="60"/>
  <c r="F37" i="60"/>
  <c r="H37" i="60"/>
  <c r="B33" i="57"/>
  <c r="C434" i="57"/>
  <c r="C9" i="50"/>
  <c r="R13" i="9"/>
  <c r="T15" i="9"/>
  <c r="C60" i="50"/>
  <c r="Q19" i="9"/>
  <c r="Q21" i="9"/>
  <c r="Q23" i="9"/>
  <c r="Q25" i="9"/>
  <c r="S16" i="9"/>
  <c r="S13" i="21"/>
  <c r="U14" i="21"/>
  <c r="R16" i="21"/>
  <c r="R26" i="21"/>
  <c r="R28" i="21"/>
  <c r="Q30" i="21"/>
  <c r="F30" i="21"/>
  <c r="H30" i="21"/>
  <c r="C502" i="57"/>
  <c r="P17" i="55"/>
  <c r="F17" i="55"/>
  <c r="H17" i="55"/>
  <c r="P22" i="55"/>
  <c r="F22" i="55"/>
  <c r="H22" i="55"/>
  <c r="C77" i="65"/>
  <c r="Q13" i="9"/>
  <c r="Q17" i="9"/>
  <c r="R19" i="9"/>
  <c r="T20" i="9"/>
  <c r="P22" i="9"/>
  <c r="R23" i="9"/>
  <c r="R13" i="21"/>
  <c r="S15" i="21"/>
  <c r="U16" i="21"/>
  <c r="Q26" i="21"/>
  <c r="F26" i="21"/>
  <c r="H26" i="21"/>
  <c r="S27" i="21"/>
  <c r="U28" i="21"/>
  <c r="R30" i="21"/>
  <c r="S32" i="21"/>
  <c r="U33" i="21"/>
  <c r="Q35" i="21"/>
  <c r="F35" i="21"/>
  <c r="H35" i="21"/>
  <c r="U37" i="21"/>
  <c r="Q39" i="21"/>
  <c r="F39" i="21"/>
  <c r="H39" i="21"/>
  <c r="S40" i="21"/>
  <c r="U41" i="21"/>
  <c r="R43" i="21"/>
  <c r="Q15" i="20"/>
  <c r="C43" i="38"/>
  <c r="S18" i="20"/>
  <c r="S23" i="20"/>
  <c r="S19" i="20"/>
  <c r="T21" i="20"/>
  <c r="C179" i="38"/>
  <c r="R27" i="20"/>
  <c r="S30" i="20"/>
  <c r="R32" i="21"/>
  <c r="R40" i="21"/>
  <c r="U45" i="21"/>
  <c r="R15" i="20"/>
  <c r="T17" i="20"/>
  <c r="T22" i="20"/>
  <c r="T24" i="20"/>
  <c r="T20" i="20"/>
  <c r="S26" i="20"/>
  <c r="R29" i="20"/>
  <c r="T31" i="20"/>
  <c r="C281" i="38"/>
  <c r="R36" i="20"/>
  <c r="C349" i="38"/>
  <c r="T40" i="20"/>
  <c r="C400" i="38"/>
  <c r="S43" i="20"/>
  <c r="T13" i="10"/>
  <c r="R16" i="10"/>
  <c r="T17" i="10"/>
  <c r="S20" i="10"/>
  <c r="S22" i="10"/>
  <c r="R24" i="10"/>
  <c r="T25" i="10"/>
  <c r="Q27" i="10"/>
  <c r="Q29" i="10"/>
  <c r="P10" i="19"/>
  <c r="F10" i="19"/>
  <c r="H10" i="19"/>
  <c r="Q11" i="19"/>
  <c r="Q13" i="19"/>
  <c r="R16" i="19"/>
  <c r="T17" i="19"/>
  <c r="P19" i="19"/>
  <c r="F19" i="19"/>
  <c r="H19" i="19"/>
  <c r="C111" i="35"/>
  <c r="S12" i="19"/>
  <c r="S21" i="19"/>
  <c r="T22" i="19"/>
  <c r="R23" i="19"/>
  <c r="P24" i="19"/>
  <c r="F24" i="19"/>
  <c r="T24" i="19"/>
  <c r="R25" i="19"/>
  <c r="P26" i="19"/>
  <c r="F26" i="19"/>
  <c r="S26" i="19"/>
  <c r="Q13" i="7"/>
  <c r="Q14" i="7"/>
  <c r="Q15" i="7"/>
  <c r="Q16" i="7"/>
  <c r="R17" i="7"/>
  <c r="P18" i="7"/>
  <c r="F18" i="7"/>
  <c r="H18" i="7"/>
  <c r="T18" i="7"/>
  <c r="Q19" i="7"/>
  <c r="Q20" i="7"/>
  <c r="Q21" i="7"/>
  <c r="Q22" i="7"/>
  <c r="Q23" i="7"/>
  <c r="Q24" i="7"/>
  <c r="Q25" i="7"/>
  <c r="Q26" i="7"/>
  <c r="Q27" i="7"/>
  <c r="Q28" i="7"/>
  <c r="Q29" i="7"/>
  <c r="R30" i="7"/>
  <c r="P31" i="7"/>
  <c r="T31" i="7"/>
  <c r="R32" i="7"/>
  <c r="P33" i="7"/>
  <c r="F33" i="7"/>
  <c r="H33" i="7"/>
  <c r="T33" i="7"/>
  <c r="R34" i="7"/>
  <c r="P35" i="7"/>
  <c r="S35" i="7"/>
  <c r="S36" i="7"/>
  <c r="R33" i="21"/>
  <c r="R35" i="21"/>
  <c r="R37" i="21"/>
  <c r="R39" i="21"/>
  <c r="R41" i="21"/>
  <c r="S45" i="21"/>
  <c r="S14" i="20"/>
  <c r="R17" i="20"/>
  <c r="R22" i="20"/>
  <c r="R24" i="20"/>
  <c r="R20" i="20"/>
  <c r="S25" i="20"/>
  <c r="S27" i="20"/>
  <c r="P29" i="20"/>
  <c r="Q31" i="20"/>
  <c r="Q32" i="20"/>
  <c r="Q33" i="20"/>
  <c r="R34" i="20"/>
  <c r="C298" i="38"/>
  <c r="T35" i="20"/>
  <c r="Q36" i="20"/>
  <c r="Q37" i="20"/>
  <c r="Q38" i="20"/>
  <c r="Q39" i="20"/>
  <c r="Q40" i="20"/>
  <c r="Q41" i="20"/>
  <c r="R42" i="20"/>
  <c r="C417" i="38"/>
  <c r="T43" i="20"/>
  <c r="R12" i="10"/>
  <c r="S13" i="10"/>
  <c r="S14" i="10"/>
  <c r="S15" i="10"/>
  <c r="S16" i="10"/>
  <c r="S17" i="10"/>
  <c r="S18" i="10"/>
  <c r="T19" i="10"/>
  <c r="R20" i="10"/>
  <c r="T21" i="10"/>
  <c r="R22" i="10"/>
  <c r="S23" i="10"/>
  <c r="S24" i="10"/>
  <c r="S25" i="10"/>
  <c r="T26" i="10"/>
  <c r="R27" i="10"/>
  <c r="C213" i="37"/>
  <c r="T28" i="10"/>
  <c r="R29" i="10"/>
  <c r="P13" i="8"/>
  <c r="S13" i="8"/>
  <c r="Q10" i="19"/>
  <c r="R11" i="19"/>
  <c r="P14" i="19"/>
  <c r="F14" i="19"/>
  <c r="H14" i="19"/>
  <c r="C43" i="35"/>
  <c r="T14" i="19"/>
  <c r="R13" i="19"/>
  <c r="P15" i="19"/>
  <c r="F15" i="19"/>
  <c r="H15" i="19"/>
  <c r="T15" i="19"/>
  <c r="Q16" i="19"/>
  <c r="Q17" i="19"/>
  <c r="Q18" i="19"/>
  <c r="R19" i="19"/>
  <c r="P12" i="19"/>
  <c r="F12" i="19"/>
  <c r="H12" i="19"/>
  <c r="T12" i="19"/>
  <c r="R20" i="19"/>
  <c r="P21" i="19"/>
  <c r="F21" i="19"/>
  <c r="T21" i="19"/>
  <c r="Q22" i="19"/>
  <c r="Q23" i="19"/>
  <c r="Q24" i="19"/>
  <c r="Q25" i="19"/>
  <c r="R26" i="19"/>
  <c r="R13" i="7"/>
  <c r="P14" i="7"/>
  <c r="T14" i="7"/>
  <c r="R15" i="7"/>
  <c r="P16" i="7"/>
  <c r="F16" i="7"/>
  <c r="H16" i="7"/>
  <c r="T16" i="7"/>
  <c r="Q17" i="7"/>
  <c r="Q18" i="7"/>
  <c r="R19" i="7"/>
  <c r="P20" i="7"/>
  <c r="T20" i="7"/>
  <c r="R21" i="7"/>
  <c r="P22" i="7"/>
  <c r="B84" i="34"/>
  <c r="T22" i="7"/>
  <c r="R23" i="7"/>
  <c r="P24" i="7"/>
  <c r="T24" i="7"/>
  <c r="R25" i="7"/>
  <c r="P26" i="7"/>
  <c r="B152" i="34"/>
  <c r="T26" i="7"/>
  <c r="R27" i="7"/>
  <c r="P28" i="7"/>
  <c r="T28" i="7"/>
  <c r="R29" i="7"/>
  <c r="P30" i="7"/>
  <c r="B220" i="34"/>
  <c r="S30" i="7"/>
  <c r="S31" i="7"/>
  <c r="S32" i="7"/>
  <c r="S33" i="7"/>
  <c r="S34" i="7"/>
  <c r="T35" i="7"/>
  <c r="R36" i="7"/>
  <c r="P37" i="7"/>
  <c r="F37" i="7"/>
  <c r="H37" i="7"/>
  <c r="T37" i="7"/>
  <c r="Q38" i="7"/>
  <c r="Q39" i="7"/>
  <c r="R13" i="6"/>
  <c r="P14" i="6"/>
  <c r="F14" i="6"/>
  <c r="H14" i="6"/>
  <c r="T14" i="6"/>
  <c r="T15" i="6"/>
  <c r="R16" i="6"/>
  <c r="P17" i="6"/>
  <c r="T17" i="6"/>
  <c r="R18" i="6"/>
  <c r="Q19" i="6"/>
  <c r="R20" i="6"/>
  <c r="P21" i="6"/>
  <c r="F21" i="6"/>
  <c r="H21" i="6"/>
  <c r="C77" i="33"/>
  <c r="T21" i="6"/>
  <c r="R22" i="6"/>
  <c r="P23" i="6"/>
  <c r="T23" i="6"/>
  <c r="R13" i="5"/>
  <c r="P14" i="5"/>
  <c r="T14" i="5"/>
  <c r="R15" i="5"/>
  <c r="P16" i="5"/>
  <c r="F16" i="5"/>
  <c r="H16" i="5"/>
  <c r="T16" i="5"/>
  <c r="S17" i="5"/>
  <c r="S18" i="5"/>
  <c r="S19" i="5"/>
  <c r="S20" i="5"/>
  <c r="S21" i="5"/>
  <c r="Q40" i="1"/>
  <c r="T39" i="1"/>
  <c r="P39" i="1"/>
  <c r="F39" i="1"/>
  <c r="H39" i="1"/>
  <c r="C349" i="66"/>
  <c r="R38" i="1"/>
  <c r="Q37" i="1"/>
  <c r="Q36" i="1"/>
  <c r="T35" i="1"/>
  <c r="P35" i="1"/>
  <c r="F35" i="1"/>
  <c r="H35" i="1"/>
  <c r="R34" i="1"/>
  <c r="Q33" i="1"/>
  <c r="Q32" i="1"/>
  <c r="T31" i="1"/>
  <c r="P31" i="1"/>
  <c r="F31" i="1"/>
  <c r="H31" i="1"/>
  <c r="R30" i="1"/>
  <c r="T29" i="1"/>
  <c r="P29" i="1"/>
  <c r="F29" i="1"/>
  <c r="H29" i="1"/>
  <c r="C230" i="66"/>
  <c r="R28" i="1"/>
  <c r="Q27" i="1"/>
  <c r="Q26" i="1"/>
  <c r="T25" i="1"/>
  <c r="P25" i="1"/>
  <c r="F25" i="1"/>
  <c r="H25" i="1"/>
  <c r="R24" i="1"/>
  <c r="T23" i="1"/>
  <c r="P23" i="1"/>
  <c r="F23" i="1"/>
  <c r="H23" i="1"/>
  <c r="C145" i="66"/>
  <c r="R22" i="1"/>
  <c r="Q21" i="1"/>
  <c r="Q20" i="1"/>
  <c r="T19" i="1"/>
  <c r="P19" i="1"/>
  <c r="F19" i="1"/>
  <c r="H19" i="1"/>
  <c r="C77" i="66"/>
  <c r="R18" i="1"/>
  <c r="Q17" i="1"/>
  <c r="Q16" i="1"/>
  <c r="T15" i="1"/>
  <c r="P15" i="1"/>
  <c r="F15" i="1"/>
  <c r="H15" i="1"/>
  <c r="R14" i="1"/>
  <c r="Q13" i="1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Q34" i="20"/>
  <c r="T37" i="20"/>
  <c r="C366" i="38"/>
  <c r="R41" i="20"/>
  <c r="S42" i="20"/>
  <c r="S12" i="10"/>
  <c r="R14" i="10"/>
  <c r="T15" i="10"/>
  <c r="R18" i="10"/>
  <c r="S19" i="10"/>
  <c r="S21" i="10"/>
  <c r="T23" i="10"/>
  <c r="B169" i="37"/>
  <c r="Q26" i="10"/>
  <c r="Q28" i="10"/>
  <c r="R13" i="8"/>
  <c r="T10" i="19"/>
  <c r="Q14" i="19"/>
  <c r="Q15" i="19"/>
  <c r="P17" i="19"/>
  <c r="F17" i="19"/>
  <c r="H17" i="19"/>
  <c r="C77" i="35"/>
  <c r="R18" i="19"/>
  <c r="S19" i="19"/>
  <c r="S20" i="19"/>
  <c r="R22" i="19"/>
  <c r="P23" i="19"/>
  <c r="F23" i="19"/>
  <c r="H23" i="19"/>
  <c r="C179" i="35"/>
  <c r="T23" i="19"/>
  <c r="R24" i="19"/>
  <c r="P25" i="19"/>
  <c r="F25" i="19"/>
  <c r="H25" i="19"/>
  <c r="T25" i="19"/>
  <c r="Q26" i="19"/>
  <c r="P13" i="7"/>
  <c r="F13" i="7"/>
  <c r="H13" i="7"/>
  <c r="S13" i="7"/>
  <c r="S14" i="7"/>
  <c r="S15" i="7"/>
  <c r="S16" i="7"/>
  <c r="T17" i="7"/>
  <c r="R18" i="7"/>
  <c r="P19" i="7"/>
  <c r="F19" i="7"/>
  <c r="H19" i="7"/>
  <c r="S19" i="7"/>
  <c r="S20" i="7"/>
  <c r="S21" i="7"/>
  <c r="S22" i="7"/>
  <c r="S23" i="7"/>
  <c r="S24" i="7"/>
  <c r="S25" i="7"/>
  <c r="S26" i="7"/>
  <c r="S27" i="7"/>
  <c r="S28" i="7"/>
  <c r="S29" i="7"/>
  <c r="T30" i="7"/>
  <c r="R31" i="7"/>
  <c r="P32" i="7"/>
  <c r="F32" i="7"/>
  <c r="H32" i="7"/>
  <c r="T32" i="7"/>
  <c r="R33" i="7"/>
  <c r="P34" i="7"/>
  <c r="F34" i="7"/>
  <c r="H34" i="7"/>
  <c r="T34" i="7"/>
  <c r="Q35" i="7"/>
  <c r="Q36" i="7"/>
  <c r="T34" i="21"/>
  <c r="T38" i="21"/>
  <c r="S42" i="21"/>
  <c r="Q13" i="20"/>
  <c r="T15" i="20"/>
  <c r="Q16" i="20"/>
  <c r="R18" i="20"/>
  <c r="R23" i="20"/>
  <c r="R19" i="20"/>
  <c r="Q21" i="20"/>
  <c r="Q26" i="20"/>
  <c r="T30" i="20"/>
  <c r="T28" i="20"/>
  <c r="S29" i="20"/>
  <c r="S31" i="20"/>
  <c r="S32" i="20"/>
  <c r="S33" i="20"/>
  <c r="T34" i="20"/>
  <c r="R35" i="20"/>
  <c r="C315" i="38"/>
  <c r="S36" i="20"/>
  <c r="S37" i="20"/>
  <c r="S38" i="20"/>
  <c r="S39" i="20"/>
  <c r="S40" i="20"/>
  <c r="S41" i="20"/>
  <c r="T42" i="20"/>
  <c r="R43" i="20"/>
  <c r="T12" i="10"/>
  <c r="Q13" i="10"/>
  <c r="Q14" i="10"/>
  <c r="Q15" i="10"/>
  <c r="Q16" i="10"/>
  <c r="Q17" i="10"/>
  <c r="Q18" i="10"/>
  <c r="R19" i="10"/>
  <c r="T20" i="10"/>
  <c r="R21" i="10"/>
  <c r="T22" i="10"/>
  <c r="Q23" i="10"/>
  <c r="Q24" i="10"/>
  <c r="Q25" i="10"/>
  <c r="R26" i="10"/>
  <c r="C196" i="37"/>
  <c r="T27" i="10"/>
  <c r="R28" i="10"/>
  <c r="C230" i="37"/>
  <c r="T29" i="10"/>
  <c r="Q13" i="8"/>
  <c r="S10" i="19"/>
  <c r="T11" i="19"/>
  <c r="R14" i="19"/>
  <c r="P13" i="19"/>
  <c r="F13" i="19"/>
  <c r="H13" i="19"/>
  <c r="C26" i="35"/>
  <c r="T13" i="19"/>
  <c r="R15" i="19"/>
  <c r="P16" i="19"/>
  <c r="F16" i="19"/>
  <c r="H16" i="19"/>
  <c r="S16" i="19"/>
  <c r="S17" i="19"/>
  <c r="S18" i="19"/>
  <c r="T19" i="19"/>
  <c r="R12" i="19"/>
  <c r="P20" i="19"/>
  <c r="F20" i="19"/>
  <c r="H20" i="19"/>
  <c r="C128" i="35"/>
  <c r="T20" i="19"/>
  <c r="R21" i="19"/>
  <c r="P22" i="19"/>
  <c r="F22" i="19"/>
  <c r="S22" i="19"/>
  <c r="S23" i="19"/>
  <c r="S24" i="19"/>
  <c r="S25" i="19"/>
  <c r="T26" i="19"/>
  <c r="T13" i="7"/>
  <c r="R14" i="7"/>
  <c r="P15" i="7"/>
  <c r="T15" i="7"/>
  <c r="R16" i="7"/>
  <c r="P17" i="7"/>
  <c r="F17" i="7"/>
  <c r="H17" i="7"/>
  <c r="S17" i="7"/>
  <c r="S18" i="7"/>
  <c r="T19" i="7"/>
  <c r="R20" i="7"/>
  <c r="P21" i="7"/>
  <c r="F21" i="7"/>
  <c r="H21" i="7"/>
  <c r="T21" i="7"/>
  <c r="R22" i="7"/>
  <c r="P23" i="7"/>
  <c r="B101" i="34"/>
  <c r="T23" i="7"/>
  <c r="R24" i="7"/>
  <c r="P25" i="7"/>
  <c r="F25" i="7"/>
  <c r="H25" i="7"/>
  <c r="C128" i="34"/>
  <c r="T25" i="7"/>
  <c r="R26" i="7"/>
  <c r="P27" i="7"/>
  <c r="F27" i="7"/>
  <c r="H27" i="7"/>
  <c r="C162" i="34"/>
  <c r="T27" i="7"/>
  <c r="R28" i="7"/>
  <c r="P29" i="7"/>
  <c r="T29" i="7"/>
  <c r="Q30" i="7"/>
  <c r="Q31" i="7"/>
  <c r="Q32" i="7"/>
  <c r="Q33" i="7"/>
  <c r="Q34" i="7"/>
  <c r="R35" i="7"/>
  <c r="P36" i="7"/>
  <c r="F36" i="7"/>
  <c r="H36" i="7"/>
  <c r="T36" i="7"/>
  <c r="R37" i="7"/>
  <c r="P38" i="7"/>
  <c r="F38" i="7"/>
  <c r="H38" i="7"/>
  <c r="S38" i="7"/>
  <c r="S39" i="7"/>
  <c r="T13" i="6"/>
  <c r="R14" i="6"/>
  <c r="P15" i="6"/>
  <c r="F15" i="6"/>
  <c r="H15" i="6"/>
  <c r="R15" i="6"/>
  <c r="P16" i="6"/>
  <c r="F16" i="6"/>
  <c r="H16" i="6"/>
  <c r="T16" i="6"/>
  <c r="R17" i="6"/>
  <c r="P18" i="6"/>
  <c r="T18" i="6"/>
  <c r="S19" i="6"/>
  <c r="T20" i="6"/>
  <c r="R21" i="6"/>
  <c r="P22" i="6"/>
  <c r="F22" i="6"/>
  <c r="H22" i="6"/>
  <c r="T22" i="6"/>
  <c r="R23" i="6"/>
  <c r="P13" i="5"/>
  <c r="F13" i="5"/>
  <c r="H13" i="5"/>
  <c r="T13" i="5"/>
  <c r="R14" i="5"/>
  <c r="P15" i="5"/>
  <c r="F15" i="5"/>
  <c r="H15" i="5"/>
  <c r="T15" i="5"/>
  <c r="R16" i="5"/>
  <c r="Q17" i="5"/>
  <c r="Q18" i="5"/>
  <c r="Q19" i="5"/>
  <c r="Q20" i="5"/>
  <c r="Q21" i="5"/>
  <c r="S40" i="1"/>
  <c r="P40" i="1"/>
  <c r="F40" i="1"/>
  <c r="H40" i="1"/>
  <c r="C366" i="66"/>
  <c r="R39" i="1"/>
  <c r="T38" i="1"/>
  <c r="S37" i="1"/>
  <c r="S36" i="1"/>
  <c r="P36" i="1"/>
  <c r="F36" i="1"/>
  <c r="H36" i="1"/>
  <c r="R35" i="1"/>
  <c r="T34" i="1"/>
  <c r="S33" i="1"/>
  <c r="S32" i="1"/>
  <c r="P32" i="1"/>
  <c r="F32" i="1"/>
  <c r="H32" i="1"/>
  <c r="R31" i="1"/>
  <c r="T30" i="1"/>
  <c r="P30" i="1"/>
  <c r="F30" i="1"/>
  <c r="H30" i="1"/>
  <c r="C247" i="66"/>
  <c r="R29" i="1"/>
  <c r="T28" i="1"/>
  <c r="S27" i="1"/>
  <c r="S26" i="1"/>
  <c r="P26" i="1"/>
  <c r="F26" i="1"/>
  <c r="H26" i="1"/>
  <c r="R25" i="1"/>
  <c r="T24" i="1"/>
  <c r="P24" i="1"/>
  <c r="F24" i="1"/>
  <c r="H24" i="1"/>
  <c r="C162" i="66"/>
  <c r="R23" i="1"/>
  <c r="T22" i="1"/>
  <c r="S21" i="1"/>
  <c r="S20" i="1"/>
  <c r="P20" i="1"/>
  <c r="F20" i="1"/>
  <c r="H20" i="1"/>
  <c r="C94" i="66"/>
  <c r="R19" i="1"/>
  <c r="T18" i="1"/>
  <c r="S17" i="1"/>
  <c r="S16" i="1"/>
  <c r="P16" i="1"/>
  <c r="F16" i="1"/>
  <c r="H16" i="1"/>
  <c r="R15" i="1"/>
  <c r="T14" i="1"/>
  <c r="S13" i="1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17" i="4"/>
  <c r="Q16" i="4"/>
  <c r="S39" i="4"/>
  <c r="S37" i="4"/>
  <c r="S35" i="4"/>
  <c r="S33" i="4"/>
  <c r="S31" i="4"/>
  <c r="S29" i="4"/>
  <c r="S17" i="4"/>
  <c r="P16" i="4"/>
  <c r="C43" i="31"/>
  <c r="C111" i="31"/>
  <c r="R27" i="4"/>
  <c r="T26" i="4"/>
  <c r="S25" i="4"/>
  <c r="S24" i="4"/>
  <c r="S23" i="4"/>
  <c r="S22" i="4"/>
  <c r="S21" i="4"/>
  <c r="S20" i="4"/>
  <c r="S19" i="4"/>
  <c r="S18" i="4"/>
  <c r="C77" i="31"/>
  <c r="R15" i="4"/>
  <c r="T14" i="4"/>
  <c r="R13" i="4"/>
  <c r="S24" i="5"/>
  <c r="S23" i="5"/>
  <c r="S22" i="5"/>
  <c r="R21" i="5"/>
  <c r="R19" i="5"/>
  <c r="R17" i="5"/>
  <c r="Q15" i="5"/>
  <c r="Q13" i="5"/>
  <c r="Q22" i="6"/>
  <c r="Q20" i="6"/>
  <c r="S18" i="6"/>
  <c r="S16" i="6"/>
  <c r="S14" i="6"/>
  <c r="R39" i="7"/>
  <c r="Q37" i="7"/>
  <c r="S38" i="4"/>
  <c r="S36" i="4"/>
  <c r="S34" i="4"/>
  <c r="S32" i="4"/>
  <c r="S30" i="4"/>
  <c r="S28" i="4"/>
  <c r="S16" i="4"/>
  <c r="T27" i="4"/>
  <c r="P27" i="4"/>
  <c r="R26" i="4"/>
  <c r="Q25" i="4"/>
  <c r="Q24" i="4"/>
  <c r="Q23" i="4"/>
  <c r="Q22" i="4"/>
  <c r="Q21" i="4"/>
  <c r="Q20" i="4"/>
  <c r="Q19" i="4"/>
  <c r="Q18" i="4"/>
  <c r="T15" i="4"/>
  <c r="C26" i="31"/>
  <c r="R14" i="4"/>
  <c r="T13" i="4"/>
  <c r="Q24" i="5"/>
  <c r="Q23" i="5"/>
  <c r="Q22" i="5"/>
  <c r="R20" i="5"/>
  <c r="R18" i="5"/>
  <c r="S16" i="5"/>
  <c r="S14" i="5"/>
  <c r="S23" i="6"/>
  <c r="S21" i="6"/>
  <c r="R19" i="6"/>
  <c r="Q17" i="6"/>
  <c r="Q15" i="6"/>
  <c r="Q13" i="6"/>
  <c r="R38" i="7"/>
  <c r="G45" i="32"/>
  <c r="S65" i="2"/>
  <c r="Q16" i="2"/>
  <c r="S13" i="2"/>
  <c r="B16" i="30"/>
  <c r="T13" i="2"/>
  <c r="R16" i="2"/>
  <c r="Q19" i="2"/>
  <c r="B67" i="33"/>
  <c r="H13" i="12"/>
  <c r="C9" i="28"/>
  <c r="B16" i="28"/>
  <c r="B16" i="66"/>
  <c r="B169" i="34"/>
  <c r="F23" i="7"/>
  <c r="H23" i="7"/>
  <c r="C94" i="34"/>
  <c r="B152" i="35"/>
  <c r="B16" i="37"/>
  <c r="B84" i="35"/>
  <c r="C162" i="37"/>
  <c r="B84" i="33"/>
  <c r="F30" i="7"/>
  <c r="H30" i="7"/>
  <c r="C213" i="34"/>
  <c r="F22" i="7"/>
  <c r="H22" i="7"/>
  <c r="C77" i="34"/>
  <c r="B67" i="35"/>
  <c r="F13" i="8"/>
  <c r="H13" i="8"/>
  <c r="B135" i="37"/>
  <c r="B254" i="34"/>
  <c r="F35" i="7"/>
  <c r="H35" i="7"/>
  <c r="C247" i="34"/>
  <c r="F31" i="7"/>
  <c r="H31" i="7"/>
  <c r="C230" i="34"/>
  <c r="H24" i="19"/>
  <c r="B220" i="35"/>
  <c r="C94" i="37"/>
  <c r="B101" i="37"/>
  <c r="B441" i="38"/>
  <c r="C434" i="38"/>
  <c r="B390" i="38"/>
  <c r="B322" i="38"/>
  <c r="B220" i="38"/>
  <c r="B509" i="57"/>
  <c r="B16" i="50"/>
  <c r="B390" i="57"/>
  <c r="C26" i="57"/>
  <c r="B441" i="57"/>
  <c r="B50" i="57"/>
  <c r="F21" i="5"/>
  <c r="H21" i="5"/>
  <c r="C94" i="32"/>
  <c r="B101" i="32"/>
  <c r="B101" i="35"/>
  <c r="B186" i="37"/>
  <c r="C77" i="37"/>
  <c r="B84" i="37"/>
  <c r="C26" i="37"/>
  <c r="B33" i="37"/>
  <c r="B424" i="38"/>
  <c r="B373" i="38"/>
  <c r="B288" i="38"/>
  <c r="C128" i="57"/>
  <c r="B152" i="57"/>
  <c r="B33" i="50"/>
  <c r="C383" i="57"/>
  <c r="B424" i="57"/>
  <c r="B169" i="57"/>
  <c r="C162" i="57"/>
  <c r="B509" i="30"/>
  <c r="B305" i="38"/>
  <c r="C264" i="38"/>
  <c r="B186" i="38"/>
  <c r="B152" i="38"/>
  <c r="B101" i="38"/>
  <c r="B16" i="38"/>
  <c r="C162" i="38"/>
  <c r="B203" i="38"/>
  <c r="B67" i="38"/>
  <c r="B220" i="57"/>
  <c r="C213" i="57"/>
  <c r="B288" i="50"/>
  <c r="C281" i="50"/>
  <c r="B50" i="50"/>
  <c r="C485" i="57"/>
  <c r="B458" i="57"/>
  <c r="C417" i="57"/>
  <c r="C451" i="57"/>
  <c r="B339" i="57"/>
  <c r="C332" i="57"/>
  <c r="B305" i="57"/>
  <c r="C247" i="57"/>
  <c r="B254" i="57"/>
  <c r="B84" i="57"/>
  <c r="C60" i="57"/>
  <c r="B50" i="61"/>
  <c r="B50" i="59"/>
  <c r="B16" i="61"/>
  <c r="B16" i="59"/>
  <c r="H13" i="58"/>
  <c r="F13" i="6"/>
  <c r="H13" i="6"/>
  <c r="B16" i="33"/>
  <c r="F20" i="5"/>
  <c r="H20" i="5"/>
  <c r="C77" i="32"/>
  <c r="B84" i="32"/>
  <c r="B67" i="31"/>
  <c r="B84" i="31"/>
  <c r="B135" i="31"/>
  <c r="C128" i="31"/>
  <c r="B186" i="31"/>
  <c r="B203" i="31"/>
  <c r="B220" i="31"/>
  <c r="B169" i="30"/>
  <c r="B526" i="30"/>
  <c r="B220" i="30"/>
  <c r="B237" i="30"/>
  <c r="B475" i="30"/>
  <c r="B101" i="33"/>
  <c r="B203" i="34"/>
  <c r="F29" i="7"/>
  <c r="H29" i="7"/>
  <c r="C196" i="34"/>
  <c r="B135" i="34"/>
  <c r="F15" i="7"/>
  <c r="H15" i="7"/>
  <c r="C43" i="34"/>
  <c r="B186" i="35"/>
  <c r="B33" i="35"/>
  <c r="B237" i="37"/>
  <c r="C111" i="37"/>
  <c r="B118" i="37"/>
  <c r="B16" i="34"/>
  <c r="B203" i="35"/>
  <c r="C60" i="37"/>
  <c r="B67" i="37"/>
  <c r="B407" i="38"/>
  <c r="B186" i="34"/>
  <c r="F28" i="7"/>
  <c r="H28" i="7"/>
  <c r="C179" i="34"/>
  <c r="B118" i="34"/>
  <c r="F24" i="7"/>
  <c r="H24" i="7"/>
  <c r="C111" i="34"/>
  <c r="B67" i="34"/>
  <c r="F20" i="7"/>
  <c r="H20" i="7"/>
  <c r="C60" i="34"/>
  <c r="B33" i="34"/>
  <c r="F14" i="7"/>
  <c r="H14" i="7"/>
  <c r="C26" i="34"/>
  <c r="B169" i="35"/>
  <c r="H21" i="19"/>
  <c r="C145" i="35"/>
  <c r="B50" i="35"/>
  <c r="B220" i="37"/>
  <c r="B33" i="38"/>
  <c r="B237" i="35"/>
  <c r="H26" i="19"/>
  <c r="C213" i="35"/>
  <c r="C230" i="35"/>
  <c r="B118" i="35"/>
  <c r="C128" i="36"/>
  <c r="B135" i="36"/>
  <c r="B84" i="38"/>
  <c r="B118" i="50"/>
  <c r="B67" i="50"/>
  <c r="B373" i="57"/>
  <c r="B288" i="57"/>
  <c r="C281" i="57"/>
  <c r="C145" i="57"/>
  <c r="B67" i="57"/>
  <c r="F24" i="5"/>
  <c r="H24" i="5"/>
  <c r="B135" i="32"/>
  <c r="C145" i="37"/>
  <c r="B152" i="37"/>
  <c r="C43" i="37"/>
  <c r="B50" i="37"/>
  <c r="B254" i="38"/>
  <c r="B50" i="38"/>
  <c r="B101" i="50"/>
  <c r="B135" i="57"/>
  <c r="C111" i="57"/>
  <c r="C77" i="57"/>
  <c r="B101" i="57"/>
  <c r="B339" i="38"/>
  <c r="B169" i="38"/>
  <c r="B135" i="38"/>
  <c r="B118" i="38"/>
  <c r="B237" i="38"/>
  <c r="C196" i="38"/>
  <c r="B135" i="50"/>
  <c r="B237" i="57"/>
  <c r="C230" i="57"/>
  <c r="B203" i="57"/>
  <c r="C196" i="57"/>
  <c r="B84" i="50"/>
  <c r="B475" i="57"/>
  <c r="C468" i="57"/>
  <c r="B356" i="57"/>
  <c r="C349" i="57"/>
  <c r="C315" i="57"/>
  <c r="B322" i="57"/>
  <c r="C264" i="57"/>
  <c r="B271" i="57"/>
  <c r="B186" i="57"/>
  <c r="C179" i="57"/>
  <c r="C94" i="57"/>
  <c r="B118" i="57"/>
  <c r="C9" i="57"/>
  <c r="B16" i="57"/>
  <c r="B33" i="61"/>
  <c r="B33" i="59"/>
  <c r="F16" i="58"/>
  <c r="H16" i="58"/>
  <c r="C60" i="59"/>
  <c r="B67" i="59"/>
  <c r="B67" i="61"/>
  <c r="F18" i="5"/>
  <c r="H18" i="5"/>
  <c r="C60" i="32"/>
  <c r="B67" i="32"/>
  <c r="B101" i="31"/>
  <c r="B152" i="31"/>
  <c r="B118" i="32"/>
  <c r="F23" i="5"/>
  <c r="H23" i="5"/>
  <c r="C111" i="32"/>
  <c r="B169" i="31"/>
  <c r="C162" i="31"/>
  <c r="B271" i="30"/>
  <c r="B118" i="30"/>
  <c r="B458" i="30"/>
  <c r="B254" i="30"/>
  <c r="G351" i="66"/>
  <c r="F317" i="66"/>
  <c r="E317" i="66"/>
  <c r="F249" i="66"/>
  <c r="E249" i="66"/>
  <c r="F300" i="66"/>
  <c r="E300" i="66"/>
  <c r="F283" i="66"/>
  <c r="E283" i="66"/>
  <c r="B50" i="31"/>
  <c r="F79" i="66"/>
  <c r="E79" i="66"/>
  <c r="F215" i="66"/>
  <c r="E215" i="66"/>
  <c r="F147" i="66"/>
  <c r="E147" i="66"/>
  <c r="F28" i="66"/>
  <c r="F16" i="12"/>
  <c r="H16" i="12"/>
  <c r="B33" i="28"/>
  <c r="B33" i="66"/>
  <c r="F368" i="66"/>
  <c r="E368" i="66"/>
  <c r="C519" i="30"/>
  <c r="F62" i="66"/>
  <c r="F96" i="66"/>
  <c r="E96" i="66"/>
  <c r="F130" i="66"/>
  <c r="E130" i="66"/>
  <c r="F164" i="66"/>
  <c r="E164" i="66"/>
  <c r="F198" i="66"/>
  <c r="E198" i="66"/>
  <c r="F232" i="66"/>
  <c r="E232" i="66"/>
  <c r="F266" i="66"/>
  <c r="E266" i="66"/>
  <c r="F334" i="66"/>
  <c r="E334" i="66"/>
  <c r="F11" i="66"/>
  <c r="F113" i="66"/>
  <c r="E113" i="66"/>
  <c r="F181" i="66"/>
  <c r="E181" i="66"/>
  <c r="D16" i="27"/>
  <c r="C5" i="7"/>
  <c r="K13" i="7"/>
  <c r="D10" i="34"/>
  <c r="F10" i="34"/>
  <c r="E10" i="34"/>
  <c r="F517" i="30"/>
  <c r="D520" i="30"/>
  <c r="F520" i="30"/>
  <c r="E520" i="30"/>
  <c r="D521" i="30"/>
  <c r="F521" i="30"/>
  <c r="E521" i="30"/>
  <c r="U31" i="21"/>
  <c r="B271" i="38"/>
  <c r="Q27" i="21"/>
  <c r="F27" i="21"/>
  <c r="H27" i="21"/>
  <c r="U17" i="21"/>
  <c r="Q13" i="21"/>
  <c r="F13" i="21"/>
  <c r="H13" i="21"/>
  <c r="Q31" i="21"/>
  <c r="F31" i="21"/>
  <c r="H31" i="21"/>
  <c r="C145" i="39"/>
  <c r="U29" i="21"/>
  <c r="T27" i="21"/>
  <c r="T17" i="21"/>
  <c r="T15" i="21"/>
  <c r="U83" i="21"/>
  <c r="S83" i="21"/>
  <c r="R83" i="21"/>
  <c r="Q44" i="21"/>
  <c r="F44" i="21"/>
  <c r="H44" i="21"/>
  <c r="C247" i="39"/>
  <c r="Q42" i="21"/>
  <c r="F42" i="21"/>
  <c r="H42" i="21"/>
  <c r="C213" i="39"/>
  <c r="Q40" i="21"/>
  <c r="F40" i="21"/>
  <c r="H40" i="21"/>
  <c r="U38" i="21"/>
  <c r="S28" i="21"/>
  <c r="T28" i="21"/>
  <c r="T83" i="21"/>
  <c r="B16" i="39"/>
  <c r="S44" i="21"/>
  <c r="T40" i="21"/>
  <c r="T36" i="21"/>
  <c r="T32" i="21"/>
  <c r="S43" i="21"/>
  <c r="U43" i="21"/>
  <c r="R36" i="21"/>
  <c r="R45" i="21"/>
  <c r="S36" i="21"/>
  <c r="S31" i="21"/>
  <c r="U44" i="21"/>
  <c r="R38" i="21"/>
  <c r="S38" i="21"/>
  <c r="T44" i="21"/>
  <c r="T14" i="21"/>
  <c r="S14" i="21"/>
  <c r="F62" i="28"/>
  <c r="E62" i="28"/>
  <c r="B84" i="30"/>
  <c r="B492" i="30"/>
  <c r="B305" i="30"/>
  <c r="H9" i="21"/>
  <c r="C10" i="21"/>
  <c r="E10" i="21"/>
  <c r="T90" i="21"/>
  <c r="R90" i="21"/>
  <c r="U89" i="21"/>
  <c r="S89" i="21"/>
  <c r="T88" i="21"/>
  <c r="R88" i="21"/>
  <c r="U87" i="21"/>
  <c r="S87" i="21"/>
  <c r="T86" i="21"/>
  <c r="R86" i="21"/>
  <c r="U85" i="21"/>
  <c r="S85" i="21"/>
  <c r="T84" i="21"/>
  <c r="R84" i="21"/>
  <c r="U90" i="21"/>
  <c r="S90" i="21"/>
  <c r="T89" i="21"/>
  <c r="U88" i="21"/>
  <c r="S88" i="21"/>
  <c r="T87" i="21"/>
  <c r="U86" i="21"/>
  <c r="S86" i="21"/>
  <c r="T85" i="21"/>
  <c r="U84" i="21"/>
  <c r="S84" i="21"/>
  <c r="D24" i="27"/>
  <c r="C6" i="55"/>
  <c r="K13" i="55"/>
  <c r="B492" i="57"/>
  <c r="Q15" i="2"/>
  <c r="D231" i="35"/>
  <c r="F231" i="35"/>
  <c r="E231" i="35"/>
  <c r="F228" i="35"/>
  <c r="D232" i="35"/>
  <c r="F232" i="35"/>
  <c r="E232" i="35"/>
  <c r="G19" i="48"/>
  <c r="J19" i="48"/>
  <c r="H19" i="48"/>
  <c r="K19" i="48"/>
  <c r="B203" i="37"/>
  <c r="B458" i="38"/>
  <c r="C451" i="38"/>
  <c r="H22" i="19"/>
  <c r="C162" i="35"/>
  <c r="H18" i="19"/>
  <c r="C94" i="35"/>
  <c r="F14" i="5"/>
  <c r="H14" i="5"/>
  <c r="B373" i="30"/>
  <c r="B441" i="30"/>
  <c r="C111" i="30"/>
  <c r="C502" i="30"/>
  <c r="C366" i="30"/>
  <c r="F500" i="30"/>
  <c r="D503" i="30"/>
  <c r="F503" i="30"/>
  <c r="E503" i="30"/>
  <c r="D504" i="30"/>
  <c r="F504" i="30"/>
  <c r="E504" i="30"/>
  <c r="C7" i="19"/>
  <c r="E7" i="19"/>
  <c r="F232" i="31"/>
  <c r="E232" i="31"/>
  <c r="B356" i="38"/>
  <c r="C485" i="30"/>
  <c r="F483" i="30"/>
  <c r="D486" i="30"/>
  <c r="F486" i="30"/>
  <c r="E486" i="30"/>
  <c r="D487" i="30"/>
  <c r="F487" i="30"/>
  <c r="E487" i="30"/>
  <c r="F449" i="38"/>
  <c r="F432" i="38"/>
  <c r="D435" i="38"/>
  <c r="F435" i="38"/>
  <c r="E435" i="38"/>
  <c r="D436" i="38"/>
  <c r="G436" i="38"/>
  <c r="D452" i="38"/>
  <c r="F452" i="38"/>
  <c r="E452" i="38"/>
  <c r="D453" i="38"/>
  <c r="G453" i="38"/>
  <c r="F18" i="6"/>
  <c r="H18" i="6"/>
  <c r="F23" i="6"/>
  <c r="H23" i="6"/>
  <c r="F17" i="6"/>
  <c r="H17" i="6"/>
  <c r="C7" i="5"/>
  <c r="E8" i="5"/>
  <c r="S54" i="2"/>
  <c r="T57" i="2"/>
  <c r="Q63" i="2"/>
  <c r="R19" i="2"/>
  <c r="T16" i="2"/>
  <c r="T15" i="2"/>
  <c r="T32" i="2"/>
  <c r="Q30" i="2"/>
  <c r="S35" i="2"/>
  <c r="R29" i="2"/>
  <c r="T23" i="2"/>
  <c r="Q22" i="2"/>
  <c r="S25" i="2"/>
  <c r="T44" i="2"/>
  <c r="Q43" i="2"/>
  <c r="S41" i="2"/>
  <c r="R38" i="2"/>
  <c r="T36" i="2"/>
  <c r="Q32" i="2"/>
  <c r="S31" i="2"/>
  <c r="R33" i="2"/>
  <c r="T24" i="2"/>
  <c r="Q23" i="2"/>
  <c r="S20" i="2"/>
  <c r="R46" i="2"/>
  <c r="S50" i="2"/>
  <c r="T51" i="2"/>
  <c r="R53" i="2"/>
  <c r="T59" i="2"/>
  <c r="S63" i="2"/>
  <c r="T19" i="2"/>
  <c r="S19" i="2"/>
  <c r="S16" i="2"/>
  <c r="U40" i="21"/>
  <c r="U36" i="21"/>
  <c r="U32" i="21"/>
  <c r="Q62" i="2"/>
  <c r="R61" i="2"/>
  <c r="S60" i="2"/>
  <c r="Q58" i="2"/>
  <c r="R57" i="2"/>
  <c r="S49" i="2"/>
  <c r="T45" i="2"/>
  <c r="R28" i="2"/>
  <c r="B33" i="53"/>
  <c r="B50" i="65"/>
  <c r="B67" i="65"/>
  <c r="B101" i="65"/>
  <c r="C111" i="53"/>
  <c r="B135" i="53"/>
  <c r="C145" i="53"/>
  <c r="B135" i="30"/>
  <c r="F126" i="36"/>
  <c r="C5" i="2"/>
  <c r="K65" i="2"/>
  <c r="D469" i="30"/>
  <c r="F469" i="30"/>
  <c r="E469" i="30"/>
  <c r="C6" i="52"/>
  <c r="E23" i="27"/>
  <c r="E14" i="27"/>
  <c r="D129" i="36"/>
  <c r="F129" i="36"/>
  <c r="E129" i="36"/>
  <c r="D130" i="36"/>
  <c r="F130" i="36"/>
  <c r="E130" i="36"/>
  <c r="F24" i="6"/>
  <c r="D129" i="32"/>
  <c r="F129" i="32"/>
  <c r="E129" i="32"/>
  <c r="C94" i="61"/>
  <c r="C77" i="30"/>
  <c r="S42" i="8"/>
  <c r="Q42" i="8"/>
  <c r="P41" i="8"/>
  <c r="F41" i="8"/>
  <c r="H41" i="8"/>
  <c r="C332" i="36"/>
  <c r="R41" i="8"/>
  <c r="T41" i="8"/>
  <c r="P39" i="8"/>
  <c r="F39" i="8"/>
  <c r="H39" i="8"/>
  <c r="R39" i="8"/>
  <c r="T39" i="8"/>
  <c r="P37" i="8"/>
  <c r="F37" i="8"/>
  <c r="H37" i="8"/>
  <c r="R37" i="8"/>
  <c r="T37" i="8"/>
  <c r="P35" i="8"/>
  <c r="F35" i="8"/>
  <c r="H35" i="8"/>
  <c r="R35" i="8"/>
  <c r="T35" i="8"/>
  <c r="P33" i="8"/>
  <c r="F33" i="8"/>
  <c r="H33" i="8"/>
  <c r="C247" i="36"/>
  <c r="R33" i="8"/>
  <c r="T33" i="8"/>
  <c r="P31" i="8"/>
  <c r="F31" i="8"/>
  <c r="H31" i="8"/>
  <c r="R31" i="8"/>
  <c r="T31" i="8"/>
  <c r="P29" i="8"/>
  <c r="F29" i="8"/>
  <c r="H29" i="8"/>
  <c r="C196" i="36"/>
  <c r="R29" i="8"/>
  <c r="T29" i="8"/>
  <c r="P27" i="8"/>
  <c r="F27" i="8"/>
  <c r="H27" i="8"/>
  <c r="R27" i="8"/>
  <c r="T27" i="8"/>
  <c r="P25" i="8"/>
  <c r="F25" i="8"/>
  <c r="H25" i="8"/>
  <c r="C145" i="36"/>
  <c r="R25" i="8"/>
  <c r="T25" i="8"/>
  <c r="P23" i="8"/>
  <c r="F23" i="8"/>
  <c r="H23" i="8"/>
  <c r="R23" i="8"/>
  <c r="T23" i="8"/>
  <c r="P21" i="8"/>
  <c r="F21" i="8"/>
  <c r="H21" i="8"/>
  <c r="R21" i="8"/>
  <c r="T21" i="8"/>
  <c r="P19" i="8"/>
  <c r="F19" i="8"/>
  <c r="H19" i="8"/>
  <c r="C60" i="36"/>
  <c r="R19" i="8"/>
  <c r="T19" i="8"/>
  <c r="P17" i="8"/>
  <c r="F17" i="8"/>
  <c r="H17" i="8"/>
  <c r="C26" i="36"/>
  <c r="R17" i="8"/>
  <c r="T17" i="8"/>
  <c r="P15" i="8"/>
  <c r="F15" i="8"/>
  <c r="H15" i="8"/>
  <c r="R15" i="8"/>
  <c r="T15" i="8"/>
  <c r="P40" i="8"/>
  <c r="F40" i="8"/>
  <c r="H40" i="8"/>
  <c r="C349" i="36"/>
  <c r="R40" i="8"/>
  <c r="T40" i="8"/>
  <c r="P38" i="8"/>
  <c r="F38" i="8"/>
  <c r="H38" i="8"/>
  <c r="C298" i="36"/>
  <c r="R38" i="8"/>
  <c r="T38" i="8"/>
  <c r="P36" i="8"/>
  <c r="B288" i="36"/>
  <c r="R36" i="8"/>
  <c r="T36" i="8"/>
  <c r="P34" i="8"/>
  <c r="B271" i="36"/>
  <c r="R34" i="8"/>
  <c r="T34" i="8"/>
  <c r="P32" i="8"/>
  <c r="F32" i="8"/>
  <c r="H32" i="8"/>
  <c r="R32" i="8"/>
  <c r="T32" i="8"/>
  <c r="P30" i="8"/>
  <c r="R30" i="8"/>
  <c r="T30" i="8"/>
  <c r="P28" i="8"/>
  <c r="B186" i="36"/>
  <c r="R28" i="8"/>
  <c r="T28" i="8"/>
  <c r="P26" i="8"/>
  <c r="B169" i="36"/>
  <c r="R26" i="8"/>
  <c r="T26" i="8"/>
  <c r="P24" i="8"/>
  <c r="F24" i="8"/>
  <c r="H24" i="8"/>
  <c r="R24" i="8"/>
  <c r="T24" i="8"/>
  <c r="P22" i="8"/>
  <c r="F22" i="8"/>
  <c r="H22" i="8"/>
  <c r="C94" i="36"/>
  <c r="R22" i="8"/>
  <c r="T22" i="8"/>
  <c r="P20" i="8"/>
  <c r="B84" i="36"/>
  <c r="R20" i="8"/>
  <c r="T20" i="8"/>
  <c r="P18" i="8"/>
  <c r="F18" i="8"/>
  <c r="H18" i="8"/>
  <c r="C43" i="36"/>
  <c r="R18" i="8"/>
  <c r="T18" i="8"/>
  <c r="P16" i="8"/>
  <c r="F16" i="8"/>
  <c r="H16" i="8"/>
  <c r="R16" i="8"/>
  <c r="T16" i="8"/>
  <c r="T14" i="8"/>
  <c r="R14" i="8"/>
  <c r="B67" i="36"/>
  <c r="B67" i="53"/>
  <c r="B390" i="30"/>
  <c r="B16" i="32"/>
  <c r="C60" i="33"/>
  <c r="B339" i="30"/>
  <c r="B152" i="53"/>
  <c r="B407" i="30"/>
  <c r="C468" i="30"/>
  <c r="C230" i="30"/>
  <c r="B16" i="31"/>
  <c r="C162" i="30"/>
  <c r="B33" i="33"/>
  <c r="B50" i="34"/>
  <c r="B50" i="33"/>
  <c r="B288" i="30"/>
  <c r="B16" i="35"/>
  <c r="B237" i="34"/>
  <c r="B135" i="35"/>
  <c r="F26" i="7"/>
  <c r="H26" i="7"/>
  <c r="C145" i="34"/>
  <c r="B271" i="34"/>
  <c r="C26" i="61"/>
  <c r="S15" i="8"/>
  <c r="B101" i="53"/>
  <c r="B50" i="30"/>
  <c r="C26" i="28"/>
  <c r="B50" i="53"/>
  <c r="B118" i="53"/>
  <c r="C26" i="53"/>
  <c r="B118" i="65"/>
  <c r="B118" i="31"/>
  <c r="B33" i="31"/>
  <c r="D503" i="57"/>
  <c r="F503" i="57"/>
  <c r="E503" i="57"/>
  <c r="D26" i="27"/>
  <c r="C6" i="58"/>
  <c r="G232" i="35"/>
  <c r="B186" i="30"/>
  <c r="C179" i="31"/>
  <c r="B118" i="36"/>
  <c r="B322" i="30"/>
  <c r="B84" i="65"/>
  <c r="Q44" i="8"/>
  <c r="S43" i="8"/>
  <c r="Q43" i="8"/>
  <c r="R42" i="8"/>
  <c r="Q41" i="8"/>
  <c r="S40" i="8"/>
  <c r="Q39" i="8"/>
  <c r="S38" i="8"/>
  <c r="Q37" i="8"/>
  <c r="S36" i="8"/>
  <c r="Q35" i="8"/>
  <c r="S34" i="8"/>
  <c r="Q33" i="8"/>
  <c r="S32" i="8"/>
  <c r="Q31" i="8"/>
  <c r="S30" i="8"/>
  <c r="Q29" i="8"/>
  <c r="S28" i="8"/>
  <c r="Q27" i="8"/>
  <c r="S26" i="8"/>
  <c r="Q25" i="8"/>
  <c r="S24" i="8"/>
  <c r="Q23" i="8"/>
  <c r="S22" i="8"/>
  <c r="Q21" i="8"/>
  <c r="S20" i="8"/>
  <c r="Q19" i="8"/>
  <c r="S18" i="8"/>
  <c r="Q17" i="8"/>
  <c r="S16" i="8"/>
  <c r="P14" i="8"/>
  <c r="F14" i="8"/>
  <c r="H14" i="8"/>
  <c r="C22" i="32"/>
  <c r="C196" i="35"/>
  <c r="B305" i="36"/>
  <c r="C434" i="30"/>
  <c r="C128" i="30"/>
  <c r="C179" i="30"/>
  <c r="C247" i="30"/>
  <c r="B50" i="36"/>
  <c r="B237" i="36"/>
  <c r="B101" i="30"/>
  <c r="C111" i="66"/>
  <c r="B203" i="30"/>
  <c r="C128" i="39"/>
  <c r="B67" i="30"/>
  <c r="C26" i="65"/>
  <c r="C213" i="31"/>
  <c r="B356" i="36"/>
  <c r="B152" i="36"/>
  <c r="B339" i="36"/>
  <c r="F30" i="8"/>
  <c r="H30" i="8"/>
  <c r="C213" i="36"/>
  <c r="B220" i="36"/>
  <c r="C60" i="53"/>
  <c r="B33" i="65"/>
  <c r="S49" i="8"/>
  <c r="Q49" i="8"/>
  <c r="S48" i="8"/>
  <c r="Q48" i="8"/>
  <c r="S47" i="8"/>
  <c r="Q47" i="8"/>
  <c r="S46" i="8"/>
  <c r="Q46" i="8"/>
  <c r="S45" i="8"/>
  <c r="Q45" i="8"/>
  <c r="S44" i="8"/>
  <c r="P44" i="8"/>
  <c r="F44" i="8"/>
  <c r="H44" i="8"/>
  <c r="T43" i="8"/>
  <c r="P43" i="8"/>
  <c r="F43" i="8"/>
  <c r="F24" i="48"/>
  <c r="T42" i="8"/>
  <c r="C43" i="39"/>
  <c r="G27" i="48"/>
  <c r="J27" i="48"/>
  <c r="H27" i="48"/>
  <c r="K27" i="48"/>
  <c r="C9" i="61"/>
  <c r="C94" i="30"/>
  <c r="C383" i="30"/>
  <c r="C298" i="30"/>
  <c r="C6" i="10"/>
  <c r="E19" i="27"/>
  <c r="E7" i="10"/>
  <c r="F436" i="38"/>
  <c r="E436" i="38"/>
  <c r="F453" i="38"/>
  <c r="E453" i="38"/>
  <c r="C9" i="2"/>
  <c r="F9" i="2"/>
  <c r="P13" i="52"/>
  <c r="B186" i="53"/>
  <c r="C60" i="35"/>
  <c r="G23" i="48"/>
  <c r="J23" i="48"/>
  <c r="H23" i="48"/>
  <c r="K23" i="48"/>
  <c r="C179" i="61"/>
  <c r="H26" i="55"/>
  <c r="G10" i="55"/>
  <c r="I10" i="55"/>
  <c r="C94" i="65"/>
  <c r="C196" i="31"/>
  <c r="H41" i="1"/>
  <c r="H10" i="1"/>
  <c r="J10" i="1"/>
  <c r="J15" i="1"/>
  <c r="B424" i="30"/>
  <c r="C94" i="31"/>
  <c r="S39" i="60"/>
  <c r="T38" i="60"/>
  <c r="S37" i="60"/>
  <c r="S36" i="60"/>
  <c r="S35" i="60"/>
  <c r="S34" i="60"/>
  <c r="T33" i="60"/>
  <c r="T32" i="60"/>
  <c r="T31" i="60"/>
  <c r="T30" i="60"/>
  <c r="T29" i="60"/>
  <c r="S28" i="60"/>
  <c r="S26" i="60"/>
  <c r="S24" i="60"/>
  <c r="S22" i="60"/>
  <c r="S20" i="60"/>
  <c r="S16" i="60"/>
  <c r="S31" i="60"/>
  <c r="S29" i="60"/>
  <c r="Q26" i="60"/>
  <c r="Q22" i="60"/>
  <c r="Q18" i="60"/>
  <c r="Q14" i="60"/>
  <c r="T27" i="60"/>
  <c r="R25" i="60"/>
  <c r="R21" i="60"/>
  <c r="R17" i="60"/>
  <c r="R13" i="60"/>
  <c r="P18" i="12"/>
  <c r="F34" i="8"/>
  <c r="H34" i="8"/>
  <c r="Q19" i="60"/>
  <c r="Q15" i="60"/>
  <c r="Q13" i="60"/>
  <c r="Q31" i="60"/>
  <c r="Q30" i="60"/>
  <c r="Q29" i="60"/>
  <c r="S27" i="60"/>
  <c r="S25" i="60"/>
  <c r="S23" i="60"/>
  <c r="S21" i="60"/>
  <c r="S19" i="60"/>
  <c r="S17" i="60"/>
  <c r="S15" i="60"/>
  <c r="S13" i="60"/>
  <c r="R28" i="60"/>
  <c r="R27" i="60"/>
  <c r="R26" i="60"/>
  <c r="R24" i="60"/>
  <c r="R22" i="60"/>
  <c r="R20" i="60"/>
  <c r="R18" i="60"/>
  <c r="R16" i="60"/>
  <c r="R14" i="60"/>
  <c r="S14" i="12"/>
  <c r="S16" i="12"/>
  <c r="T44" i="8"/>
  <c r="P45" i="8"/>
  <c r="T45" i="8"/>
  <c r="P46" i="8"/>
  <c r="F46" i="8"/>
  <c r="H46" i="8"/>
  <c r="T46" i="8"/>
  <c r="P47" i="8"/>
  <c r="F47" i="8"/>
  <c r="H47" i="8"/>
  <c r="T47" i="8"/>
  <c r="P48" i="8"/>
  <c r="F48" i="8"/>
  <c r="H48" i="8"/>
  <c r="T48" i="8"/>
  <c r="P49" i="8"/>
  <c r="F49" i="8"/>
  <c r="H49" i="8"/>
  <c r="T49" i="8"/>
  <c r="F13" i="52"/>
  <c r="R13" i="52"/>
  <c r="T13" i="52"/>
  <c r="Q15" i="52"/>
  <c r="S15" i="52"/>
  <c r="R16" i="52"/>
  <c r="T16" i="52"/>
  <c r="Q17" i="52"/>
  <c r="S17" i="52"/>
  <c r="R18" i="52"/>
  <c r="T18" i="52"/>
  <c r="Q19" i="52"/>
  <c r="S19" i="52"/>
  <c r="R20" i="52"/>
  <c r="T20" i="52"/>
  <c r="Q21" i="52"/>
  <c r="S21" i="52"/>
  <c r="R22" i="52"/>
  <c r="T22" i="52"/>
  <c r="Q23" i="52"/>
  <c r="S23" i="52"/>
  <c r="Q24" i="52"/>
  <c r="S24" i="52"/>
  <c r="S14" i="52"/>
  <c r="Q14" i="52"/>
  <c r="R87" i="21"/>
  <c r="T55" i="2"/>
  <c r="Q34" i="21"/>
  <c r="F34" i="21"/>
  <c r="H34" i="21"/>
  <c r="C162" i="39"/>
  <c r="Q38" i="21"/>
  <c r="F38" i="21"/>
  <c r="H38" i="21"/>
  <c r="C179" i="39"/>
  <c r="R18" i="12"/>
  <c r="R17" i="12"/>
  <c r="Q16" i="12"/>
  <c r="Q15" i="12"/>
  <c r="Q14" i="12"/>
  <c r="T13" i="60"/>
  <c r="T14" i="60"/>
  <c r="T15" i="60"/>
  <c r="T16" i="60"/>
  <c r="T17" i="60"/>
  <c r="T18" i="60"/>
  <c r="T19" i="60"/>
  <c r="T20" i="60"/>
  <c r="T21" i="60"/>
  <c r="T22" i="60"/>
  <c r="T23" i="60"/>
  <c r="T24" i="60"/>
  <c r="T25" i="60"/>
  <c r="Q14" i="8"/>
  <c r="S14" i="8"/>
  <c r="Q15" i="8"/>
  <c r="Q16" i="8"/>
  <c r="S17" i="8"/>
  <c r="Q18" i="8"/>
  <c r="S19" i="8"/>
  <c r="Q20" i="8"/>
  <c r="S21" i="8"/>
  <c r="Q22" i="8"/>
  <c r="S23" i="8"/>
  <c r="Q24" i="8"/>
  <c r="S25" i="8"/>
  <c r="Q26" i="8"/>
  <c r="S27" i="8"/>
  <c r="Q28" i="8"/>
  <c r="S29" i="8"/>
  <c r="Q30" i="8"/>
  <c r="S31" i="8"/>
  <c r="Q32" i="8"/>
  <c r="S33" i="8"/>
  <c r="Q34" i="8"/>
  <c r="S35" i="8"/>
  <c r="Q36" i="8"/>
  <c r="S37" i="8"/>
  <c r="Q38" i="8"/>
  <c r="S39" i="8"/>
  <c r="Q40" i="8"/>
  <c r="S41" i="8"/>
  <c r="P42" i="8"/>
  <c r="B322" i="36"/>
  <c r="R43" i="8"/>
  <c r="R44" i="8"/>
  <c r="R45" i="8"/>
  <c r="R46" i="8"/>
  <c r="R47" i="8"/>
  <c r="R48" i="8"/>
  <c r="R49" i="8"/>
  <c r="Q13" i="52"/>
  <c r="S13" i="52"/>
  <c r="R15" i="52"/>
  <c r="T15" i="52"/>
  <c r="Q16" i="52"/>
  <c r="S16" i="52"/>
  <c r="R17" i="52"/>
  <c r="T17" i="52"/>
  <c r="Q18" i="52"/>
  <c r="S18" i="52"/>
  <c r="R19" i="52"/>
  <c r="T19" i="52"/>
  <c r="Q20" i="52"/>
  <c r="S20" i="52"/>
  <c r="R21" i="52"/>
  <c r="T21" i="52"/>
  <c r="Q22" i="52"/>
  <c r="S22" i="52"/>
  <c r="R23" i="52"/>
  <c r="T23" i="52"/>
  <c r="B16" i="53"/>
  <c r="R24" i="52"/>
  <c r="T24" i="52"/>
  <c r="T14" i="52"/>
  <c r="R14" i="52"/>
  <c r="R85" i="21"/>
  <c r="G26" i="48"/>
  <c r="J26" i="48"/>
  <c r="H26" i="48"/>
  <c r="K26" i="48"/>
  <c r="R89" i="21"/>
  <c r="Q90" i="21"/>
  <c r="R15" i="2"/>
  <c r="R21" i="2"/>
  <c r="R64" i="2"/>
  <c r="J14" i="1"/>
  <c r="J37" i="1"/>
  <c r="F313" i="66"/>
  <c r="J13" i="1"/>
  <c r="J36" i="1"/>
  <c r="G10" i="27"/>
  <c r="J19" i="1"/>
  <c r="F75" i="66"/>
  <c r="J39" i="1"/>
  <c r="F347" i="66"/>
  <c r="J31" i="1"/>
  <c r="J21" i="1"/>
  <c r="F109" i="66"/>
  <c r="J27" i="1"/>
  <c r="F194" i="66"/>
  <c r="J35" i="1"/>
  <c r="F296" i="66"/>
  <c r="J38" i="1"/>
  <c r="F330" i="66"/>
  <c r="J32" i="1"/>
  <c r="J18" i="1"/>
  <c r="B356" i="30"/>
  <c r="C264" i="36"/>
  <c r="F18" i="12"/>
  <c r="H18" i="12"/>
  <c r="B50" i="66"/>
  <c r="B50" i="28"/>
  <c r="J17" i="1"/>
  <c r="J34" i="1"/>
  <c r="F45" i="8"/>
  <c r="H45" i="8"/>
  <c r="B390" i="36"/>
  <c r="C9" i="53"/>
  <c r="F42" i="8"/>
  <c r="H42" i="8"/>
  <c r="C315" i="36"/>
  <c r="C383" i="36"/>
  <c r="C43" i="28"/>
  <c r="C179" i="53"/>
  <c r="C6" i="1"/>
  <c r="C7" i="1"/>
  <c r="F7" i="1"/>
  <c r="D18" i="27"/>
  <c r="C5" i="8"/>
  <c r="C3" i="19"/>
  <c r="E20" i="27"/>
  <c r="E21" i="27"/>
  <c r="E13" i="27"/>
  <c r="K13" i="58"/>
  <c r="C7" i="58"/>
  <c r="D265" i="39"/>
  <c r="F265" i="39"/>
  <c r="E265" i="39"/>
  <c r="D10" i="59"/>
  <c r="F10" i="59"/>
  <c r="E10" i="59"/>
  <c r="E26" i="27"/>
  <c r="C75" i="21"/>
  <c r="E25" i="27"/>
  <c r="E11" i="27"/>
  <c r="E12" i="27"/>
  <c r="K26" i="19"/>
  <c r="C4" i="19"/>
  <c r="E17" i="27"/>
  <c r="E18" i="27"/>
  <c r="C6" i="8"/>
  <c r="F8" i="8"/>
  <c r="K13" i="8"/>
  <c r="D214" i="35"/>
  <c r="F214" i="35"/>
  <c r="E214" i="35"/>
  <c r="D163" i="53"/>
  <c r="F163" i="53"/>
  <c r="E163" i="53"/>
  <c r="C111" i="50"/>
  <c r="C26" i="50"/>
  <c r="B16" i="36"/>
  <c r="F20" i="8"/>
  <c r="H20" i="8"/>
  <c r="C77" i="36"/>
  <c r="B203" i="36"/>
  <c r="B254" i="36"/>
  <c r="B84" i="53"/>
  <c r="C43" i="53"/>
  <c r="B16" i="65"/>
  <c r="F262" i="66"/>
  <c r="C111" i="36"/>
  <c r="C230" i="36"/>
  <c r="C77" i="53"/>
  <c r="C9" i="67"/>
  <c r="C9" i="39"/>
  <c r="H46" i="21"/>
  <c r="I21" i="27"/>
  <c r="J21" i="27"/>
  <c r="C128" i="61"/>
  <c r="H49" i="60"/>
  <c r="G10" i="60"/>
  <c r="I10" i="60"/>
  <c r="B152" i="30"/>
  <c r="C179" i="66"/>
  <c r="C264" i="66"/>
  <c r="C264" i="34"/>
  <c r="C94" i="39"/>
  <c r="C111" i="61"/>
  <c r="H19" i="12"/>
  <c r="H9" i="12"/>
  <c r="J9" i="12"/>
  <c r="J18" i="12"/>
  <c r="C9" i="36"/>
  <c r="C94" i="33"/>
  <c r="C43" i="33"/>
  <c r="C298" i="66"/>
  <c r="C26" i="33"/>
  <c r="F36" i="8"/>
  <c r="H36" i="8"/>
  <c r="C281" i="36"/>
  <c r="J13" i="12"/>
  <c r="J17" i="12"/>
  <c r="F26" i="8"/>
  <c r="H26" i="8"/>
  <c r="B101" i="36"/>
  <c r="B33" i="36"/>
  <c r="F28" i="8"/>
  <c r="H28" i="8"/>
  <c r="C179" i="36"/>
  <c r="G24" i="27"/>
  <c r="J24" i="55"/>
  <c r="J20" i="55"/>
  <c r="J22" i="55"/>
  <c r="F75" i="65"/>
  <c r="J18" i="55"/>
  <c r="J19" i="55"/>
  <c r="F41" i="65"/>
  <c r="J15" i="55"/>
  <c r="J21" i="55"/>
  <c r="J16" i="55"/>
  <c r="J25" i="55"/>
  <c r="F109" i="65"/>
  <c r="J13" i="55"/>
  <c r="J17" i="55"/>
  <c r="J14" i="55"/>
  <c r="J23" i="55"/>
  <c r="F92" i="65"/>
  <c r="C128" i="32"/>
  <c r="G20" i="48"/>
  <c r="J20" i="48"/>
  <c r="H20" i="48"/>
  <c r="K20" i="48"/>
  <c r="J39" i="60"/>
  <c r="J21" i="60"/>
  <c r="J32" i="60"/>
  <c r="J41" i="60"/>
  <c r="J42" i="60"/>
  <c r="F228" i="61"/>
  <c r="J43" i="60"/>
  <c r="F245" i="61"/>
  <c r="J35" i="60"/>
  <c r="J27" i="60"/>
  <c r="J22" i="60"/>
  <c r="J40" i="60"/>
  <c r="J25" i="60"/>
  <c r="F92" i="61"/>
  <c r="J36" i="60"/>
  <c r="J17" i="60"/>
  <c r="J33" i="60"/>
  <c r="F143" i="61"/>
  <c r="J19" i="60"/>
  <c r="B169" i="53"/>
  <c r="I87" i="21"/>
  <c r="K87" i="21"/>
  <c r="I86" i="21"/>
  <c r="K86" i="21"/>
  <c r="I88" i="21"/>
  <c r="K88" i="21"/>
  <c r="I89" i="21"/>
  <c r="K89" i="21"/>
  <c r="I90" i="21"/>
  <c r="K90" i="21"/>
  <c r="F24" i="67"/>
  <c r="I11" i="27"/>
  <c r="J11" i="27"/>
  <c r="G10" i="21"/>
  <c r="I10" i="21"/>
  <c r="J26" i="1"/>
  <c r="J24" i="1"/>
  <c r="F160" i="66"/>
  <c r="J30" i="1"/>
  <c r="F245" i="66"/>
  <c r="J23" i="1"/>
  <c r="F143" i="66"/>
  <c r="J40" i="1"/>
  <c r="F364" i="66"/>
  <c r="J16" i="1"/>
  <c r="J25" i="1"/>
  <c r="F177" i="66"/>
  <c r="J29" i="1"/>
  <c r="F228" i="66"/>
  <c r="J22" i="1"/>
  <c r="F126" i="66"/>
  <c r="J20" i="1"/>
  <c r="F92" i="66"/>
  <c r="J33" i="1"/>
  <c r="F279" i="66"/>
  <c r="J28" i="1"/>
  <c r="F211" i="66"/>
  <c r="H43" i="8"/>
  <c r="J26" i="60"/>
  <c r="J24" i="60"/>
  <c r="F75" i="61"/>
  <c r="J20" i="60"/>
  <c r="F41" i="61"/>
  <c r="J47" i="60"/>
  <c r="J18" i="60"/>
  <c r="J28" i="60"/>
  <c r="J13" i="60"/>
  <c r="J30" i="60"/>
  <c r="J38" i="60"/>
  <c r="F194" i="61"/>
  <c r="J37" i="60"/>
  <c r="J46" i="60"/>
  <c r="J34" i="60"/>
  <c r="F160" i="61"/>
  <c r="J23" i="60"/>
  <c r="J16" i="60"/>
  <c r="J29" i="60"/>
  <c r="J48" i="60"/>
  <c r="F313" i="61"/>
  <c r="J14" i="60"/>
  <c r="J44" i="60"/>
  <c r="F262" i="61"/>
  <c r="J31" i="60"/>
  <c r="F126" i="61"/>
  <c r="J15" i="60"/>
  <c r="F24" i="61"/>
  <c r="J45" i="60"/>
  <c r="F279" i="61"/>
  <c r="C9" i="33"/>
  <c r="H24" i="6"/>
  <c r="C9" i="37"/>
  <c r="H25" i="5"/>
  <c r="C9" i="32"/>
  <c r="G25" i="48"/>
  <c r="J25" i="48"/>
  <c r="H25" i="48"/>
  <c r="K25" i="48"/>
  <c r="C128" i="37"/>
  <c r="C9" i="31"/>
  <c r="H40" i="7"/>
  <c r="C9" i="34"/>
  <c r="H27" i="19"/>
  <c r="C9" i="35"/>
  <c r="B373" i="36"/>
  <c r="F211" i="61"/>
  <c r="F58" i="65"/>
  <c r="J41" i="1"/>
  <c r="F296" i="61"/>
  <c r="F177" i="61"/>
  <c r="F109" i="61"/>
  <c r="F58" i="61"/>
  <c r="F24" i="65"/>
  <c r="C128" i="53"/>
  <c r="G11" i="27"/>
  <c r="J14" i="12"/>
  <c r="J15" i="12"/>
  <c r="F24" i="28"/>
  <c r="J16" i="12"/>
  <c r="F41" i="28"/>
  <c r="C162" i="36"/>
  <c r="H50" i="8"/>
  <c r="L13" i="12"/>
  <c r="F7" i="28"/>
  <c r="J19" i="12"/>
  <c r="L13" i="55"/>
  <c r="F7" i="65"/>
  <c r="J26" i="55"/>
  <c r="I17" i="27"/>
  <c r="J17" i="27"/>
  <c r="F37" i="19"/>
  <c r="G7" i="19"/>
  <c r="I7" i="19"/>
  <c r="G34" i="19"/>
  <c r="H34" i="19"/>
  <c r="I16" i="27"/>
  <c r="J16" i="27"/>
  <c r="G9" i="7"/>
  <c r="I9" i="7"/>
  <c r="I14" i="27"/>
  <c r="J14" i="27"/>
  <c r="G10" i="5"/>
  <c r="I10" i="5"/>
  <c r="I19" i="27"/>
  <c r="J19" i="27"/>
  <c r="G24" i="48"/>
  <c r="J24" i="48"/>
  <c r="H24" i="48"/>
  <c r="K24" i="48"/>
  <c r="C366" i="36"/>
  <c r="I91" i="21"/>
  <c r="I15" i="27"/>
  <c r="J15" i="27"/>
  <c r="G9" i="6"/>
  <c r="I9" i="6"/>
  <c r="L13" i="60"/>
  <c r="F7" i="61"/>
  <c r="J49" i="60"/>
  <c r="I37" i="21"/>
  <c r="K37" i="21"/>
  <c r="I45" i="21"/>
  <c r="K45" i="21"/>
  <c r="I17" i="21"/>
  <c r="K17" i="21"/>
  <c r="I15" i="21"/>
  <c r="K15" i="21"/>
  <c r="F24" i="39"/>
  <c r="I26" i="21"/>
  <c r="K26" i="21"/>
  <c r="I32" i="21"/>
  <c r="K32" i="21"/>
  <c r="I14" i="21"/>
  <c r="K14" i="21"/>
  <c r="I16" i="21"/>
  <c r="K16" i="21"/>
  <c r="I31" i="21"/>
  <c r="K31" i="21"/>
  <c r="F143" i="39"/>
  <c r="I39" i="21"/>
  <c r="K39" i="21"/>
  <c r="I34" i="21"/>
  <c r="K34" i="21"/>
  <c r="I40" i="21"/>
  <c r="K40" i="21"/>
  <c r="I36" i="21"/>
  <c r="K36" i="21"/>
  <c r="I43" i="21"/>
  <c r="K43" i="21"/>
  <c r="F228" i="39"/>
  <c r="I28" i="21"/>
  <c r="K28" i="21"/>
  <c r="F109" i="39"/>
  <c r="I27" i="21"/>
  <c r="K27" i="21"/>
  <c r="I30" i="21"/>
  <c r="K30" i="21"/>
  <c r="I38" i="21"/>
  <c r="K38" i="21"/>
  <c r="I35" i="21"/>
  <c r="K35" i="21"/>
  <c r="I13" i="21"/>
  <c r="I42" i="21"/>
  <c r="K42" i="21"/>
  <c r="F211" i="39"/>
  <c r="I29" i="21"/>
  <c r="K29" i="21"/>
  <c r="I33" i="21"/>
  <c r="K33" i="21"/>
  <c r="F160" i="39"/>
  <c r="G21" i="27"/>
  <c r="I44" i="21"/>
  <c r="K44" i="21"/>
  <c r="F245" i="39"/>
  <c r="I41" i="21"/>
  <c r="K41" i="21"/>
  <c r="F194" i="39"/>
  <c r="F41" i="39"/>
  <c r="F92" i="39"/>
  <c r="F177" i="39"/>
  <c r="F126" i="39"/>
  <c r="I18" i="27"/>
  <c r="J18" i="27"/>
  <c r="G9" i="8"/>
  <c r="I9" i="8"/>
  <c r="I23" i="27"/>
  <c r="J23" i="27"/>
  <c r="F38" i="19"/>
  <c r="K14" i="12"/>
  <c r="K14" i="55"/>
  <c r="I46" i="21"/>
  <c r="K13" i="21"/>
  <c r="F262" i="39"/>
  <c r="M45" i="21"/>
  <c r="D11" i="61"/>
  <c r="F11" i="61"/>
  <c r="E11" i="61"/>
  <c r="K14" i="60"/>
  <c r="L14" i="60"/>
  <c r="K15" i="60"/>
  <c r="F143" i="37"/>
  <c r="F194" i="37"/>
  <c r="F211" i="37"/>
  <c r="F92" i="37"/>
  <c r="F109" i="37"/>
  <c r="G19" i="27"/>
  <c r="F41" i="37"/>
  <c r="F75" i="37"/>
  <c r="F160" i="37"/>
  <c r="F58" i="37"/>
  <c r="F177" i="37"/>
  <c r="F228" i="37"/>
  <c r="J23" i="5"/>
  <c r="F109" i="32"/>
  <c r="J21" i="5"/>
  <c r="J19" i="5"/>
  <c r="J16" i="5"/>
  <c r="J14" i="5"/>
  <c r="J17" i="5"/>
  <c r="F24" i="32"/>
  <c r="J20" i="5"/>
  <c r="F75" i="32"/>
  <c r="J18" i="5"/>
  <c r="J22" i="5"/>
  <c r="J13" i="5"/>
  <c r="J24" i="5"/>
  <c r="J15" i="5"/>
  <c r="G14" i="27"/>
  <c r="J33" i="7"/>
  <c r="J29" i="7"/>
  <c r="F194" i="34"/>
  <c r="J13" i="7"/>
  <c r="J38" i="7"/>
  <c r="G16" i="27"/>
  <c r="J31" i="7"/>
  <c r="J36" i="7"/>
  <c r="J15" i="7"/>
  <c r="J21" i="7"/>
  <c r="J25" i="7"/>
  <c r="F126" i="34"/>
  <c r="J24" i="7"/>
  <c r="F109" i="34"/>
  <c r="J19" i="7"/>
  <c r="J37" i="7"/>
  <c r="J16" i="7"/>
  <c r="J34" i="7"/>
  <c r="J23" i="7"/>
  <c r="F92" i="34"/>
  <c r="J27" i="7"/>
  <c r="F160" i="34"/>
  <c r="J14" i="7"/>
  <c r="F24" i="34"/>
  <c r="J17" i="7"/>
  <c r="J30" i="7"/>
  <c r="F211" i="34"/>
  <c r="J28" i="7"/>
  <c r="F177" i="34"/>
  <c r="J39" i="7"/>
  <c r="J26" i="7"/>
  <c r="F143" i="34"/>
  <c r="J18" i="7"/>
  <c r="J20" i="7"/>
  <c r="F58" i="34"/>
  <c r="J32" i="7"/>
  <c r="J35" i="7"/>
  <c r="F245" i="34"/>
  <c r="J22" i="7"/>
  <c r="F75" i="34"/>
  <c r="H38" i="19"/>
  <c r="H37" i="19"/>
  <c r="J14" i="6"/>
  <c r="J22" i="6"/>
  <c r="J16" i="6"/>
  <c r="J17" i="6"/>
  <c r="J15" i="6"/>
  <c r="J21" i="6"/>
  <c r="F75" i="33"/>
  <c r="J19" i="6"/>
  <c r="J18" i="6"/>
  <c r="J20" i="6"/>
  <c r="G15" i="27"/>
  <c r="J13" i="6"/>
  <c r="J23" i="6"/>
  <c r="L23" i="6"/>
  <c r="K22" i="6"/>
  <c r="K91" i="21"/>
  <c r="F7" i="67"/>
  <c r="J17" i="19"/>
  <c r="F75" i="35"/>
  <c r="J14" i="19"/>
  <c r="F41" i="35"/>
  <c r="J25" i="19"/>
  <c r="J20" i="19"/>
  <c r="F126" i="35"/>
  <c r="J16" i="19"/>
  <c r="J18" i="19"/>
  <c r="F92" i="35"/>
  <c r="J23" i="19"/>
  <c r="F177" i="35"/>
  <c r="J19" i="19"/>
  <c r="F109" i="35"/>
  <c r="J26" i="19"/>
  <c r="J10" i="19"/>
  <c r="J12" i="19"/>
  <c r="J22" i="19"/>
  <c r="F160" i="35"/>
  <c r="J21" i="19"/>
  <c r="F143" i="35"/>
  <c r="J15" i="19"/>
  <c r="F58" i="35"/>
  <c r="J24" i="19"/>
  <c r="F194" i="35"/>
  <c r="J13" i="19"/>
  <c r="F24" i="35"/>
  <c r="J11" i="19"/>
  <c r="G17" i="27"/>
  <c r="F279" i="50"/>
  <c r="F58" i="33"/>
  <c r="F41" i="33"/>
  <c r="F24" i="33"/>
  <c r="F262" i="34"/>
  <c r="F24" i="37"/>
  <c r="F126" i="37"/>
  <c r="F92" i="33"/>
  <c r="F41" i="34"/>
  <c r="F228" i="34"/>
  <c r="F24" i="53"/>
  <c r="F126" i="53"/>
  <c r="F7" i="53"/>
  <c r="F109" i="53"/>
  <c r="F177" i="53"/>
  <c r="F92" i="53"/>
  <c r="F58" i="53"/>
  <c r="F41" i="53"/>
  <c r="G23" i="27"/>
  <c r="F143" i="53"/>
  <c r="J16" i="8"/>
  <c r="J13" i="8"/>
  <c r="J23" i="8"/>
  <c r="J47" i="8"/>
  <c r="J37" i="8"/>
  <c r="J48" i="8"/>
  <c r="J34" i="8"/>
  <c r="J21" i="8"/>
  <c r="J42" i="8"/>
  <c r="F313" i="36"/>
  <c r="J38" i="8"/>
  <c r="J22" i="8"/>
  <c r="F92" i="36"/>
  <c r="J28" i="8"/>
  <c r="F177" i="36"/>
  <c r="J19" i="8"/>
  <c r="F58" i="36"/>
  <c r="J39" i="8"/>
  <c r="J27" i="8"/>
  <c r="J15" i="8"/>
  <c r="J18" i="8"/>
  <c r="F41" i="36"/>
  <c r="J40" i="8"/>
  <c r="F347" i="36"/>
  <c r="J14" i="8"/>
  <c r="J26" i="8"/>
  <c r="J46" i="8"/>
  <c r="J35" i="8"/>
  <c r="J29" i="8"/>
  <c r="F194" i="36"/>
  <c r="J36" i="8"/>
  <c r="J45" i="8"/>
  <c r="G18" i="27"/>
  <c r="J44" i="8"/>
  <c r="F381" i="36"/>
  <c r="J24" i="8"/>
  <c r="J17" i="8"/>
  <c r="F24" i="36"/>
  <c r="J30" i="8"/>
  <c r="F211" i="36"/>
  <c r="J32" i="8"/>
  <c r="J41" i="8"/>
  <c r="F330" i="36"/>
  <c r="J49" i="8"/>
  <c r="J31" i="8"/>
  <c r="J25" i="8"/>
  <c r="F143" i="36"/>
  <c r="J33" i="8"/>
  <c r="F245" i="36"/>
  <c r="J20" i="8"/>
  <c r="F75" i="36"/>
  <c r="J43" i="8"/>
  <c r="F364" i="36"/>
  <c r="F58" i="32"/>
  <c r="F92" i="32"/>
  <c r="D10" i="28"/>
  <c r="F10" i="28"/>
  <c r="E10" i="28"/>
  <c r="L14" i="12"/>
  <c r="D10" i="65"/>
  <c r="F10" i="65"/>
  <c r="L14" i="55"/>
  <c r="F211" i="35"/>
  <c r="L26" i="19"/>
  <c r="F7" i="33"/>
  <c r="J24" i="6"/>
  <c r="F7" i="34"/>
  <c r="L13" i="7"/>
  <c r="J40" i="7"/>
  <c r="L24" i="5"/>
  <c r="F126" i="32"/>
  <c r="D27" i="61"/>
  <c r="F27" i="61"/>
  <c r="E27" i="61"/>
  <c r="L15" i="60"/>
  <c r="L44" i="21"/>
  <c r="D266" i="39"/>
  <c r="F266" i="39"/>
  <c r="E266" i="39"/>
  <c r="F7" i="39"/>
  <c r="K46" i="21"/>
  <c r="J27" i="19"/>
  <c r="F7" i="35"/>
  <c r="L17" i="21"/>
  <c r="M17" i="21"/>
  <c r="L16" i="21"/>
  <c r="D95" i="33"/>
  <c r="F95" i="33"/>
  <c r="E95" i="33"/>
  <c r="L22" i="6"/>
  <c r="F7" i="32"/>
  <c r="J25" i="5"/>
  <c r="F7" i="37"/>
  <c r="F228" i="36"/>
  <c r="F279" i="36"/>
  <c r="F160" i="36"/>
  <c r="F296" i="36"/>
  <c r="K15" i="12"/>
  <c r="D11" i="28"/>
  <c r="F262" i="36"/>
  <c r="F109" i="36"/>
  <c r="J50" i="8"/>
  <c r="L13" i="8"/>
  <c r="F7" i="36"/>
  <c r="F75" i="53"/>
  <c r="K15" i="55"/>
  <c r="D11" i="65"/>
  <c r="F11" i="65"/>
  <c r="F160" i="53"/>
  <c r="L15" i="12"/>
  <c r="D27" i="28"/>
  <c r="F27" i="28"/>
  <c r="E27" i="28"/>
  <c r="L15" i="55"/>
  <c r="D96" i="33"/>
  <c r="K21" i="6"/>
  <c r="D248" i="39"/>
  <c r="F248" i="39"/>
  <c r="E248" i="39"/>
  <c r="M44" i="21"/>
  <c r="K23" i="5"/>
  <c r="D130" i="32"/>
  <c r="K14" i="7"/>
  <c r="D11" i="34"/>
  <c r="D215" i="35"/>
  <c r="K25" i="19"/>
  <c r="L25" i="19"/>
  <c r="K24" i="19"/>
  <c r="D44" i="39"/>
  <c r="F44" i="39"/>
  <c r="E44" i="39"/>
  <c r="M16" i="21"/>
  <c r="K16" i="60"/>
  <c r="L16" i="60"/>
  <c r="K17" i="60"/>
  <c r="L17" i="60"/>
  <c r="K18" i="60"/>
  <c r="L18" i="60"/>
  <c r="K19" i="60"/>
  <c r="L19" i="60"/>
  <c r="K20" i="60"/>
  <c r="D28" i="61"/>
  <c r="F28" i="61"/>
  <c r="E28" i="61"/>
  <c r="G11" i="28"/>
  <c r="F11" i="28"/>
  <c r="E11" i="28"/>
  <c r="D164" i="53"/>
  <c r="F164" i="53"/>
  <c r="E164" i="53"/>
  <c r="K14" i="8"/>
  <c r="K16" i="12"/>
  <c r="D28" i="28"/>
  <c r="K16" i="55"/>
  <c r="D44" i="61"/>
  <c r="F44" i="61"/>
  <c r="E44" i="61"/>
  <c r="L20" i="60"/>
  <c r="L15" i="21"/>
  <c r="D45" i="39"/>
  <c r="F45" i="39"/>
  <c r="E45" i="39"/>
  <c r="D197" i="35"/>
  <c r="F197" i="35"/>
  <c r="E197" i="35"/>
  <c r="L24" i="19"/>
  <c r="F11" i="34"/>
  <c r="E11" i="34"/>
  <c r="G11" i="34"/>
  <c r="G130" i="32"/>
  <c r="F130" i="32"/>
  <c r="E130" i="32"/>
  <c r="L43" i="21"/>
  <c r="D249" i="39"/>
  <c r="F249" i="39"/>
  <c r="E249" i="39"/>
  <c r="L21" i="6"/>
  <c r="D78" i="33"/>
  <c r="F78" i="33"/>
  <c r="E78" i="33"/>
  <c r="F215" i="35"/>
  <c r="E215" i="35"/>
  <c r="G215" i="35"/>
  <c r="D27" i="34"/>
  <c r="F27" i="34"/>
  <c r="E27" i="34"/>
  <c r="L14" i="7"/>
  <c r="D112" i="32"/>
  <c r="F112" i="32"/>
  <c r="E112" i="32"/>
  <c r="L23" i="5"/>
  <c r="F96" i="33"/>
  <c r="E96" i="33"/>
  <c r="G96" i="33"/>
  <c r="D10" i="37"/>
  <c r="F10" i="37"/>
  <c r="E10" i="37"/>
  <c r="D11" i="37"/>
  <c r="L16" i="55"/>
  <c r="D180" i="53"/>
  <c r="F180" i="53"/>
  <c r="E180" i="53"/>
  <c r="L14" i="8"/>
  <c r="F28" i="28"/>
  <c r="E28" i="28"/>
  <c r="G28" i="28"/>
  <c r="L16" i="12"/>
  <c r="K22" i="5"/>
  <c r="L22" i="5"/>
  <c r="K21" i="5"/>
  <c r="D113" i="32"/>
  <c r="K15" i="7"/>
  <c r="D28" i="34"/>
  <c r="D198" i="35"/>
  <c r="K23" i="19"/>
  <c r="D45" i="61"/>
  <c r="F45" i="61"/>
  <c r="E45" i="61"/>
  <c r="K21" i="60"/>
  <c r="L21" i="60"/>
  <c r="K22" i="60"/>
  <c r="K20" i="6"/>
  <c r="L20" i="6"/>
  <c r="K19" i="6"/>
  <c r="D79" i="33"/>
  <c r="M43" i="21"/>
  <c r="D231" i="39"/>
  <c r="F231" i="39"/>
  <c r="E231" i="39"/>
  <c r="D27" i="39"/>
  <c r="F27" i="39"/>
  <c r="E27" i="39"/>
  <c r="M15" i="21"/>
  <c r="K15" i="8"/>
  <c r="F11" i="37"/>
  <c r="E11" i="37"/>
  <c r="G11" i="37"/>
  <c r="D181" i="53"/>
  <c r="F181" i="53"/>
  <c r="E181" i="53"/>
  <c r="K17" i="55"/>
  <c r="K17" i="12"/>
  <c r="L14" i="21"/>
  <c r="M14" i="21"/>
  <c r="L13" i="21"/>
  <c r="D28" i="39"/>
  <c r="F28" i="39"/>
  <c r="E28" i="39"/>
  <c r="F79" i="33"/>
  <c r="E79" i="33"/>
  <c r="G79" i="33"/>
  <c r="L22" i="60"/>
  <c r="D61" i="61"/>
  <c r="F61" i="61"/>
  <c r="E61" i="61"/>
  <c r="L23" i="19"/>
  <c r="D180" i="35"/>
  <c r="F180" i="35"/>
  <c r="E180" i="35"/>
  <c r="F28" i="34"/>
  <c r="E28" i="34"/>
  <c r="G28" i="34"/>
  <c r="F113" i="32"/>
  <c r="E113" i="32"/>
  <c r="G113" i="32"/>
  <c r="D232" i="39"/>
  <c r="F232" i="39"/>
  <c r="E232" i="39"/>
  <c r="L42" i="21"/>
  <c r="D61" i="33"/>
  <c r="F61" i="33"/>
  <c r="E61" i="33"/>
  <c r="L19" i="6"/>
  <c r="F198" i="35"/>
  <c r="E198" i="35"/>
  <c r="G198" i="35"/>
  <c r="L15" i="7"/>
  <c r="L21" i="5"/>
  <c r="D95" i="32"/>
  <c r="F95" i="32"/>
  <c r="E95" i="32"/>
  <c r="L17" i="12"/>
  <c r="D27" i="37"/>
  <c r="F27" i="37"/>
  <c r="E27" i="37"/>
  <c r="L15" i="8"/>
  <c r="L17" i="55"/>
  <c r="D146" i="53"/>
  <c r="F146" i="53"/>
  <c r="E146" i="53"/>
  <c r="D62" i="33"/>
  <c r="K18" i="6"/>
  <c r="L18" i="6"/>
  <c r="K17" i="6"/>
  <c r="L17" i="6"/>
  <c r="K16" i="6"/>
  <c r="M42" i="21"/>
  <c r="D214" i="39"/>
  <c r="F214" i="39"/>
  <c r="E214" i="39"/>
  <c r="D96" i="32"/>
  <c r="K20" i="5"/>
  <c r="K16" i="7"/>
  <c r="D181" i="35"/>
  <c r="K22" i="19"/>
  <c r="D62" i="61"/>
  <c r="F62" i="61"/>
  <c r="E62" i="61"/>
  <c r="K23" i="60"/>
  <c r="L23" i="60"/>
  <c r="K24" i="60"/>
  <c r="D10" i="39"/>
  <c r="F10" i="39"/>
  <c r="E10" i="39"/>
  <c r="M13" i="21"/>
  <c r="L16" i="7"/>
  <c r="K16" i="8"/>
  <c r="D28" i="37"/>
  <c r="K18" i="12"/>
  <c r="K18" i="55"/>
  <c r="F181" i="35"/>
  <c r="E181" i="35"/>
  <c r="G181" i="35"/>
  <c r="D11" i="39"/>
  <c r="F11" i="39"/>
  <c r="E11" i="39"/>
  <c r="C7" i="21"/>
  <c r="D78" i="61"/>
  <c r="F78" i="61"/>
  <c r="E78" i="61"/>
  <c r="L24" i="60"/>
  <c r="L22" i="19"/>
  <c r="D163" i="35"/>
  <c r="F163" i="35"/>
  <c r="E163" i="35"/>
  <c r="L20" i="5"/>
  <c r="D78" i="32"/>
  <c r="F78" i="32"/>
  <c r="E78" i="32"/>
  <c r="D44" i="33"/>
  <c r="F44" i="33"/>
  <c r="E44" i="33"/>
  <c r="L16" i="6"/>
  <c r="F96" i="32"/>
  <c r="E96" i="32"/>
  <c r="G96" i="32"/>
  <c r="L41" i="21"/>
  <c r="D215" i="39"/>
  <c r="F215" i="39"/>
  <c r="E215" i="39"/>
  <c r="G62" i="33"/>
  <c r="F62" i="33"/>
  <c r="E62" i="33"/>
  <c r="G28" i="37"/>
  <c r="F28" i="37"/>
  <c r="E28" i="37"/>
  <c r="L18" i="12"/>
  <c r="D44" i="28"/>
  <c r="F44" i="28"/>
  <c r="E44" i="28"/>
  <c r="D44" i="37"/>
  <c r="F44" i="37"/>
  <c r="E44" i="37"/>
  <c r="L16" i="8"/>
  <c r="D10" i="36"/>
  <c r="F10" i="36"/>
  <c r="E10" i="36"/>
  <c r="K17" i="7"/>
  <c r="L18" i="55"/>
  <c r="D27" i="65"/>
  <c r="F27" i="65"/>
  <c r="K15" i="6"/>
  <c r="L15" i="6"/>
  <c r="K14" i="6"/>
  <c r="D45" i="33"/>
  <c r="D79" i="61"/>
  <c r="F79" i="61"/>
  <c r="E79" i="61"/>
  <c r="K25" i="60"/>
  <c r="M41" i="21"/>
  <c r="D197" i="39"/>
  <c r="F197" i="39"/>
  <c r="E197" i="39"/>
  <c r="K19" i="5"/>
  <c r="L19" i="5"/>
  <c r="K18" i="5"/>
  <c r="D79" i="32"/>
  <c r="K21" i="19"/>
  <c r="D164" i="35"/>
  <c r="L17" i="7"/>
  <c r="K17" i="8"/>
  <c r="D11" i="36"/>
  <c r="F11" i="36"/>
  <c r="E11" i="36"/>
  <c r="D45" i="37"/>
  <c r="C6" i="12"/>
  <c r="D45" i="28"/>
  <c r="K19" i="55"/>
  <c r="D28" i="65"/>
  <c r="F28" i="65"/>
  <c r="F79" i="32"/>
  <c r="E79" i="32"/>
  <c r="G79" i="32"/>
  <c r="D95" i="61"/>
  <c r="F95" i="61"/>
  <c r="E95" i="61"/>
  <c r="L25" i="60"/>
  <c r="F45" i="33"/>
  <c r="E45" i="33"/>
  <c r="G45" i="33"/>
  <c r="G164" i="35"/>
  <c r="F164" i="35"/>
  <c r="E164" i="35"/>
  <c r="L21" i="19"/>
  <c r="D146" i="35"/>
  <c r="F146" i="35"/>
  <c r="E146" i="35"/>
  <c r="L18" i="5"/>
  <c r="D61" i="32"/>
  <c r="F61" i="32"/>
  <c r="E61" i="32"/>
  <c r="L40" i="21"/>
  <c r="M40" i="21"/>
  <c r="L39" i="21"/>
  <c r="M39" i="21"/>
  <c r="L38" i="21"/>
  <c r="M38" i="21"/>
  <c r="L37" i="21"/>
  <c r="D198" i="39"/>
  <c r="F198" i="39"/>
  <c r="E198" i="39"/>
  <c r="D27" i="33"/>
  <c r="F27" i="33"/>
  <c r="E27" i="33"/>
  <c r="L14" i="6"/>
  <c r="G45" i="28"/>
  <c r="F45" i="28"/>
  <c r="E45" i="28"/>
  <c r="G45" i="37"/>
  <c r="F45" i="37"/>
  <c r="E45" i="37"/>
  <c r="D61" i="37"/>
  <c r="F61" i="37"/>
  <c r="E61" i="37"/>
  <c r="L17" i="8"/>
  <c r="D27" i="36"/>
  <c r="F27" i="36"/>
  <c r="E27" i="36"/>
  <c r="K18" i="7"/>
  <c r="D44" i="65"/>
  <c r="F44" i="65"/>
  <c r="L19" i="55"/>
  <c r="D28" i="33"/>
  <c r="K13" i="6"/>
  <c r="K26" i="60"/>
  <c r="D96" i="61"/>
  <c r="F96" i="61"/>
  <c r="E96" i="61"/>
  <c r="M37" i="21"/>
  <c r="D180" i="39"/>
  <c r="F180" i="39"/>
  <c r="E180" i="39"/>
  <c r="K17" i="5"/>
  <c r="D62" i="32"/>
  <c r="K20" i="19"/>
  <c r="D147" i="35"/>
  <c r="D62" i="37"/>
  <c r="L18" i="7"/>
  <c r="K18" i="8"/>
  <c r="D28" i="36"/>
  <c r="F28" i="36"/>
  <c r="E28" i="36"/>
  <c r="D45" i="65"/>
  <c r="F45" i="65"/>
  <c r="K20" i="55"/>
  <c r="F147" i="35"/>
  <c r="E147" i="35"/>
  <c r="G147" i="35"/>
  <c r="D10" i="33"/>
  <c r="F10" i="33"/>
  <c r="E10" i="33"/>
  <c r="L13" i="6"/>
  <c r="F62" i="32"/>
  <c r="E62" i="32"/>
  <c r="G62" i="32"/>
  <c r="L20" i="19"/>
  <c r="D129" i="35"/>
  <c r="F129" i="35"/>
  <c r="E129" i="35"/>
  <c r="D27" i="32"/>
  <c r="F27" i="32"/>
  <c r="E27" i="32"/>
  <c r="L17" i="5"/>
  <c r="L36" i="21"/>
  <c r="M36" i="21"/>
  <c r="L35" i="21"/>
  <c r="M35" i="21"/>
  <c r="L34" i="21"/>
  <c r="M34" i="21"/>
  <c r="L33" i="21"/>
  <c r="D181" i="39"/>
  <c r="F181" i="39"/>
  <c r="E181" i="39"/>
  <c r="D180" i="61"/>
  <c r="F180" i="61"/>
  <c r="E180" i="61"/>
  <c r="L26" i="60"/>
  <c r="G28" i="33"/>
  <c r="F28" i="33"/>
  <c r="E28" i="33"/>
  <c r="D78" i="37"/>
  <c r="F78" i="37"/>
  <c r="E78" i="37"/>
  <c r="D44" i="36"/>
  <c r="F44" i="36"/>
  <c r="E44" i="36"/>
  <c r="L18" i="8"/>
  <c r="K19" i="7"/>
  <c r="G62" i="37"/>
  <c r="F62" i="37"/>
  <c r="E62" i="37"/>
  <c r="L20" i="55"/>
  <c r="D28" i="32"/>
  <c r="K16" i="5"/>
  <c r="L16" i="5"/>
  <c r="K15" i="5"/>
  <c r="L15" i="5"/>
  <c r="K14" i="5"/>
  <c r="L14" i="5"/>
  <c r="K13" i="5"/>
  <c r="C6" i="6"/>
  <c r="E7" i="6"/>
  <c r="D11" i="33"/>
  <c r="K27" i="60"/>
  <c r="D181" i="61"/>
  <c r="F181" i="61"/>
  <c r="E181" i="61"/>
  <c r="M33" i="21"/>
  <c r="D163" i="39"/>
  <c r="F163" i="39"/>
  <c r="E163" i="39"/>
  <c r="D130" i="35"/>
  <c r="K19" i="19"/>
  <c r="K19" i="8"/>
  <c r="D45" i="36"/>
  <c r="F45" i="36"/>
  <c r="E45" i="36"/>
  <c r="D79" i="37"/>
  <c r="L19" i="7"/>
  <c r="D44" i="34"/>
  <c r="F44" i="34"/>
  <c r="E44" i="34"/>
  <c r="K21" i="55"/>
  <c r="D112" i="35"/>
  <c r="F112" i="35"/>
  <c r="E112" i="35"/>
  <c r="L19" i="19"/>
  <c r="F11" i="33"/>
  <c r="E11" i="33"/>
  <c r="G11" i="33"/>
  <c r="L13" i="5"/>
  <c r="D11" i="32"/>
  <c r="D10" i="32"/>
  <c r="F10" i="32"/>
  <c r="E10" i="32"/>
  <c r="F130" i="35"/>
  <c r="E130" i="35"/>
  <c r="G130" i="35"/>
  <c r="D164" i="39"/>
  <c r="F164" i="39"/>
  <c r="E164" i="39"/>
  <c r="L32" i="21"/>
  <c r="M32" i="21"/>
  <c r="L31" i="21"/>
  <c r="D112" i="61"/>
  <c r="F112" i="61"/>
  <c r="E112" i="61"/>
  <c r="L27" i="60"/>
  <c r="F28" i="32"/>
  <c r="E28" i="32"/>
  <c r="G28" i="32"/>
  <c r="F79" i="37"/>
  <c r="E79" i="37"/>
  <c r="G79" i="37"/>
  <c r="K20" i="7"/>
  <c r="D45" i="34"/>
  <c r="D95" i="37"/>
  <c r="F95" i="37"/>
  <c r="E95" i="37"/>
  <c r="L19" i="8"/>
  <c r="D61" i="36"/>
  <c r="F61" i="36"/>
  <c r="E61" i="36"/>
  <c r="L21" i="55"/>
  <c r="D61" i="65"/>
  <c r="F61" i="65"/>
  <c r="D113" i="61"/>
  <c r="F113" i="61"/>
  <c r="E113" i="61"/>
  <c r="K28" i="60"/>
  <c r="L28" i="60"/>
  <c r="K29" i="60"/>
  <c r="L29" i="60"/>
  <c r="K30" i="60"/>
  <c r="L30" i="60"/>
  <c r="K31" i="60"/>
  <c r="D146" i="39"/>
  <c r="F146" i="39"/>
  <c r="E146" i="39"/>
  <c r="M31" i="21"/>
  <c r="D113" i="35"/>
  <c r="K18" i="19"/>
  <c r="F11" i="32"/>
  <c r="E11" i="32"/>
  <c r="G11" i="32"/>
  <c r="F45" i="34"/>
  <c r="E45" i="34"/>
  <c r="G45" i="34"/>
  <c r="K20" i="8"/>
  <c r="D62" i="36"/>
  <c r="F62" i="36"/>
  <c r="E62" i="36"/>
  <c r="D96" i="37"/>
  <c r="L20" i="7"/>
  <c r="K22" i="55"/>
  <c r="D62" i="65"/>
  <c r="F62" i="65"/>
  <c r="L18" i="19"/>
  <c r="D95" i="35"/>
  <c r="F95" i="35"/>
  <c r="E95" i="35"/>
  <c r="L30" i="21"/>
  <c r="M30" i="21"/>
  <c r="L29" i="21"/>
  <c r="D147" i="39"/>
  <c r="F147" i="39"/>
  <c r="E147" i="39"/>
  <c r="D129" i="61"/>
  <c r="F129" i="61"/>
  <c r="E129" i="61"/>
  <c r="L31" i="60"/>
  <c r="F113" i="35"/>
  <c r="E113" i="35"/>
  <c r="G113" i="35"/>
  <c r="K21" i="7"/>
  <c r="D112" i="37"/>
  <c r="F112" i="37"/>
  <c r="E112" i="37"/>
  <c r="G96" i="37"/>
  <c r="F96" i="37"/>
  <c r="E96" i="37"/>
  <c r="L20" i="8"/>
  <c r="D78" i="65"/>
  <c r="F78" i="65"/>
  <c r="L22" i="55"/>
  <c r="D130" i="61"/>
  <c r="F130" i="61"/>
  <c r="E130" i="61"/>
  <c r="K32" i="60"/>
  <c r="L32" i="60"/>
  <c r="K33" i="60"/>
  <c r="M29" i="21"/>
  <c r="D129" i="39"/>
  <c r="F129" i="39"/>
  <c r="E129" i="39"/>
  <c r="K17" i="19"/>
  <c r="D96" i="35"/>
  <c r="D113" i="37"/>
  <c r="L21" i="7"/>
  <c r="D61" i="34"/>
  <c r="F61" i="34"/>
  <c r="E61" i="34"/>
  <c r="K21" i="8"/>
  <c r="D79" i="65"/>
  <c r="F79" i="65"/>
  <c r="K23" i="55"/>
  <c r="D130" i="39"/>
  <c r="F130" i="39"/>
  <c r="E130" i="39"/>
  <c r="L28" i="21"/>
  <c r="G96" i="35"/>
  <c r="F96" i="35"/>
  <c r="E96" i="35"/>
  <c r="D146" i="61"/>
  <c r="F146" i="61"/>
  <c r="E146" i="61"/>
  <c r="L33" i="60"/>
  <c r="D78" i="35"/>
  <c r="F78" i="35"/>
  <c r="E78" i="35"/>
  <c r="L17" i="19"/>
  <c r="F113" i="37"/>
  <c r="E113" i="37"/>
  <c r="G113" i="37"/>
  <c r="L21" i="8"/>
  <c r="D78" i="36"/>
  <c r="F78" i="36"/>
  <c r="E78" i="36"/>
  <c r="K22" i="7"/>
  <c r="D62" i="34"/>
  <c r="L23" i="55"/>
  <c r="K16" i="19"/>
  <c r="L16" i="19"/>
  <c r="K15" i="19"/>
  <c r="D79" i="35"/>
  <c r="D147" i="61"/>
  <c r="F147" i="61"/>
  <c r="E147" i="61"/>
  <c r="K34" i="60"/>
  <c r="M28" i="21"/>
  <c r="D112" i="39"/>
  <c r="F112" i="39"/>
  <c r="E112" i="39"/>
  <c r="G62" i="34"/>
  <c r="F62" i="34"/>
  <c r="E62" i="34"/>
  <c r="D78" i="34"/>
  <c r="F78" i="34"/>
  <c r="E78" i="34"/>
  <c r="L22" i="7"/>
  <c r="K22" i="8"/>
  <c r="D79" i="36"/>
  <c r="F79" i="36"/>
  <c r="E79" i="36"/>
  <c r="K24" i="55"/>
  <c r="L34" i="60"/>
  <c r="D163" i="61"/>
  <c r="F163" i="61"/>
  <c r="E163" i="61"/>
  <c r="G79" i="35"/>
  <c r="F79" i="35"/>
  <c r="E79" i="35"/>
  <c r="D113" i="39"/>
  <c r="F113" i="39"/>
  <c r="E113" i="39"/>
  <c r="L27" i="21"/>
  <c r="M27" i="21"/>
  <c r="L26" i="21"/>
  <c r="L15" i="19"/>
  <c r="D61" i="35"/>
  <c r="F61" i="35"/>
  <c r="E61" i="35"/>
  <c r="K23" i="7"/>
  <c r="D79" i="34"/>
  <c r="D95" i="36"/>
  <c r="F95" i="36"/>
  <c r="E95" i="36"/>
  <c r="L22" i="8"/>
  <c r="L24" i="55"/>
  <c r="D95" i="65"/>
  <c r="F95" i="65"/>
  <c r="M26" i="21"/>
  <c r="D96" i="39"/>
  <c r="F96" i="39"/>
  <c r="E96" i="39"/>
  <c r="D95" i="39"/>
  <c r="F95" i="39"/>
  <c r="E95" i="39"/>
  <c r="K14" i="19"/>
  <c r="D62" i="35"/>
  <c r="K35" i="60"/>
  <c r="L35" i="60"/>
  <c r="K36" i="60"/>
  <c r="L36" i="60"/>
  <c r="K37" i="60"/>
  <c r="L37" i="60"/>
  <c r="K38" i="60"/>
  <c r="D164" i="61"/>
  <c r="F164" i="61"/>
  <c r="E164" i="61"/>
  <c r="K23" i="8"/>
  <c r="D96" i="36"/>
  <c r="F96" i="36"/>
  <c r="E96" i="36"/>
  <c r="G79" i="34"/>
  <c r="F79" i="34"/>
  <c r="E79" i="34"/>
  <c r="L23" i="7"/>
  <c r="D95" i="34"/>
  <c r="F95" i="34"/>
  <c r="E95" i="34"/>
  <c r="K25" i="55"/>
  <c r="D96" i="65"/>
  <c r="F96" i="65"/>
  <c r="G62" i="35"/>
  <c r="F62" i="35"/>
  <c r="E62" i="35"/>
  <c r="D197" i="61"/>
  <c r="F197" i="61"/>
  <c r="E197" i="61"/>
  <c r="L38" i="60"/>
  <c r="L14" i="19"/>
  <c r="D44" i="35"/>
  <c r="F44" i="35"/>
  <c r="E44" i="35"/>
  <c r="K24" i="7"/>
  <c r="D96" i="34"/>
  <c r="D129" i="37"/>
  <c r="F129" i="37"/>
  <c r="E129" i="37"/>
  <c r="L23" i="8"/>
  <c r="D112" i="65"/>
  <c r="F112" i="65"/>
  <c r="L25" i="55"/>
  <c r="K39" i="60"/>
  <c r="D198" i="61"/>
  <c r="F198" i="61"/>
  <c r="E198" i="61"/>
  <c r="D45" i="35"/>
  <c r="K13" i="19"/>
  <c r="K24" i="8"/>
  <c r="G96" i="34"/>
  <c r="F96" i="34"/>
  <c r="E96" i="34"/>
  <c r="D130" i="37"/>
  <c r="D112" i="34"/>
  <c r="F112" i="34"/>
  <c r="E112" i="34"/>
  <c r="L24" i="7"/>
  <c r="C7" i="55"/>
  <c r="D113" i="65"/>
  <c r="F113" i="65"/>
  <c r="D27" i="35"/>
  <c r="F27" i="35"/>
  <c r="E27" i="35"/>
  <c r="L13" i="19"/>
  <c r="F45" i="35"/>
  <c r="E45" i="35"/>
  <c r="G45" i="35"/>
  <c r="D214" i="61"/>
  <c r="F214" i="61"/>
  <c r="E214" i="61"/>
  <c r="L39" i="60"/>
  <c r="D113" i="34"/>
  <c r="K25" i="7"/>
  <c r="G130" i="37"/>
  <c r="F130" i="37"/>
  <c r="E130" i="37"/>
  <c r="D146" i="37"/>
  <c r="F146" i="37"/>
  <c r="E146" i="37"/>
  <c r="L24" i="8"/>
  <c r="D112" i="36"/>
  <c r="F112" i="36"/>
  <c r="E112" i="36"/>
  <c r="E24" i="27"/>
  <c r="E8" i="55"/>
  <c r="D215" i="61"/>
  <c r="F215" i="61"/>
  <c r="E215" i="61"/>
  <c r="K40" i="60"/>
  <c r="L40" i="60"/>
  <c r="K41" i="60"/>
  <c r="L41" i="60"/>
  <c r="K42" i="60"/>
  <c r="K12" i="19"/>
  <c r="L12" i="19"/>
  <c r="K11" i="19"/>
  <c r="L11" i="19"/>
  <c r="K10" i="19"/>
  <c r="D28" i="35"/>
  <c r="D147" i="37"/>
  <c r="L25" i="7"/>
  <c r="D129" i="34"/>
  <c r="F129" i="34"/>
  <c r="E129" i="34"/>
  <c r="K25" i="8"/>
  <c r="D113" i="36"/>
  <c r="F113" i="36"/>
  <c r="E113" i="36"/>
  <c r="G113" i="34"/>
  <c r="F113" i="34"/>
  <c r="E113" i="34"/>
  <c r="G28" i="35"/>
  <c r="F28" i="35"/>
  <c r="E28" i="35"/>
  <c r="L42" i="60"/>
  <c r="D231" i="61"/>
  <c r="F231" i="61"/>
  <c r="E231" i="61"/>
  <c r="L10" i="19"/>
  <c r="D11" i="35"/>
  <c r="D10" i="35"/>
  <c r="F10" i="35"/>
  <c r="E10" i="35"/>
  <c r="F147" i="37"/>
  <c r="E147" i="37"/>
  <c r="G147" i="37"/>
  <c r="D146" i="36"/>
  <c r="F146" i="36"/>
  <c r="E146" i="36"/>
  <c r="L25" i="8"/>
  <c r="K26" i="7"/>
  <c r="D130" i="34"/>
  <c r="D163" i="37"/>
  <c r="F163" i="37"/>
  <c r="E163" i="37"/>
  <c r="F11" i="35"/>
  <c r="E11" i="35"/>
  <c r="G11" i="35"/>
  <c r="D232" i="61"/>
  <c r="F232" i="61"/>
  <c r="E232" i="61"/>
  <c r="K43" i="60"/>
  <c r="F130" i="34"/>
  <c r="E130" i="34"/>
  <c r="G130" i="34"/>
  <c r="K26" i="8"/>
  <c r="D147" i="36"/>
  <c r="F147" i="36"/>
  <c r="E147" i="36"/>
  <c r="D164" i="37"/>
  <c r="L26" i="7"/>
  <c r="D146" i="34"/>
  <c r="F146" i="34"/>
  <c r="E146" i="34"/>
  <c r="D248" i="61"/>
  <c r="F248" i="61"/>
  <c r="E248" i="61"/>
  <c r="L43" i="60"/>
  <c r="F164" i="37"/>
  <c r="E164" i="37"/>
  <c r="G164" i="37"/>
  <c r="K27" i="7"/>
  <c r="D147" i="34"/>
  <c r="D180" i="37"/>
  <c r="F180" i="37"/>
  <c r="E180" i="37"/>
  <c r="L26" i="8"/>
  <c r="D249" i="61"/>
  <c r="F249" i="61"/>
  <c r="E249" i="61"/>
  <c r="K44" i="60"/>
  <c r="K27" i="8"/>
  <c r="F147" i="34"/>
  <c r="E147" i="34"/>
  <c r="G147" i="34"/>
  <c r="D181" i="37"/>
  <c r="L27" i="7"/>
  <c r="D163" i="34"/>
  <c r="F163" i="34"/>
  <c r="E163" i="34"/>
  <c r="D265" i="61"/>
  <c r="F265" i="61"/>
  <c r="E265" i="61"/>
  <c r="L44" i="60"/>
  <c r="D197" i="37"/>
  <c r="F197" i="37"/>
  <c r="E197" i="37"/>
  <c r="K28" i="7"/>
  <c r="D164" i="34"/>
  <c r="F181" i="37"/>
  <c r="E181" i="37"/>
  <c r="G181" i="37"/>
  <c r="L27" i="8"/>
  <c r="D163" i="36"/>
  <c r="F163" i="36"/>
  <c r="E163" i="36"/>
  <c r="K45" i="60"/>
  <c r="D266" i="61"/>
  <c r="F266" i="61"/>
  <c r="E266" i="61"/>
  <c r="F164" i="34"/>
  <c r="E164" i="34"/>
  <c r="G164" i="34"/>
  <c r="D198" i="37"/>
  <c r="K28" i="8"/>
  <c r="D164" i="36"/>
  <c r="F164" i="36"/>
  <c r="E164" i="36"/>
  <c r="D180" i="34"/>
  <c r="F180" i="34"/>
  <c r="E180" i="34"/>
  <c r="L28" i="7"/>
  <c r="L45" i="60"/>
  <c r="D282" i="61"/>
  <c r="F282" i="61"/>
  <c r="E282" i="61"/>
  <c r="D181" i="34"/>
  <c r="K29" i="7"/>
  <c r="D214" i="37"/>
  <c r="F214" i="37"/>
  <c r="E214" i="37"/>
  <c r="D180" i="36"/>
  <c r="F180" i="36"/>
  <c r="E180" i="36"/>
  <c r="L28" i="8"/>
  <c r="F198" i="37"/>
  <c r="E198" i="37"/>
  <c r="G198" i="37"/>
  <c r="D283" i="61"/>
  <c r="F283" i="61"/>
  <c r="E283" i="61"/>
  <c r="K46" i="60"/>
  <c r="D282" i="50"/>
  <c r="F282" i="50"/>
  <c r="E282" i="50"/>
  <c r="D181" i="36"/>
  <c r="F181" i="36"/>
  <c r="E181" i="36"/>
  <c r="K29" i="8"/>
  <c r="D215" i="37"/>
  <c r="D197" i="34"/>
  <c r="F197" i="34"/>
  <c r="E197" i="34"/>
  <c r="L29" i="7"/>
  <c r="G181" i="34"/>
  <c r="F181" i="34"/>
  <c r="E181" i="34"/>
  <c r="D299" i="61"/>
  <c r="F299" i="61"/>
  <c r="E299" i="61"/>
  <c r="L46" i="60"/>
  <c r="D283" i="50"/>
  <c r="F283" i="50"/>
  <c r="E283" i="50"/>
  <c r="D198" i="34"/>
  <c r="K30" i="7"/>
  <c r="D232" i="37"/>
  <c r="D231" i="37"/>
  <c r="F231" i="37"/>
  <c r="E231" i="37"/>
  <c r="L29" i="8"/>
  <c r="D197" i="36"/>
  <c r="F197" i="36"/>
  <c r="E197" i="36"/>
  <c r="G215" i="37"/>
  <c r="F215" i="37"/>
  <c r="E215" i="37"/>
  <c r="D300" i="61"/>
  <c r="F300" i="61"/>
  <c r="E300" i="61"/>
  <c r="K47" i="60"/>
  <c r="L47" i="60"/>
  <c r="K48" i="60"/>
  <c r="D214" i="34"/>
  <c r="F214" i="34"/>
  <c r="E214" i="34"/>
  <c r="L30" i="7"/>
  <c r="K30" i="8"/>
  <c r="D198" i="36"/>
  <c r="F198" i="36"/>
  <c r="E198" i="36"/>
  <c r="G232" i="37"/>
  <c r="F232" i="37"/>
  <c r="E232" i="37"/>
  <c r="F198" i="34"/>
  <c r="E198" i="34"/>
  <c r="G198" i="34"/>
  <c r="L48" i="60"/>
  <c r="D317" i="61"/>
  <c r="F317" i="61"/>
  <c r="E317" i="61"/>
  <c r="D316" i="61"/>
  <c r="F316" i="61"/>
  <c r="E316" i="61"/>
  <c r="K31" i="7"/>
  <c r="D215" i="34"/>
  <c r="D214" i="36"/>
  <c r="F214" i="36"/>
  <c r="E214" i="36"/>
  <c r="L30" i="8"/>
  <c r="K31" i="8"/>
  <c r="D215" i="36"/>
  <c r="F215" i="36"/>
  <c r="E215" i="36"/>
  <c r="F215" i="34"/>
  <c r="E215" i="34"/>
  <c r="G215" i="34"/>
  <c r="L31" i="7"/>
  <c r="K32" i="7"/>
  <c r="L31" i="8"/>
  <c r="K32" i="8"/>
  <c r="L32" i="7"/>
  <c r="L32" i="8"/>
  <c r="D231" i="36"/>
  <c r="F231" i="36"/>
  <c r="E231" i="36"/>
  <c r="K33" i="7"/>
  <c r="L33" i="7"/>
  <c r="K33" i="8"/>
  <c r="D232" i="36"/>
  <c r="F232" i="36"/>
  <c r="E232" i="36"/>
  <c r="D248" i="36"/>
  <c r="F248" i="36"/>
  <c r="E248" i="36"/>
  <c r="L33" i="8"/>
  <c r="K34" i="7"/>
  <c r="D249" i="36"/>
  <c r="F249" i="36"/>
  <c r="E249" i="36"/>
  <c r="K34" i="8"/>
  <c r="L34" i="7"/>
  <c r="D231" i="34"/>
  <c r="F231" i="34"/>
  <c r="E231" i="34"/>
  <c r="L34" i="8"/>
  <c r="K35" i="7"/>
  <c r="D232" i="34"/>
  <c r="G232" i="34"/>
  <c r="F232" i="34"/>
  <c r="E232" i="34"/>
  <c r="L35" i="7"/>
  <c r="K35" i="8"/>
  <c r="L35" i="8"/>
  <c r="D265" i="36"/>
  <c r="F265" i="36"/>
  <c r="E265" i="36"/>
  <c r="K36" i="7"/>
  <c r="L36" i="7"/>
  <c r="D248" i="34"/>
  <c r="F248" i="34"/>
  <c r="E248" i="34"/>
  <c r="K36" i="8"/>
  <c r="D266" i="36"/>
  <c r="F266" i="36"/>
  <c r="E266" i="36"/>
  <c r="L36" i="8"/>
  <c r="K37" i="7"/>
  <c r="D249" i="34"/>
  <c r="F249" i="34"/>
  <c r="E249" i="34"/>
  <c r="G249" i="34"/>
  <c r="L37" i="7"/>
  <c r="K37" i="8"/>
  <c r="L37" i="8"/>
  <c r="D282" i="36"/>
  <c r="F282" i="36"/>
  <c r="E282" i="36"/>
  <c r="K38" i="7"/>
  <c r="L38" i="7"/>
  <c r="K38" i="8"/>
  <c r="D283" i="36"/>
  <c r="F283" i="36"/>
  <c r="E283" i="36"/>
  <c r="L38" i="8"/>
  <c r="K39" i="7"/>
  <c r="K39" i="8"/>
  <c r="L39" i="7"/>
  <c r="D265" i="34"/>
  <c r="F265" i="34"/>
  <c r="E265" i="34"/>
  <c r="C6" i="7"/>
  <c r="D266" i="34"/>
  <c r="L39" i="8"/>
  <c r="D299" i="36"/>
  <c r="F299" i="36"/>
  <c r="E299" i="36"/>
  <c r="F266" i="34"/>
  <c r="E266" i="34"/>
  <c r="G266" i="34"/>
  <c r="K40" i="8"/>
  <c r="D300" i="36"/>
  <c r="F300" i="36"/>
  <c r="E300" i="36"/>
  <c r="E16" i="27"/>
  <c r="E15" i="27"/>
  <c r="D350" i="36"/>
  <c r="F350" i="36"/>
  <c r="E350" i="36"/>
  <c r="L40" i="8"/>
  <c r="K41" i="8"/>
  <c r="D351" i="36"/>
  <c r="F351" i="36"/>
  <c r="E351" i="36"/>
  <c r="L41" i="8"/>
  <c r="D333" i="36"/>
  <c r="F333" i="36"/>
  <c r="E333" i="36"/>
  <c r="D334" i="36"/>
  <c r="F334" i="36"/>
  <c r="E334" i="36"/>
  <c r="K42" i="8"/>
  <c r="D316" i="36"/>
  <c r="F316" i="36"/>
  <c r="E316" i="36"/>
  <c r="L42" i="8"/>
  <c r="D317" i="36"/>
  <c r="F317" i="36"/>
  <c r="E317" i="36"/>
  <c r="K43" i="8"/>
  <c r="D367" i="36"/>
  <c r="F367" i="36"/>
  <c r="E367" i="36"/>
  <c r="L43" i="8"/>
  <c r="K44" i="8"/>
  <c r="D368" i="36"/>
  <c r="F368" i="36"/>
  <c r="E368" i="36"/>
  <c r="L44" i="8"/>
  <c r="K45" i="8"/>
  <c r="L45" i="8"/>
  <c r="D384" i="36"/>
  <c r="F384" i="36"/>
  <c r="E384" i="36"/>
  <c r="K46" i="8"/>
  <c r="L46" i="8"/>
  <c r="K47" i="8"/>
  <c r="L47" i="8"/>
  <c r="K48" i="8"/>
  <c r="L48" i="8"/>
  <c r="K49" i="8"/>
  <c r="L49" i="8"/>
  <c r="D385" i="36"/>
  <c r="F385" i="36"/>
  <c r="E385" i="36"/>
  <c r="I20" i="27"/>
  <c r="J20" i="27"/>
  <c r="C230" i="38"/>
  <c r="L86" i="21"/>
  <c r="C366" i="57"/>
  <c r="C9" i="59"/>
  <c r="H18" i="58"/>
  <c r="C298" i="57"/>
  <c r="B407" i="57"/>
  <c r="T10" i="56"/>
  <c r="C264" i="30"/>
  <c r="B33" i="30"/>
  <c r="C26" i="30"/>
  <c r="C213" i="30"/>
  <c r="C349" i="30"/>
  <c r="C145" i="30"/>
  <c r="C43" i="30"/>
  <c r="F66" i="2"/>
  <c r="C9" i="30"/>
  <c r="C451" i="30"/>
  <c r="C315" i="30"/>
  <c r="C196" i="30"/>
  <c r="C60" i="30"/>
  <c r="C400" i="30"/>
  <c r="C332" i="30"/>
  <c r="C417" i="30"/>
  <c r="C281" i="30"/>
  <c r="C60" i="31"/>
  <c r="D147" i="53"/>
  <c r="F147" i="53"/>
  <c r="E147" i="53"/>
  <c r="C128" i="50"/>
  <c r="C247" i="50"/>
  <c r="B254" i="50"/>
  <c r="B220" i="50"/>
  <c r="B203" i="50"/>
  <c r="C162" i="50"/>
  <c r="B169" i="50"/>
  <c r="B271" i="50"/>
  <c r="C264" i="50"/>
  <c r="B237" i="50"/>
  <c r="C230" i="50"/>
  <c r="C179" i="50"/>
  <c r="B186" i="50"/>
  <c r="B152" i="50"/>
  <c r="C145" i="50"/>
  <c r="T38" i="9"/>
  <c r="R38" i="9"/>
  <c r="T37" i="9"/>
  <c r="R37" i="9"/>
  <c r="T36" i="9"/>
  <c r="R36" i="9"/>
  <c r="T35" i="9"/>
  <c r="R35" i="9"/>
  <c r="T34" i="9"/>
  <c r="R34" i="9"/>
  <c r="T33" i="9"/>
  <c r="R33" i="9"/>
  <c r="T32" i="9"/>
  <c r="R32" i="9"/>
  <c r="T31" i="9"/>
  <c r="R31" i="9"/>
  <c r="T30" i="9"/>
  <c r="R30" i="9"/>
  <c r="T29" i="9"/>
  <c r="R29" i="9"/>
  <c r="T28" i="9"/>
  <c r="R28" i="9"/>
  <c r="T27" i="9"/>
  <c r="R27" i="9"/>
  <c r="T26" i="9"/>
  <c r="R26" i="9"/>
  <c r="C213" i="50"/>
  <c r="C196" i="50"/>
  <c r="F330" i="38"/>
  <c r="F245" i="38"/>
  <c r="F364" i="38"/>
  <c r="F75" i="38"/>
  <c r="F58" i="38"/>
  <c r="F41" i="38"/>
  <c r="F194" i="38"/>
  <c r="F143" i="38"/>
  <c r="F211" i="38"/>
  <c r="F160" i="38"/>
  <c r="F92" i="38"/>
  <c r="F415" i="38"/>
  <c r="F398" i="38"/>
  <c r="F177" i="38"/>
  <c r="F279" i="38"/>
  <c r="F262" i="38"/>
  <c r="F228" i="38"/>
  <c r="F313" i="38"/>
  <c r="G20" i="27"/>
  <c r="F381" i="38"/>
  <c r="F347" i="38"/>
  <c r="F109" i="38"/>
  <c r="F24" i="38"/>
  <c r="M86" i="21"/>
  <c r="I26" i="27"/>
  <c r="J26" i="27"/>
  <c r="G10" i="58"/>
  <c r="I10" i="58"/>
  <c r="I25" i="27"/>
  <c r="J25" i="27"/>
  <c r="I12" i="27"/>
  <c r="J12" i="27"/>
  <c r="I13" i="27"/>
  <c r="J13" i="27"/>
  <c r="D129" i="53"/>
  <c r="F129" i="53"/>
  <c r="E129" i="53"/>
  <c r="I22" i="27"/>
  <c r="J22" i="27"/>
  <c r="I39" i="9"/>
  <c r="F296" i="38"/>
  <c r="F7" i="38"/>
  <c r="F126" i="38"/>
  <c r="L87" i="21"/>
  <c r="G25" i="27"/>
  <c r="F211" i="57"/>
  <c r="F330" i="57"/>
  <c r="F75" i="57"/>
  <c r="F245" i="57"/>
  <c r="F58" i="57"/>
  <c r="F279" i="57"/>
  <c r="F483" i="57"/>
  <c r="F126" i="57"/>
  <c r="F432" i="57"/>
  <c r="F398" i="57"/>
  <c r="F449" i="57"/>
  <c r="F24" i="57"/>
  <c r="F466" i="57"/>
  <c r="F347" i="57"/>
  <c r="F92" i="57"/>
  <c r="F41" i="57"/>
  <c r="F262" i="57"/>
  <c r="F381" i="57"/>
  <c r="F415" i="57"/>
  <c r="J15" i="58"/>
  <c r="F41" i="59"/>
  <c r="J13" i="58"/>
  <c r="J16" i="58"/>
  <c r="F58" i="59"/>
  <c r="J17" i="58"/>
  <c r="F75" i="59"/>
  <c r="G26" i="27"/>
  <c r="J14" i="58"/>
  <c r="F24" i="59"/>
  <c r="H9" i="2"/>
  <c r="J9" i="2"/>
  <c r="J17" i="2"/>
  <c r="F41" i="30"/>
  <c r="F109" i="31"/>
  <c r="F143" i="31"/>
  <c r="F41" i="31"/>
  <c r="F75" i="31"/>
  <c r="F58" i="31"/>
  <c r="F24" i="31"/>
  <c r="G13" i="27"/>
  <c r="D130" i="53"/>
  <c r="F130" i="53"/>
  <c r="E130" i="53"/>
  <c r="F143" i="50"/>
  <c r="F109" i="50"/>
  <c r="F41" i="50"/>
  <c r="F75" i="50"/>
  <c r="F262" i="50"/>
  <c r="F58" i="50"/>
  <c r="F194" i="50"/>
  <c r="F177" i="50"/>
  <c r="F92" i="50"/>
  <c r="G22" i="27"/>
  <c r="F228" i="50"/>
  <c r="F160" i="50"/>
  <c r="F245" i="50"/>
  <c r="M87" i="21"/>
  <c r="J56" i="56"/>
  <c r="F143" i="57"/>
  <c r="F313" i="57"/>
  <c r="F160" i="57"/>
  <c r="F194" i="57"/>
  <c r="F228" i="57"/>
  <c r="F296" i="57"/>
  <c r="F177" i="57"/>
  <c r="F7" i="57"/>
  <c r="F7" i="59"/>
  <c r="J18" i="58"/>
  <c r="L13" i="58"/>
  <c r="F500" i="57"/>
  <c r="F109" i="57"/>
  <c r="F364" i="57"/>
  <c r="J47" i="2"/>
  <c r="J22" i="2"/>
  <c r="J26" i="2"/>
  <c r="J61" i="2"/>
  <c r="J41" i="2"/>
  <c r="J60" i="2"/>
  <c r="J28" i="2"/>
  <c r="J62" i="2"/>
  <c r="J58" i="2"/>
  <c r="G12" i="27"/>
  <c r="J37" i="2"/>
  <c r="F177" i="30"/>
  <c r="J23" i="2"/>
  <c r="J27" i="2"/>
  <c r="J51" i="2"/>
  <c r="J65" i="2"/>
  <c r="J30" i="2"/>
  <c r="F92" i="30"/>
  <c r="J43" i="2"/>
  <c r="F228" i="30"/>
  <c r="J18" i="2"/>
  <c r="J64" i="2"/>
  <c r="J29" i="2"/>
  <c r="F75" i="30"/>
  <c r="J38" i="2"/>
  <c r="J20" i="2"/>
  <c r="J25" i="2"/>
  <c r="J53" i="2"/>
  <c r="J46" i="2"/>
  <c r="J33" i="2"/>
  <c r="J35" i="2"/>
  <c r="J42" i="2"/>
  <c r="F211" i="30"/>
  <c r="J49" i="2"/>
  <c r="F296" i="30"/>
  <c r="J34" i="2"/>
  <c r="J39" i="2"/>
  <c r="J54" i="2"/>
  <c r="J21" i="2"/>
  <c r="J32" i="2"/>
  <c r="F126" i="30"/>
  <c r="J50" i="2"/>
  <c r="F313" i="30"/>
  <c r="J44" i="2"/>
  <c r="F245" i="30"/>
  <c r="J56" i="2"/>
  <c r="J57" i="2"/>
  <c r="J55" i="2"/>
  <c r="J52" i="2"/>
  <c r="F364" i="30"/>
  <c r="J24" i="2"/>
  <c r="J59" i="2"/>
  <c r="J31" i="2"/>
  <c r="F109" i="30"/>
  <c r="J45" i="2"/>
  <c r="F262" i="30"/>
  <c r="J48" i="2"/>
  <c r="J16" i="2"/>
  <c r="F24" i="30"/>
  <c r="J63" i="2"/>
  <c r="J15" i="2"/>
  <c r="J13" i="2"/>
  <c r="J14" i="2"/>
  <c r="F7" i="30"/>
  <c r="J19" i="2"/>
  <c r="J36" i="2"/>
  <c r="F160" i="30"/>
  <c r="J40" i="2"/>
  <c r="F194" i="30"/>
  <c r="F449" i="30"/>
  <c r="F330" i="30"/>
  <c r="F279" i="30"/>
  <c r="L65" i="2"/>
  <c r="K64" i="2"/>
  <c r="L64" i="2"/>
  <c r="K63" i="2"/>
  <c r="L63" i="2"/>
  <c r="K62" i="2"/>
  <c r="L62" i="2"/>
  <c r="K61" i="2"/>
  <c r="L61" i="2"/>
  <c r="K60" i="2"/>
  <c r="L60" i="2"/>
  <c r="K59" i="2"/>
  <c r="F466" i="30"/>
  <c r="F432" i="30"/>
  <c r="C7" i="4"/>
  <c r="F211" i="31"/>
  <c r="F7" i="31"/>
  <c r="F92" i="31"/>
  <c r="F126" i="31"/>
  <c r="F177" i="31"/>
  <c r="F194" i="31"/>
  <c r="F160" i="31"/>
  <c r="D214" i="31"/>
  <c r="F214" i="31"/>
  <c r="E214" i="31"/>
  <c r="D112" i="53"/>
  <c r="F112" i="53"/>
  <c r="E112" i="53"/>
  <c r="F7" i="50"/>
  <c r="F24" i="50"/>
  <c r="F126" i="50"/>
  <c r="F211" i="50"/>
  <c r="L88" i="21"/>
  <c r="D11" i="59"/>
  <c r="F11" i="59"/>
  <c r="E11" i="59"/>
  <c r="K14" i="58"/>
  <c r="D504" i="57"/>
  <c r="F504" i="57"/>
  <c r="E504" i="57"/>
  <c r="F381" i="30"/>
  <c r="F347" i="30"/>
  <c r="L59" i="2"/>
  <c r="K58" i="2"/>
  <c r="L58" i="2"/>
  <c r="K57" i="2"/>
  <c r="L57" i="2"/>
  <c r="K56" i="2"/>
  <c r="L56" i="2"/>
  <c r="K55" i="2"/>
  <c r="L55" i="2"/>
  <c r="K54" i="2"/>
  <c r="L54" i="2"/>
  <c r="K53" i="2"/>
  <c r="L53" i="2"/>
  <c r="K52" i="2"/>
  <c r="L52" i="2"/>
  <c r="K51" i="2"/>
  <c r="L51" i="2"/>
  <c r="K50" i="2"/>
  <c r="L50" i="2"/>
  <c r="K49" i="2"/>
  <c r="L49" i="2"/>
  <c r="K48" i="2"/>
  <c r="L48" i="2"/>
  <c r="K47" i="2"/>
  <c r="L47" i="2"/>
  <c r="K46" i="2"/>
  <c r="L46" i="2"/>
  <c r="K45" i="2"/>
  <c r="L45" i="2"/>
  <c r="K44" i="2"/>
  <c r="L44" i="2"/>
  <c r="K43" i="2"/>
  <c r="L43" i="2"/>
  <c r="K42" i="2"/>
  <c r="L42" i="2"/>
  <c r="K41" i="2"/>
  <c r="L41" i="2"/>
  <c r="K40" i="2"/>
  <c r="L40" i="2"/>
  <c r="K39" i="2"/>
  <c r="L39" i="2"/>
  <c r="K38" i="2"/>
  <c r="L38" i="2"/>
  <c r="K37" i="2"/>
  <c r="L37" i="2"/>
  <c r="K36" i="2"/>
  <c r="L36" i="2"/>
  <c r="K35" i="2"/>
  <c r="L35" i="2"/>
  <c r="K34" i="2"/>
  <c r="L34" i="2"/>
  <c r="K33" i="2"/>
  <c r="L33" i="2"/>
  <c r="K32" i="2"/>
  <c r="L32" i="2"/>
  <c r="K31" i="2"/>
  <c r="L31" i="2"/>
  <c r="K30" i="2"/>
  <c r="L30" i="2"/>
  <c r="K29" i="2"/>
  <c r="L29" i="2"/>
  <c r="K28" i="2"/>
  <c r="L28" i="2"/>
  <c r="K27" i="2"/>
  <c r="L27" i="2"/>
  <c r="K26" i="2"/>
  <c r="L26" i="2"/>
  <c r="K25" i="2"/>
  <c r="L25" i="2"/>
  <c r="K24" i="2"/>
  <c r="L24" i="2"/>
  <c r="K23" i="2"/>
  <c r="L23" i="2"/>
  <c r="K22" i="2"/>
  <c r="L22" i="2"/>
  <c r="K21" i="2"/>
  <c r="L21" i="2"/>
  <c r="K20" i="2"/>
  <c r="L20" i="2"/>
  <c r="K19" i="2"/>
  <c r="L19" i="2"/>
  <c r="K18" i="2"/>
  <c r="L18" i="2"/>
  <c r="K17" i="2"/>
  <c r="L17" i="2"/>
  <c r="K16" i="2"/>
  <c r="L16" i="2"/>
  <c r="K15" i="2"/>
  <c r="L15" i="2"/>
  <c r="K14" i="2"/>
  <c r="L14" i="2"/>
  <c r="K13" i="2"/>
  <c r="L13" i="2"/>
  <c r="F398" i="30"/>
  <c r="F58" i="30"/>
  <c r="F143" i="30"/>
  <c r="J66" i="2"/>
  <c r="F415" i="30"/>
  <c r="D470" i="30"/>
  <c r="F470" i="30"/>
  <c r="E470" i="30"/>
  <c r="D215" i="31"/>
  <c r="D113" i="53"/>
  <c r="F113" i="53"/>
  <c r="E113" i="53"/>
  <c r="D10" i="50"/>
  <c r="F10" i="50"/>
  <c r="E10" i="50"/>
  <c r="M88" i="21"/>
  <c r="D486" i="57"/>
  <c r="F486" i="57"/>
  <c r="E486" i="57"/>
  <c r="D27" i="59"/>
  <c r="F27" i="59"/>
  <c r="E27" i="59"/>
  <c r="L14" i="58"/>
  <c r="D435" i="30"/>
  <c r="F435" i="30"/>
  <c r="E435" i="30"/>
  <c r="D452" i="30"/>
  <c r="F452" i="30"/>
  <c r="E452" i="30"/>
  <c r="D197" i="31"/>
  <c r="F197" i="31"/>
  <c r="E197" i="31"/>
  <c r="F215" i="31"/>
  <c r="E215" i="31"/>
  <c r="G215" i="31"/>
  <c r="D95" i="53"/>
  <c r="F95" i="53"/>
  <c r="E95" i="53"/>
  <c r="D11" i="50"/>
  <c r="F11" i="50"/>
  <c r="E11" i="50"/>
  <c r="D10" i="38"/>
  <c r="F10" i="38"/>
  <c r="E10" i="38"/>
  <c r="L89" i="21"/>
  <c r="D28" i="59"/>
  <c r="F28" i="59"/>
  <c r="E28" i="59"/>
  <c r="K15" i="58"/>
  <c r="D487" i="57"/>
  <c r="F487" i="57"/>
  <c r="E487" i="57"/>
  <c r="D436" i="30"/>
  <c r="F436" i="30"/>
  <c r="E436" i="30"/>
  <c r="D453" i="30"/>
  <c r="F453" i="30"/>
  <c r="E453" i="30"/>
  <c r="D198" i="31"/>
  <c r="D96" i="53"/>
  <c r="F96" i="53"/>
  <c r="E96" i="53"/>
  <c r="D27" i="50"/>
  <c r="F27" i="50"/>
  <c r="E27" i="50"/>
  <c r="D11" i="38"/>
  <c r="M89" i="21"/>
  <c r="D10" i="67"/>
  <c r="F10" i="67"/>
  <c r="E10" i="67"/>
  <c r="L15" i="58"/>
  <c r="D44" i="59"/>
  <c r="F44" i="59"/>
  <c r="E44" i="59"/>
  <c r="D469" i="57"/>
  <c r="F469" i="57"/>
  <c r="E469" i="57"/>
  <c r="D418" i="30"/>
  <c r="F418" i="30"/>
  <c r="E418" i="30"/>
  <c r="D180" i="31"/>
  <c r="F180" i="31"/>
  <c r="E180" i="31"/>
  <c r="F198" i="31"/>
  <c r="E198" i="31"/>
  <c r="G198" i="31"/>
  <c r="D28" i="50"/>
  <c r="F28" i="50"/>
  <c r="E28" i="50"/>
  <c r="G11" i="38"/>
  <c r="F11" i="38"/>
  <c r="E11" i="38"/>
  <c r="D27" i="38"/>
  <c r="F27" i="38"/>
  <c r="E27" i="38"/>
  <c r="L90" i="21"/>
  <c r="D11" i="67"/>
  <c r="F11" i="67"/>
  <c r="E11" i="67"/>
  <c r="D470" i="57"/>
  <c r="F470" i="57"/>
  <c r="E470" i="57"/>
  <c r="K16" i="58"/>
  <c r="D45" i="59"/>
  <c r="F45" i="59"/>
  <c r="E45" i="59"/>
  <c r="D419" i="30"/>
  <c r="F419" i="30"/>
  <c r="E419" i="30"/>
  <c r="D181" i="31"/>
  <c r="D44" i="50"/>
  <c r="F44" i="50"/>
  <c r="E44" i="50"/>
  <c r="D28" i="38"/>
  <c r="M90" i="21"/>
  <c r="D28" i="67"/>
  <c r="F28" i="67"/>
  <c r="E28" i="67"/>
  <c r="D27" i="67"/>
  <c r="F27" i="67"/>
  <c r="E27" i="67"/>
  <c r="L16" i="58"/>
  <c r="D61" i="59"/>
  <c r="F61" i="59"/>
  <c r="E61" i="59"/>
  <c r="D452" i="57"/>
  <c r="F452" i="57"/>
  <c r="E452" i="57"/>
  <c r="D401" i="30"/>
  <c r="F401" i="30"/>
  <c r="E401" i="30"/>
  <c r="F181" i="31"/>
  <c r="E181" i="31"/>
  <c r="G181" i="31"/>
  <c r="D163" i="31"/>
  <c r="F163" i="31"/>
  <c r="E163" i="31"/>
  <c r="D78" i="53"/>
  <c r="F78" i="53"/>
  <c r="E78" i="53"/>
  <c r="D45" i="50"/>
  <c r="F45" i="50"/>
  <c r="E45" i="50"/>
  <c r="F28" i="38"/>
  <c r="E28" i="38"/>
  <c r="G28" i="38"/>
  <c r="D44" i="38"/>
  <c r="F44" i="38"/>
  <c r="E44" i="38"/>
  <c r="D453" i="57"/>
  <c r="F453" i="57"/>
  <c r="E453" i="57"/>
  <c r="D62" i="59"/>
  <c r="F62" i="59"/>
  <c r="E62" i="59"/>
  <c r="K17" i="58"/>
  <c r="D402" i="30"/>
  <c r="F402" i="30"/>
  <c r="E402" i="30"/>
  <c r="D164" i="31"/>
  <c r="D79" i="53"/>
  <c r="F79" i="53"/>
  <c r="E79" i="53"/>
  <c r="D61" i="50"/>
  <c r="F61" i="50"/>
  <c r="E61" i="50"/>
  <c r="D45" i="38"/>
  <c r="L17" i="58"/>
  <c r="D79" i="59"/>
  <c r="F79" i="59"/>
  <c r="E79" i="59"/>
  <c r="D78" i="59"/>
  <c r="F78" i="59"/>
  <c r="E78" i="59"/>
  <c r="D435" i="57"/>
  <c r="F435" i="57"/>
  <c r="E435" i="57"/>
  <c r="D384" i="30"/>
  <c r="F384" i="30"/>
  <c r="E384" i="30"/>
  <c r="D146" i="31"/>
  <c r="F146" i="31"/>
  <c r="E146" i="31"/>
  <c r="F164" i="31"/>
  <c r="E164" i="31"/>
  <c r="G164" i="31"/>
  <c r="D61" i="53"/>
  <c r="F61" i="53"/>
  <c r="E61" i="53"/>
  <c r="D62" i="50"/>
  <c r="F62" i="50"/>
  <c r="E62" i="50"/>
  <c r="D61" i="38"/>
  <c r="F61" i="38"/>
  <c r="E61" i="38"/>
  <c r="G45" i="38"/>
  <c r="F45" i="38"/>
  <c r="E45" i="38"/>
  <c r="D436" i="57"/>
  <c r="F436" i="57"/>
  <c r="E436" i="57"/>
  <c r="D385" i="30"/>
  <c r="F385" i="30"/>
  <c r="E385" i="30"/>
  <c r="D147" i="31"/>
  <c r="D62" i="53"/>
  <c r="F62" i="53"/>
  <c r="E62" i="53"/>
  <c r="D78" i="50"/>
  <c r="F78" i="50"/>
  <c r="E78" i="50"/>
  <c r="D62" i="38"/>
  <c r="D418" i="57"/>
  <c r="F418" i="57"/>
  <c r="E418" i="57"/>
  <c r="D367" i="30"/>
  <c r="F367" i="30"/>
  <c r="E367" i="30"/>
  <c r="D129" i="31"/>
  <c r="F129" i="31"/>
  <c r="E129" i="31"/>
  <c r="F147" i="31"/>
  <c r="E147" i="31"/>
  <c r="G147" i="31"/>
  <c r="D44" i="53"/>
  <c r="F44" i="53"/>
  <c r="E44" i="53"/>
  <c r="D79" i="50"/>
  <c r="F79" i="50"/>
  <c r="E79" i="50"/>
  <c r="D78" i="38"/>
  <c r="F78" i="38"/>
  <c r="E78" i="38"/>
  <c r="G62" i="38"/>
  <c r="F62" i="38"/>
  <c r="E62" i="38"/>
  <c r="D419" i="57"/>
  <c r="F419" i="57"/>
  <c r="E419" i="57"/>
  <c r="D368" i="30"/>
  <c r="F368" i="30"/>
  <c r="E368" i="30"/>
  <c r="D130" i="31"/>
  <c r="D45" i="53"/>
  <c r="F45" i="53"/>
  <c r="E45" i="53"/>
  <c r="D95" i="50"/>
  <c r="F95" i="50"/>
  <c r="E95" i="50"/>
  <c r="D79" i="38"/>
  <c r="D401" i="57"/>
  <c r="F401" i="57"/>
  <c r="E401" i="57"/>
  <c r="D350" i="30"/>
  <c r="F350" i="30"/>
  <c r="E350" i="30"/>
  <c r="D112" i="31"/>
  <c r="F112" i="31"/>
  <c r="E112" i="31"/>
  <c r="F130" i="31"/>
  <c r="E130" i="31"/>
  <c r="G130" i="31"/>
  <c r="D27" i="53"/>
  <c r="F27" i="53"/>
  <c r="E27" i="53"/>
  <c r="D96" i="50"/>
  <c r="F96" i="50"/>
  <c r="E96" i="50"/>
  <c r="D95" i="38"/>
  <c r="F95" i="38"/>
  <c r="E95" i="38"/>
  <c r="F79" i="38"/>
  <c r="E79" i="38"/>
  <c r="G79" i="38"/>
  <c r="D402" i="57"/>
  <c r="F402" i="57"/>
  <c r="E402" i="57"/>
  <c r="D351" i="30"/>
  <c r="F351" i="30"/>
  <c r="E351" i="30"/>
  <c r="D113" i="31"/>
  <c r="D28" i="53"/>
  <c r="F28" i="53"/>
  <c r="E28" i="53"/>
  <c r="D112" i="50"/>
  <c r="F112" i="50"/>
  <c r="E112" i="50"/>
  <c r="D96" i="38"/>
  <c r="D384" i="57"/>
  <c r="F384" i="57"/>
  <c r="E384" i="57"/>
  <c r="D333" i="30"/>
  <c r="F333" i="30"/>
  <c r="E333" i="30"/>
  <c r="F113" i="31"/>
  <c r="E113" i="31"/>
  <c r="G113" i="31"/>
  <c r="D95" i="31"/>
  <c r="F95" i="31"/>
  <c r="E95" i="31"/>
  <c r="D10" i="53"/>
  <c r="F10" i="53"/>
  <c r="E10" i="53"/>
  <c r="D11" i="53"/>
  <c r="F11" i="53"/>
  <c r="E11" i="53"/>
  <c r="D113" i="50"/>
  <c r="F113" i="50"/>
  <c r="E113" i="50"/>
  <c r="D112" i="38"/>
  <c r="F112" i="38"/>
  <c r="E112" i="38"/>
  <c r="F96" i="38"/>
  <c r="E96" i="38"/>
  <c r="G96" i="38"/>
  <c r="D385" i="57"/>
  <c r="F385" i="57"/>
  <c r="E385" i="57"/>
  <c r="D334" i="30"/>
  <c r="F334" i="30"/>
  <c r="E334" i="30"/>
  <c r="D96" i="31"/>
  <c r="D129" i="50"/>
  <c r="F129" i="50"/>
  <c r="E129" i="50"/>
  <c r="D113" i="38"/>
  <c r="D367" i="57"/>
  <c r="F367" i="57"/>
  <c r="E367" i="57"/>
  <c r="D316" i="30"/>
  <c r="F316" i="30"/>
  <c r="E316" i="30"/>
  <c r="F96" i="31"/>
  <c r="E96" i="31"/>
  <c r="G96" i="31"/>
  <c r="D78" i="31"/>
  <c r="F78" i="31"/>
  <c r="E78" i="31"/>
  <c r="D130" i="50"/>
  <c r="F130" i="50"/>
  <c r="E130" i="50"/>
  <c r="F113" i="38"/>
  <c r="E113" i="38"/>
  <c r="G113" i="38"/>
  <c r="D368" i="57"/>
  <c r="F368" i="57"/>
  <c r="E368" i="57"/>
  <c r="D317" i="30"/>
  <c r="F317" i="30"/>
  <c r="E317" i="30"/>
  <c r="D79" i="31"/>
  <c r="D146" i="50"/>
  <c r="F146" i="50"/>
  <c r="E146" i="50"/>
  <c r="D350" i="57"/>
  <c r="F350" i="57"/>
  <c r="E350" i="57"/>
  <c r="D299" i="30"/>
  <c r="F299" i="30"/>
  <c r="E299" i="30"/>
  <c r="F79" i="31"/>
  <c r="E79" i="31"/>
  <c r="G79" i="31"/>
  <c r="D61" i="31"/>
  <c r="F61" i="31"/>
  <c r="E61" i="31"/>
  <c r="D147" i="50"/>
  <c r="F147" i="50"/>
  <c r="E147" i="50"/>
  <c r="D129" i="38"/>
  <c r="F129" i="38"/>
  <c r="E129" i="38"/>
  <c r="D351" i="57"/>
  <c r="F351" i="57"/>
  <c r="E351" i="57"/>
  <c r="D300" i="30"/>
  <c r="F300" i="30"/>
  <c r="E300" i="30"/>
  <c r="D62" i="31"/>
  <c r="D163" i="50"/>
  <c r="F163" i="50"/>
  <c r="E163" i="50"/>
  <c r="D130" i="38"/>
  <c r="D333" i="57"/>
  <c r="F333" i="57"/>
  <c r="E333" i="57"/>
  <c r="D282" i="30"/>
  <c r="F282" i="30"/>
  <c r="E282" i="30"/>
  <c r="F62" i="31"/>
  <c r="E62" i="31"/>
  <c r="G62" i="31"/>
  <c r="D44" i="31"/>
  <c r="F44" i="31"/>
  <c r="E44" i="31"/>
  <c r="D164" i="50"/>
  <c r="F164" i="50"/>
  <c r="E164" i="50"/>
  <c r="F130" i="38"/>
  <c r="E130" i="38"/>
  <c r="G130" i="38"/>
  <c r="D146" i="38"/>
  <c r="F146" i="38"/>
  <c r="E146" i="38"/>
  <c r="D334" i="57"/>
  <c r="F334" i="57"/>
  <c r="E334" i="57"/>
  <c r="D283" i="30"/>
  <c r="F283" i="30"/>
  <c r="E283" i="30"/>
  <c r="D45" i="31"/>
  <c r="D180" i="50"/>
  <c r="F180" i="50"/>
  <c r="E180" i="50"/>
  <c r="D147" i="38"/>
  <c r="D265" i="30"/>
  <c r="F265" i="30"/>
  <c r="E265" i="30"/>
  <c r="D27" i="31"/>
  <c r="F27" i="31"/>
  <c r="E27" i="31"/>
  <c r="F45" i="31"/>
  <c r="E45" i="31"/>
  <c r="G45" i="31"/>
  <c r="D181" i="50"/>
  <c r="F181" i="50"/>
  <c r="E181" i="50"/>
  <c r="G147" i="38"/>
  <c r="F147" i="38"/>
  <c r="E147" i="38"/>
  <c r="D163" i="38"/>
  <c r="F163" i="38"/>
  <c r="E163" i="38"/>
  <c r="D266" i="30"/>
  <c r="F266" i="30"/>
  <c r="E266" i="30"/>
  <c r="D28" i="31"/>
  <c r="D197" i="50"/>
  <c r="F197" i="50"/>
  <c r="E197" i="50"/>
  <c r="D164" i="38"/>
  <c r="D248" i="30"/>
  <c r="F248" i="30"/>
  <c r="E248" i="30"/>
  <c r="F28" i="31"/>
  <c r="E28" i="31"/>
  <c r="G28" i="31"/>
  <c r="D10" i="31"/>
  <c r="F10" i="31"/>
  <c r="E10" i="31"/>
  <c r="D198" i="50"/>
  <c r="F198" i="50"/>
  <c r="E198" i="50"/>
  <c r="D180" i="38"/>
  <c r="F180" i="38"/>
  <c r="E180" i="38"/>
  <c r="G164" i="38"/>
  <c r="F164" i="38"/>
  <c r="E164" i="38"/>
  <c r="D249" i="30"/>
  <c r="F249" i="30"/>
  <c r="E249" i="30"/>
  <c r="D11" i="31"/>
  <c r="D8" i="4"/>
  <c r="D214" i="50"/>
  <c r="F214" i="50"/>
  <c r="E214" i="50"/>
  <c r="D181" i="38"/>
  <c r="D231" i="30"/>
  <c r="F231" i="30"/>
  <c r="E231" i="30"/>
  <c r="G11" i="31"/>
  <c r="F11" i="31"/>
  <c r="E11" i="31"/>
  <c r="D215" i="50"/>
  <c r="F215" i="50"/>
  <c r="E215" i="50"/>
  <c r="D197" i="38"/>
  <c r="F197" i="38"/>
  <c r="E197" i="38"/>
  <c r="G181" i="38"/>
  <c r="F181" i="38"/>
  <c r="E181" i="38"/>
  <c r="D316" i="57"/>
  <c r="F316" i="57"/>
  <c r="E316" i="57"/>
  <c r="D232" i="30"/>
  <c r="F232" i="30"/>
  <c r="E232" i="30"/>
  <c r="D231" i="50"/>
  <c r="F231" i="50"/>
  <c r="E231" i="50"/>
  <c r="D198" i="38"/>
  <c r="D317" i="57"/>
  <c r="F317" i="57"/>
  <c r="E317" i="57"/>
  <c r="D214" i="30"/>
  <c r="F214" i="30"/>
  <c r="E214" i="30"/>
  <c r="D232" i="50"/>
  <c r="F232" i="50"/>
  <c r="E232" i="50"/>
  <c r="D214" i="38"/>
  <c r="F214" i="38"/>
  <c r="E214" i="38"/>
  <c r="G198" i="38"/>
  <c r="F198" i="38"/>
  <c r="E198" i="38"/>
  <c r="D299" i="57"/>
  <c r="F299" i="57"/>
  <c r="E299" i="57"/>
  <c r="D215" i="30"/>
  <c r="F215" i="30"/>
  <c r="E215" i="30"/>
  <c r="D248" i="50"/>
  <c r="F248" i="50"/>
  <c r="E248" i="50"/>
  <c r="D215" i="38"/>
  <c r="D300" i="57"/>
  <c r="F300" i="57"/>
  <c r="E300" i="57"/>
  <c r="D197" i="30"/>
  <c r="F197" i="30"/>
  <c r="E197" i="30"/>
  <c r="D249" i="50"/>
  <c r="F249" i="50"/>
  <c r="E249" i="50"/>
  <c r="G215" i="38"/>
  <c r="F215" i="38"/>
  <c r="E215" i="38"/>
  <c r="D282" i="57"/>
  <c r="F282" i="57"/>
  <c r="E282" i="57"/>
  <c r="D198" i="30"/>
  <c r="F198" i="30"/>
  <c r="E198" i="30"/>
  <c r="D265" i="50"/>
  <c r="F265" i="50"/>
  <c r="E265" i="50"/>
  <c r="D283" i="57"/>
  <c r="F283" i="57"/>
  <c r="E283" i="57"/>
  <c r="D180" i="30"/>
  <c r="F180" i="30"/>
  <c r="E180" i="30"/>
  <c r="D266" i="50"/>
  <c r="F266" i="50"/>
  <c r="E266" i="50"/>
  <c r="C6" i="9"/>
  <c r="D231" i="38"/>
  <c r="F231" i="38"/>
  <c r="E231" i="38"/>
  <c r="D265" i="57"/>
  <c r="F265" i="57"/>
  <c r="E265" i="57"/>
  <c r="D181" i="30"/>
  <c r="F181" i="30"/>
  <c r="E181" i="30"/>
  <c r="E7" i="9"/>
  <c r="E22" i="27"/>
  <c r="D232" i="38"/>
  <c r="D266" i="57"/>
  <c r="F266" i="57"/>
  <c r="E266" i="57"/>
  <c r="D163" i="30"/>
  <c r="F163" i="30"/>
  <c r="E163" i="30"/>
  <c r="G232" i="38"/>
  <c r="F232" i="38"/>
  <c r="E232" i="38"/>
  <c r="D248" i="38"/>
  <c r="F248" i="38"/>
  <c r="E248" i="38"/>
  <c r="D248" i="57"/>
  <c r="F248" i="57"/>
  <c r="E248" i="57"/>
  <c r="D164" i="30"/>
  <c r="F164" i="30"/>
  <c r="E164" i="30"/>
  <c r="D249" i="38"/>
  <c r="D249" i="57"/>
  <c r="F249" i="57"/>
  <c r="E249" i="57"/>
  <c r="D146" i="30"/>
  <c r="F146" i="30"/>
  <c r="E146" i="30"/>
  <c r="G249" i="38"/>
  <c r="F249" i="38"/>
  <c r="E249" i="38"/>
  <c r="D265" i="38"/>
  <c r="F265" i="38"/>
  <c r="E265" i="38"/>
  <c r="D231" i="57"/>
  <c r="F231" i="57"/>
  <c r="E231" i="57"/>
  <c r="D147" i="30"/>
  <c r="F147" i="30"/>
  <c r="E147" i="30"/>
  <c r="D266" i="38"/>
  <c r="D232" i="57"/>
  <c r="F232" i="57"/>
  <c r="E232" i="57"/>
  <c r="D180" i="57"/>
  <c r="F180" i="57"/>
  <c r="E180" i="57"/>
  <c r="D129" i="30"/>
  <c r="F129" i="30"/>
  <c r="E129" i="30"/>
  <c r="G266" i="38"/>
  <c r="F266" i="38"/>
  <c r="E266" i="38"/>
  <c r="D282" i="38"/>
  <c r="F282" i="38"/>
  <c r="E282" i="38"/>
  <c r="D214" i="57"/>
  <c r="F214" i="57"/>
  <c r="E214" i="57"/>
  <c r="D181" i="57"/>
  <c r="F181" i="57"/>
  <c r="E181" i="57"/>
  <c r="D130" i="30"/>
  <c r="F130" i="30"/>
  <c r="E130" i="30"/>
  <c r="D283" i="38"/>
  <c r="D215" i="57"/>
  <c r="F215" i="57"/>
  <c r="E215" i="57"/>
  <c r="D163" i="57"/>
  <c r="F163" i="57"/>
  <c r="E163" i="57"/>
  <c r="D112" i="30"/>
  <c r="F112" i="30"/>
  <c r="E112" i="30"/>
  <c r="F283" i="38"/>
  <c r="E283" i="38"/>
  <c r="G283" i="38"/>
  <c r="D197" i="57"/>
  <c r="F197" i="57"/>
  <c r="E197" i="57"/>
  <c r="D164" i="57"/>
  <c r="F164" i="57"/>
  <c r="E164" i="57"/>
  <c r="D113" i="30"/>
  <c r="F113" i="30"/>
  <c r="E113" i="30"/>
  <c r="D198" i="57"/>
  <c r="F198" i="57"/>
  <c r="E198" i="57"/>
  <c r="D146" i="57"/>
  <c r="F146" i="57"/>
  <c r="E146" i="57"/>
  <c r="D95" i="30"/>
  <c r="F95" i="30"/>
  <c r="E95" i="30"/>
  <c r="D299" i="38"/>
  <c r="F299" i="38"/>
  <c r="E299" i="38"/>
  <c r="D147" i="57"/>
  <c r="F147" i="57"/>
  <c r="E147" i="57"/>
  <c r="D96" i="30"/>
  <c r="F96" i="30"/>
  <c r="E96" i="30"/>
  <c r="D300" i="38"/>
  <c r="D129" i="57"/>
  <c r="F129" i="57"/>
  <c r="E129" i="57"/>
  <c r="D78" i="30"/>
  <c r="F78" i="30"/>
  <c r="E78" i="30"/>
  <c r="G300" i="38"/>
  <c r="F300" i="38"/>
  <c r="E300" i="38"/>
  <c r="D316" i="38"/>
  <c r="F316" i="38"/>
  <c r="E316" i="38"/>
  <c r="D130" i="57"/>
  <c r="F130" i="57"/>
  <c r="E130" i="57"/>
  <c r="D79" i="30"/>
  <c r="F79" i="30"/>
  <c r="E79" i="30"/>
  <c r="D317" i="38"/>
  <c r="D112" i="57"/>
  <c r="F112" i="57"/>
  <c r="E112" i="57"/>
  <c r="D61" i="30"/>
  <c r="F61" i="30"/>
  <c r="E61" i="30"/>
  <c r="G317" i="38"/>
  <c r="F317" i="38"/>
  <c r="E317" i="38"/>
  <c r="D113" i="57"/>
  <c r="F113" i="57"/>
  <c r="E113" i="57"/>
  <c r="D62" i="30"/>
  <c r="F62" i="30"/>
  <c r="E62" i="30"/>
  <c r="D95" i="57"/>
  <c r="F95" i="57"/>
  <c r="E95" i="57"/>
  <c r="D44" i="30"/>
  <c r="F44" i="30"/>
  <c r="E44" i="30"/>
  <c r="D333" i="38"/>
  <c r="F333" i="38"/>
  <c r="E333" i="38"/>
  <c r="D96" i="57"/>
  <c r="F96" i="57"/>
  <c r="E96" i="57"/>
  <c r="D45" i="30"/>
  <c r="F45" i="30"/>
  <c r="E45" i="30"/>
  <c r="D334" i="38"/>
  <c r="D78" i="57"/>
  <c r="F78" i="57"/>
  <c r="E78" i="57"/>
  <c r="D27" i="30"/>
  <c r="F27" i="30"/>
  <c r="E27" i="30"/>
  <c r="G334" i="38"/>
  <c r="F334" i="38"/>
  <c r="E334" i="38"/>
  <c r="D350" i="38"/>
  <c r="F350" i="38"/>
  <c r="E350" i="38"/>
  <c r="D79" i="57"/>
  <c r="F79" i="57"/>
  <c r="E79" i="57"/>
  <c r="D28" i="30"/>
  <c r="F28" i="30"/>
  <c r="E28" i="30"/>
  <c r="D351" i="38"/>
  <c r="D61" i="57"/>
  <c r="F61" i="57"/>
  <c r="E61" i="57"/>
  <c r="D10" i="30"/>
  <c r="F10" i="30"/>
  <c r="E10" i="30"/>
  <c r="G351" i="38"/>
  <c r="F351" i="38"/>
  <c r="E351" i="38"/>
  <c r="D367" i="38"/>
  <c r="F367" i="38"/>
  <c r="E367" i="38"/>
  <c r="D62" i="57"/>
  <c r="F62" i="57"/>
  <c r="E62" i="57"/>
  <c r="D11" i="30"/>
  <c r="F11" i="30"/>
  <c r="E11" i="30"/>
  <c r="C6" i="2"/>
  <c r="D368" i="38"/>
  <c r="D44" i="57"/>
  <c r="F44" i="57"/>
  <c r="E44" i="57"/>
  <c r="F368" i="38"/>
  <c r="E368" i="38"/>
  <c r="G368" i="38"/>
  <c r="D384" i="38"/>
  <c r="F384" i="38"/>
  <c r="E384" i="38"/>
  <c r="D45" i="57"/>
  <c r="F45" i="57"/>
  <c r="E45" i="57"/>
  <c r="D385" i="38"/>
  <c r="D27" i="57"/>
  <c r="F27" i="57"/>
  <c r="E27" i="57"/>
  <c r="F385" i="38"/>
  <c r="E385" i="38"/>
  <c r="G385" i="38"/>
  <c r="D401" i="38"/>
  <c r="F401" i="38"/>
  <c r="E401" i="38"/>
  <c r="D28" i="57"/>
  <c r="F28" i="57"/>
  <c r="E28" i="57"/>
  <c r="D402" i="38"/>
  <c r="D10" i="57"/>
  <c r="F10" i="57"/>
  <c r="E10" i="57"/>
  <c r="F402" i="38"/>
  <c r="E402" i="38"/>
  <c r="G402" i="38"/>
  <c r="D418" i="38"/>
  <c r="F418" i="38"/>
  <c r="E418" i="38"/>
  <c r="C4" i="56"/>
  <c r="D11" i="57"/>
  <c r="F11" i="57"/>
  <c r="E11" i="57"/>
  <c r="D419" i="38"/>
  <c r="C6" i="20"/>
  <c r="F8" i="20"/>
  <c r="G419" i="38"/>
  <c r="F419" i="38"/>
  <c r="E419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44" authorId="0" shapeId="0" xr:uid="{00000000-0006-0000-1C00-000001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poner recorrido 0:30
cuando comienza de Quesada</t>
        </r>
      </text>
    </comment>
  </commentList>
</comments>
</file>

<file path=xl/sharedStrings.xml><?xml version="1.0" encoding="utf-8"?>
<sst xmlns="http://schemas.openxmlformats.org/spreadsheetml/2006/main" count="5829" uniqueCount="869">
  <si>
    <t>HIJUELA LOTTERO</t>
  </si>
  <si>
    <t>HIJUELA RILLI</t>
  </si>
  <si>
    <t>HIJUELA QUINTEROS</t>
  </si>
  <si>
    <t>HIJUELA JARA</t>
  </si>
  <si>
    <t>HIJUELA HERAS</t>
  </si>
  <si>
    <t>HIJUELA SUR ADRIANO</t>
  </si>
  <si>
    <t>HIJUELA CUBELLS</t>
  </si>
  <si>
    <t>HIJUELA NUÑEZ</t>
  </si>
  <si>
    <t>HIJUELA VILLEGAS</t>
  </si>
  <si>
    <t>cm</t>
  </si>
  <si>
    <t>l/s</t>
  </si>
  <si>
    <t>constantes del aforador que salen del winflume</t>
  </si>
  <si>
    <t>CANAL Directos</t>
  </si>
  <si>
    <t>CAUCE</t>
  </si>
  <si>
    <t>k1</t>
  </si>
  <si>
    <t>k2</t>
  </si>
  <si>
    <t>u</t>
  </si>
  <si>
    <t xml:space="preserve">Superficie Total </t>
  </si>
  <si>
    <t>superficie de Riego</t>
  </si>
  <si>
    <t>Caudal l/s</t>
  </si>
  <si>
    <t>Escala Fórmula</t>
  </si>
  <si>
    <t>ubicación de la escla</t>
  </si>
  <si>
    <t>Escala Colocada</t>
  </si>
  <si>
    <t>Marañón</t>
  </si>
  <si>
    <t>Araujo bis</t>
  </si>
  <si>
    <t>Sancho</t>
  </si>
  <si>
    <t>Angeleri</t>
  </si>
  <si>
    <t>Loteo Araujo</t>
  </si>
  <si>
    <t>Sanjurjo</t>
  </si>
  <si>
    <t>Jara</t>
  </si>
  <si>
    <t>Galdeano</t>
  </si>
  <si>
    <t>Segovia</t>
  </si>
  <si>
    <t>HIJUELAS</t>
  </si>
  <si>
    <t>Superficie de Riego</t>
  </si>
  <si>
    <t>Corrección</t>
  </si>
  <si>
    <t>Escala cm</t>
  </si>
  <si>
    <t>1ª Araujo</t>
  </si>
  <si>
    <t>Sur o Adriano Araujo</t>
  </si>
  <si>
    <t>Heras</t>
  </si>
  <si>
    <t>Cubells</t>
  </si>
  <si>
    <t>2ª Araujo</t>
  </si>
  <si>
    <t>Ibañez</t>
  </si>
  <si>
    <t>Irusta Baro</t>
  </si>
  <si>
    <t>Nuñez</t>
  </si>
  <si>
    <t>Villegas</t>
  </si>
  <si>
    <t>Argumedo</t>
  </si>
  <si>
    <t>Lotero</t>
  </si>
  <si>
    <t>Rilli</t>
  </si>
  <si>
    <t>Quinteros</t>
  </si>
  <si>
    <t>Giangiulio</t>
  </si>
  <si>
    <t>Barros</t>
  </si>
  <si>
    <t>Gelvez</t>
  </si>
  <si>
    <t>Morón</t>
  </si>
  <si>
    <t>Superficie total</t>
  </si>
  <si>
    <t>Caudal disponible p/ riego</t>
  </si>
  <si>
    <t>Coef de riego</t>
  </si>
  <si>
    <t>CC-PP</t>
  </si>
  <si>
    <t>CC</t>
  </si>
  <si>
    <t>PP</t>
  </si>
  <si>
    <t>Ha si-no</t>
  </si>
  <si>
    <t>Cuotas</t>
  </si>
  <si>
    <t>Deuda</t>
  </si>
  <si>
    <t>Fech-Not</t>
  </si>
  <si>
    <t>Fech - Corta</t>
  </si>
  <si>
    <t>Total Deuda</t>
  </si>
  <si>
    <t>MENSAJES GENERALES A INCOPORAR EN LOS BOLETOS</t>
  </si>
  <si>
    <t>Mensaje 1:</t>
  </si>
  <si>
    <t>PARA CUALQUIER MODIFICACION EN EL CUADRO DE TURNO COMUNIQUESE CON SU TOMERO</t>
  </si>
  <si>
    <t>Mensaje 2:</t>
  </si>
  <si>
    <t>Recuerde que con 1 (una) cuotas vigentes impagas se restringirá el servicio.</t>
  </si>
  <si>
    <t>Día</t>
  </si>
  <si>
    <t>Nombre</t>
  </si>
  <si>
    <t>Domingo</t>
  </si>
  <si>
    <t>Lunes</t>
  </si>
  <si>
    <t xml:space="preserve">Martes </t>
  </si>
  <si>
    <t>Miercoles</t>
  </si>
  <si>
    <t>Jueves</t>
  </si>
  <si>
    <t>Viernes</t>
  </si>
  <si>
    <t>Sábado</t>
  </si>
  <si>
    <t>Deuda / Ha</t>
  </si>
  <si>
    <t>Ingreso 1ra. Sección</t>
  </si>
  <si>
    <t>Arriba</t>
  </si>
  <si>
    <t>INSPECCIÓN DE CAUCE CANAL SAN PEDRO Y SAN PABLO</t>
  </si>
  <si>
    <t>Ingreso 2da. Sección</t>
  </si>
  <si>
    <t>Abajo</t>
  </si>
  <si>
    <t>CUADRO DE TURNOS</t>
  </si>
  <si>
    <t>Durac. Turno a:</t>
  </si>
  <si>
    <t>ENTREGA DE AGUA POR</t>
  </si>
  <si>
    <t>fracción</t>
  </si>
  <si>
    <t>APLICA CATEGORÍA DERECHO</t>
  </si>
  <si>
    <t>SI</t>
  </si>
  <si>
    <t>Cauce</t>
  </si>
  <si>
    <t>Nº</t>
  </si>
  <si>
    <t>Hora Inicio</t>
  </si>
  <si>
    <t>Hora de Fin</t>
  </si>
  <si>
    <t>N° Regantes</t>
  </si>
  <si>
    <t>Min/Ha</t>
  </si>
  <si>
    <t>Sup. Emp.</t>
  </si>
  <si>
    <t>Sup P/Riego</t>
  </si>
  <si>
    <t>% Ha SI</t>
  </si>
  <si>
    <t>% Ha NO</t>
  </si>
  <si>
    <t>Solanilla Completa</t>
  </si>
  <si>
    <t>La Paloma</t>
  </si>
  <si>
    <t>Perfoga ESTE</t>
  </si>
  <si>
    <t>El Plumero</t>
  </si>
  <si>
    <t>1ra. El Carmen</t>
  </si>
  <si>
    <t>Vargas</t>
  </si>
  <si>
    <t>2da. El Carmen (ramo 1)</t>
  </si>
  <si>
    <t>Solanilla Crispin</t>
  </si>
  <si>
    <t>Tres Hermanos</t>
  </si>
  <si>
    <t>Ortega</t>
  </si>
  <si>
    <t>El Guindo</t>
  </si>
  <si>
    <t>San Eduardo (2 cuadros)</t>
  </si>
  <si>
    <t>Confín</t>
  </si>
  <si>
    <t>Solanilla Romera</t>
  </si>
  <si>
    <t>2da. El Carmen (Ramo 2)</t>
  </si>
  <si>
    <t>Perfoga OESTE</t>
  </si>
  <si>
    <t>Roca</t>
  </si>
  <si>
    <t>2da. El Carmen completa</t>
  </si>
  <si>
    <t>REFERENCIAS:</t>
  </si>
  <si>
    <t>TODOS LOS TURNOS</t>
  </si>
  <si>
    <t>PARTE DE ARRIBA</t>
  </si>
  <si>
    <t xml:space="preserve">PARTE DE ABAJO </t>
  </si>
  <si>
    <t>CUADRO DE TURNO SAN PEDRO Y SAN PABLO</t>
  </si>
  <si>
    <t>Día de llegada</t>
  </si>
  <si>
    <t>Durac. Turno</t>
  </si>
  <si>
    <t>Día de corta</t>
  </si>
  <si>
    <t>Reccorr. Canal</t>
  </si>
  <si>
    <t>Reccorr. Hijuela</t>
  </si>
  <si>
    <t>Horas turno:</t>
  </si>
  <si>
    <t>Min.total:</t>
  </si>
  <si>
    <t>Has Total:</t>
  </si>
  <si>
    <t>Min/Ha:</t>
  </si>
  <si>
    <t xml:space="preserve"> </t>
  </si>
  <si>
    <t>ORDEN</t>
  </si>
  <si>
    <t>C.C</t>
  </si>
  <si>
    <t>P.P</t>
  </si>
  <si>
    <t>CD</t>
  </si>
  <si>
    <t>SUP. EMP.</t>
  </si>
  <si>
    <t>SUP.P/RIEGO</t>
  </si>
  <si>
    <t>NOMBRE-RAZON SOCIAL</t>
  </si>
  <si>
    <t>HAS.SI/NO</t>
  </si>
  <si>
    <t>REC.</t>
  </si>
  <si>
    <t>HORAS</t>
  </si>
  <si>
    <t>HORA ENTREGA</t>
  </si>
  <si>
    <t>HORA CORTA</t>
  </si>
  <si>
    <t>FIRMA</t>
  </si>
  <si>
    <t>MENSAJE</t>
  </si>
  <si>
    <t>CCPP</t>
  </si>
  <si>
    <t>ha si no</t>
  </si>
  <si>
    <t>n_cuot</t>
  </si>
  <si>
    <t>deuda $</t>
  </si>
  <si>
    <t>fech_not</t>
  </si>
  <si>
    <t>fech_corta</t>
  </si>
  <si>
    <t>MORALES, JUAN</t>
  </si>
  <si>
    <t>CARBONI VDA.DE CALDERON, ANA MARIA</t>
  </si>
  <si>
    <t>CAMPIONE, ORLANDO SALVADOR</t>
  </si>
  <si>
    <t>TORANZO, DOMINGO FABIAN</t>
  </si>
  <si>
    <t>MU#OZ, ALBERTO REIMUNDO</t>
  </si>
  <si>
    <t>PALAZZETTI, JUAN ROBERTO</t>
  </si>
  <si>
    <t>MASIERO, MAURICIO AMADEO ANDRES U MASIERO, DUILIO CLINIO</t>
  </si>
  <si>
    <t>PALAZZETTI, JUAN ROBERTO PEDRO Y FERNANDEZ, JUAN HILARIO</t>
  </si>
  <si>
    <t>ELASKAR, IBRAHIN ABIB Y NAZAR, JOSE</t>
  </si>
  <si>
    <t>ARANDA, BELEN</t>
  </si>
  <si>
    <t>MASCHKE, MIGUEL ANGEL BERNABE</t>
  </si>
  <si>
    <t>RECIO, NORMA HAYDEE</t>
  </si>
  <si>
    <t>CRISPIN ALBIS CRUZ, NORMA HUANCA Y ALBIS CRUZ, JOAQUIN</t>
  </si>
  <si>
    <t>CALDENTEY PATRICIO</t>
  </si>
  <si>
    <t>SANJURJO, ALDO BENITO</t>
  </si>
  <si>
    <t>SANJURJO, PEDRO HUGO</t>
  </si>
  <si>
    <t xml:space="preserve">MANRESA DE GOMEZ, CATALINA </t>
  </si>
  <si>
    <t xml:space="preserve">PALOMO MARMOLEJO, </t>
  </si>
  <si>
    <t>HERAS, PABLO</t>
  </si>
  <si>
    <t>KRATEUS S.A</t>
  </si>
  <si>
    <t>LIGORI, VICENTE</t>
  </si>
  <si>
    <t>CASTRO, JOSE CANDIDO</t>
  </si>
  <si>
    <t>OJEDA, DOMINGO JACINTO</t>
  </si>
  <si>
    <t xml:space="preserve">ELASKAR, IBRAHIM ABIB </t>
  </si>
  <si>
    <t>ROMERA PITT, DANIEL ADOLFO</t>
  </si>
  <si>
    <t>has total</t>
  </si>
  <si>
    <t>coeficente</t>
  </si>
  <si>
    <t>dotación l/s/ha</t>
  </si>
  <si>
    <t>Usuario</t>
  </si>
  <si>
    <t>Codigo:</t>
  </si>
  <si>
    <t>Tiempo Turnado:</t>
  </si>
  <si>
    <t>PP:</t>
  </si>
  <si>
    <t>Cat. Derecho:</t>
  </si>
  <si>
    <t>Has:</t>
  </si>
  <si>
    <t>Superficie:</t>
  </si>
  <si>
    <t>Inicio:</t>
  </si>
  <si>
    <t>Fin:</t>
  </si>
  <si>
    <t>Hijuela La Paloma</t>
  </si>
  <si>
    <t>HAS SI/NO</t>
  </si>
  <si>
    <t>HORAENTREGA</t>
  </si>
  <si>
    <t>HORACORTA</t>
  </si>
  <si>
    <t>MENSAJE INDIVIDUAL</t>
  </si>
  <si>
    <t xml:space="preserve">GALLARDO SIVILA, NILA </t>
  </si>
  <si>
    <t>LABRANZA S.A.</t>
  </si>
  <si>
    <t>SORIA, JOSE MARCOS</t>
  </si>
  <si>
    <t>DE LA ROSA, MARIO HUGO; ARROYO, SOLEDAD Y MANZUR MORCOS ARROYO, ADELA</t>
  </si>
  <si>
    <t>MANZUR MORCOS DE ARROYO, ADELA</t>
  </si>
  <si>
    <t>3-37</t>
  </si>
  <si>
    <t>100-116-4</t>
  </si>
  <si>
    <t>Hijuela Perfoga</t>
  </si>
  <si>
    <t>OBSERVACIONES</t>
  </si>
  <si>
    <t>CARBONE, PEDRO OMAR</t>
  </si>
  <si>
    <t>ALANIZ, WALTER RUBEN</t>
  </si>
  <si>
    <t>CARBONE DE VARGAS, LIDIA DOLINDA</t>
  </si>
  <si>
    <t>MIRABILE, FRANCISCO</t>
  </si>
  <si>
    <t>SIMIONATO, VALERIA ROSALBA</t>
  </si>
  <si>
    <t>CARBONI, CARLOS</t>
  </si>
  <si>
    <t>CARBONI,  ROBERTO</t>
  </si>
  <si>
    <t>URZI MARIA SUSANA</t>
  </si>
  <si>
    <t>VAIERETTI, EUGENIO</t>
  </si>
  <si>
    <t>VAIERETTI, EUGENIO JUAN</t>
  </si>
  <si>
    <t>WILHELM DE VAIERETTI, HILDA ELSA</t>
  </si>
  <si>
    <t>VAIERETTI, CESAR DELFOS</t>
  </si>
  <si>
    <t>ZARPELLON, GERMAN</t>
  </si>
  <si>
    <t>VAIERETTI, EDUARDO LUIS</t>
  </si>
  <si>
    <t>CARBONI,  MARGARITA</t>
  </si>
  <si>
    <t>LOZANO, CESAR RAMON; LOZANO, CAYETANO ABENAMAR Y FERNANDERZ, WASHINGTON</t>
  </si>
  <si>
    <t>AVENAMAR LOZANO, CAYETANO; LOZANO, CESAR Y FERNANDEZ, WASHINGTON</t>
  </si>
  <si>
    <t>JOFRE, ELEUTERIO</t>
  </si>
  <si>
    <t>GAROFOLI, ORLANDO</t>
  </si>
  <si>
    <t>FERNANDEZ MARTIN, ANTONIO EMILIO; FERNANDEZ MARTIN, NICOLAS PEDRO Y FER</t>
  </si>
  <si>
    <t>FERNANDEZ, ANTONIO EMILIO Y MANUCHA DE FERNANDEZ, ROSA ERMELINDA</t>
  </si>
  <si>
    <t>ZALAZAR, FLORENCIA ELIZABETH</t>
  </si>
  <si>
    <t>GUZMAN, ALBERTO ANTONIO</t>
  </si>
  <si>
    <t>SANCHEZ MARTIN, LORENZO JOSE</t>
  </si>
  <si>
    <t>CALDERARO, RODOLFO</t>
  </si>
  <si>
    <t>MIRABILE, ANTONIO IGNACIO</t>
  </si>
  <si>
    <t>CARBONI, ANTONIO ALFONSO</t>
  </si>
  <si>
    <t>MORALES, JUAN RAMON</t>
  </si>
  <si>
    <t>PEÑAFORT, ANTONIO ALBERTO</t>
  </si>
  <si>
    <t>PEÑAFORT, PEDRO MARIO</t>
  </si>
  <si>
    <t>CARBONE, LUIS ALFONSO Y CARBONE, PEDRO OMAR</t>
  </si>
  <si>
    <t>MANRESA, FRANCISCO</t>
  </si>
  <si>
    <t>GIORGIO, JUANA INES</t>
  </si>
  <si>
    <t>AMAYA,  CARMEN  GABRIELA</t>
  </si>
  <si>
    <t>GIMENEZ, RICARDO MANUEL</t>
  </si>
  <si>
    <t>ALANIZ, CARLOS</t>
  </si>
  <si>
    <t>RIVERO, ALBERTO Y RIVERO, OCTAVIO</t>
  </si>
  <si>
    <t>MIRABILE, CARMEN</t>
  </si>
  <si>
    <t>CHAÑARES  BAJOS S.A.</t>
  </si>
  <si>
    <t>CARLETTI, SANDRA</t>
  </si>
  <si>
    <t>56-5-108</t>
  </si>
  <si>
    <t>78-140-124-39-114-44-107-54-53-20-141</t>
  </si>
  <si>
    <t>113-48-74</t>
  </si>
  <si>
    <t>12-71-119</t>
  </si>
  <si>
    <t>103-117</t>
  </si>
  <si>
    <t>102-13-110</t>
  </si>
  <si>
    <t>52-83-42</t>
  </si>
  <si>
    <t>35-124-57-126-19</t>
  </si>
  <si>
    <t>146-43</t>
  </si>
  <si>
    <t>Hijuela El Plumero</t>
  </si>
  <si>
    <t>Recorrido Interno</t>
  </si>
  <si>
    <t>HAS SI-NO</t>
  </si>
  <si>
    <t>HAS.RIEGO</t>
  </si>
  <si>
    <t>CARBONI, ANTONIO; CARBONI, ALFONSO Y DI CARLO, RODOLFO AMERICO</t>
  </si>
  <si>
    <t>ALONSO, RAFAEL</t>
  </si>
  <si>
    <t>VILCHES, EDUARDO JAVIER</t>
  </si>
  <si>
    <t>LLOBELL, JUAN OSCAR</t>
  </si>
  <si>
    <t>MONGE, JUAN CARLOS Y RUIZ DE FONOLLA, VIOLETA ARGENTINA</t>
  </si>
  <si>
    <t>ROMERO, RAUL ARMANDO Y ROMERO, ROBERTO EDGARDO</t>
  </si>
  <si>
    <t>ROMERO, DIEGO FERNANDO</t>
  </si>
  <si>
    <t>AHUMADA, SILVIA DOMINGA</t>
  </si>
  <si>
    <t>MIRABILES, CAYETANO FRANCISCO</t>
  </si>
  <si>
    <t>NO</t>
  </si>
  <si>
    <t>NUEVA EMPRESA S.A.</t>
  </si>
  <si>
    <t>ARVER  S.A.</t>
  </si>
  <si>
    <t>MIRABILE SCOLARO, ALBERTO</t>
  </si>
  <si>
    <t>DUCI, FRANCISCO MARIANO</t>
  </si>
  <si>
    <t>VAZQUEZ POQUET, ALBERTO JOSE Y LAVAGNO DE VAZQUEZ POQUET, IRMA IDA ISID</t>
  </si>
  <si>
    <t>LUCESOLE, ROBERTO Y LUCESOLE, ROBERTO CARLOS</t>
  </si>
  <si>
    <t>22-19</t>
  </si>
  <si>
    <t>20-18-17-21</t>
  </si>
  <si>
    <t>6-15-24-25</t>
  </si>
  <si>
    <t>3-4</t>
  </si>
  <si>
    <t>8-9-26-37-39-51</t>
  </si>
  <si>
    <t>29-43-65-66-67-68-28-42-36-55-57-58-59-61-44-45-46-47-49-30-31-32-33-34</t>
  </si>
  <si>
    <t>10-11</t>
  </si>
  <si>
    <t>Hijuela 1ra. El Carmen</t>
  </si>
  <si>
    <t>rec.</t>
  </si>
  <si>
    <t>NOVATEX SRL</t>
  </si>
  <si>
    <t>TUCCI, MIGUEL ANGEL</t>
  </si>
  <si>
    <t>MIRABILE, MARIO</t>
  </si>
  <si>
    <t>PELEGRINA, DIEGO E.</t>
  </si>
  <si>
    <t>PELEGRINA, DIEGO Y MARANO, SILVIA NORA</t>
  </si>
  <si>
    <t>SABATINI, FLORENCIO ORLANDO</t>
  </si>
  <si>
    <t>SOSA DE RICA, SALOME</t>
  </si>
  <si>
    <t>NICOLOSI, ANTONIO</t>
  </si>
  <si>
    <t>SOLANILLA, BENIGNO</t>
  </si>
  <si>
    <t>12-13-14-8</t>
  </si>
  <si>
    <t>17-3</t>
  </si>
  <si>
    <t>10-6</t>
  </si>
  <si>
    <t>Hijuela Vargas</t>
  </si>
  <si>
    <t xml:space="preserve">          </t>
  </si>
  <si>
    <t>ENTREGA</t>
  </si>
  <si>
    <t>CORTA</t>
  </si>
  <si>
    <t>BERNABE MASCHKE, MIGUEL ANGEL</t>
  </si>
  <si>
    <t>BARRIO, DANIEL</t>
  </si>
  <si>
    <t>BARELLO, MARCIANO</t>
  </si>
  <si>
    <t>VARGAS, VICTOR WASINGTHON</t>
  </si>
  <si>
    <t>ARANCIBIA DE VARGAS, AVELINA</t>
  </si>
  <si>
    <t>VARGAS, ANTONIO MERCEDES</t>
  </si>
  <si>
    <t>ALONSO, DANIEL</t>
  </si>
  <si>
    <t>98-96</t>
  </si>
  <si>
    <t>114-104-103</t>
  </si>
  <si>
    <t>116-119</t>
  </si>
  <si>
    <t>99-97</t>
  </si>
  <si>
    <t>Hijuela 2da. El carmen Ramo 1</t>
  </si>
  <si>
    <t>SERRESONE DE MASSO, ROSA ANTONIA</t>
  </si>
  <si>
    <t>LAMANTIA, SALVADOR CARLOS Y LAMANTIA, JOSE</t>
  </si>
  <si>
    <t>PALOMO, PEDRO; LAMANTIA, SALVADOR CARLOS Y LAMANTIA, JOSE</t>
  </si>
  <si>
    <t>PALOMO, PEDRO</t>
  </si>
  <si>
    <t>BARELLO, ANTONIO; BARELLO, MARCIANO Y BARELLO, JUAN</t>
  </si>
  <si>
    <t>GUIDARELLI, RAUL PEDRO</t>
  </si>
  <si>
    <t>YAMIN, ELIAS Y CRUZ DE YAMIN, JOSEFA</t>
  </si>
  <si>
    <t>ANDRADA, MIGUEL</t>
  </si>
  <si>
    <t>PALIZA, MANUEL ENRIQUE Y CRUZ DE PALIZA, DOLORES</t>
  </si>
  <si>
    <t>ROMERO, FRANCISCO HUMBERTO</t>
  </si>
  <si>
    <t>SOTO, FRANCISCO</t>
  </si>
  <si>
    <t>NESCI, ENRIQUE- FUSTER</t>
  </si>
  <si>
    <t>ROMERO PI±A, DIEGO-ORTUBIA</t>
  </si>
  <si>
    <t>ROMERO PI±A, DIEGO- MORALES</t>
  </si>
  <si>
    <t>ROMERO PI±A, DIEGO-(ARCHERITO, CAYETANO)</t>
  </si>
  <si>
    <t>NESCI, VICENTE</t>
  </si>
  <si>
    <t>NESCI, ENRIQUE</t>
  </si>
  <si>
    <t>SIMIONATO, JOSE</t>
  </si>
  <si>
    <t>CORONEL DE SIMIONATO</t>
  </si>
  <si>
    <t>COLOMBI, LUIS ( CHIAPA)</t>
  </si>
  <si>
    <t>SOTO, ARMANDO LUIS</t>
  </si>
  <si>
    <t>SOTO, LUIS ARMANDO</t>
  </si>
  <si>
    <t>+</t>
  </si>
  <si>
    <t>1-8-13-67-68</t>
  </si>
  <si>
    <t>22-33</t>
  </si>
  <si>
    <t>48-62-65-76</t>
  </si>
  <si>
    <t>77-78</t>
  </si>
  <si>
    <t>28-58-73</t>
  </si>
  <si>
    <t>Hijuela Solanilla</t>
  </si>
  <si>
    <t>Recorrido interno</t>
  </si>
  <si>
    <t>C.D</t>
  </si>
  <si>
    <t>HAS. RIEGO</t>
  </si>
  <si>
    <t>RIVEROS, PEDRO HUGO</t>
  </si>
  <si>
    <t>MORALES NITO</t>
  </si>
  <si>
    <t>RIVAGA, OMAR</t>
  </si>
  <si>
    <t>MUÑOZ, ALBERTO REIMUNDO</t>
  </si>
  <si>
    <t>ARANDA, BELEN ESTEFANIA</t>
  </si>
  <si>
    <t>BARCELO, EUGENIA LILIANA</t>
  </si>
  <si>
    <t>ONOFRI, MARIO ANGEL</t>
  </si>
  <si>
    <t>36-48</t>
  </si>
  <si>
    <t>45-13</t>
  </si>
  <si>
    <t>36-60</t>
  </si>
  <si>
    <t>36-61</t>
  </si>
  <si>
    <t>Hijuela Tres Hermanos</t>
  </si>
  <si>
    <t>Recorrido</t>
  </si>
  <si>
    <t>SILEONI, DAVID GUILLERMO Y RIVERA DE SILEONI, BERTA</t>
  </si>
  <si>
    <t>GIMENEZ, FRANCISCO</t>
  </si>
  <si>
    <t>PEREZ, FELIX FRANCISCO</t>
  </si>
  <si>
    <t>TAPIZ, JESUS MARTIN</t>
  </si>
  <si>
    <t>MIRABILE, ORLANDO A.</t>
  </si>
  <si>
    <t>SANCHEZ DE SOTO, ISABEL Y SOTO GONZALEZ, JUANA</t>
  </si>
  <si>
    <t>VANRRELL, JUAN FRANCISCO</t>
  </si>
  <si>
    <t>PINTO MORALES, ALEJANDRO JOSE</t>
  </si>
  <si>
    <t>CORTEZ, CIRILO</t>
  </si>
  <si>
    <t>GOGOl, SERGIO</t>
  </si>
  <si>
    <t>GONZALEZ, OSCAR OMAR C</t>
  </si>
  <si>
    <t>MAROTO, MARIO ALBERTO Y MAROTO, JUAN JOSE</t>
  </si>
  <si>
    <t>BRAGAGNOLO, MARIO FRANCISCO</t>
  </si>
  <si>
    <t>(ATILIO)BRAGAGNOLO, FRANCISCO Y BRAGAGNOLO, LUIS</t>
  </si>
  <si>
    <t>UNION VECINAL NUESTRA SEÑORA DEL CARMEN DE LAVALLE</t>
  </si>
  <si>
    <t>(RODOLFO)BRAGAGNOLO, FRANCISCO Y BRAGAGNOLO, LUIS</t>
  </si>
  <si>
    <t>(ORLANDO)BRAGAGNOLO, FRANCISCO Y BRAGAGNOLO, LUIS</t>
  </si>
  <si>
    <t>BENENATTI, ARIEL</t>
  </si>
  <si>
    <t>QUIROGA, PEDRO</t>
  </si>
  <si>
    <t>QUIROGA, YOLANDA RAQUEL</t>
  </si>
  <si>
    <t>CECCHIN VDA.DE RIGHI, MARIA ANA O QUIROGA</t>
  </si>
  <si>
    <t>DI MARCO, JUAN</t>
  </si>
  <si>
    <t>RIGHI VENVENUTTI, MARIO SIXTO</t>
  </si>
  <si>
    <t>9-51</t>
  </si>
  <si>
    <t>52-53</t>
  </si>
  <si>
    <t>15-30</t>
  </si>
  <si>
    <t>41-40</t>
  </si>
  <si>
    <t>31-48</t>
  </si>
  <si>
    <t>33-32</t>
  </si>
  <si>
    <t>35-34</t>
  </si>
  <si>
    <t>21-20</t>
  </si>
  <si>
    <t>29-45</t>
  </si>
  <si>
    <t>44-43</t>
  </si>
  <si>
    <t>Hijuela Ortega</t>
  </si>
  <si>
    <t>DECURGEZ ARRIGHI, GERMAN EDUARDO</t>
  </si>
  <si>
    <t>SGRIGNIERI, JOSE</t>
  </si>
  <si>
    <t>SARABIA, JORGE RICARDO</t>
  </si>
  <si>
    <t>VALENZUELA, NORMA</t>
  </si>
  <si>
    <t>QUINTIERI, LUIS CARLOS</t>
  </si>
  <si>
    <t>QUINTERI, MIGUEL ANGEL</t>
  </si>
  <si>
    <t>TEJENO, GUSTAVO JESUS</t>
  </si>
  <si>
    <t>RUBIOLO DE SCAFFIDI, NORMA AUDELINA</t>
  </si>
  <si>
    <t>GALDEANO, SERAFIN</t>
  </si>
  <si>
    <t>RIOS, ANGEL JUAN</t>
  </si>
  <si>
    <t>ABIHAGLE, ORLANDO NASIF</t>
  </si>
  <si>
    <t>CRUZ DE YAMIN, JOSEFA</t>
  </si>
  <si>
    <t>TORRES, ALEJANDRO DIEGO</t>
  </si>
  <si>
    <t>2-6</t>
  </si>
  <si>
    <t>21-19-22</t>
  </si>
  <si>
    <t>Hijuela El Guindo</t>
  </si>
  <si>
    <t>Recorrido de hijuela</t>
  </si>
  <si>
    <t>Reccorr interno</t>
  </si>
  <si>
    <t>C.D.</t>
  </si>
  <si>
    <t>GUARDIA, DANIEL</t>
  </si>
  <si>
    <t>RABITI, LEOPOLDO AMINODE</t>
  </si>
  <si>
    <t>CECCHIN, VICTOR</t>
  </si>
  <si>
    <t>FUSTER, ROBERTO RAUL</t>
  </si>
  <si>
    <t>EZTALA, VICENTE Y NICOTRA DE EZTALA, MARIA ARGENTINA</t>
  </si>
  <si>
    <t>BUSTOS BACILIO CEFERINO</t>
  </si>
  <si>
    <t>TRASLAVI#A, AUDALIO</t>
  </si>
  <si>
    <t>OVIEDO, PLUTARCO</t>
  </si>
  <si>
    <t>ALDAYA, IGNACIO</t>
  </si>
  <si>
    <t>RIGHI PEREZ, MARIA ELENA</t>
  </si>
  <si>
    <t>BRAGAGNOLO, JAVIER LEONARDO</t>
  </si>
  <si>
    <t>RIGHI PEREZ, ANGELA ELBA</t>
  </si>
  <si>
    <t>SALETEK S.A.</t>
  </si>
  <si>
    <t>RAMO RODRIGUEZ, MARCELO</t>
  </si>
  <si>
    <t>RAMO RODRIGUEZ, FERNANDO</t>
  </si>
  <si>
    <t>GIMENEZ, MARIA ADRIANA</t>
  </si>
  <si>
    <t>SEGOVIA DE CACERES, ANA GRACIELA</t>
  </si>
  <si>
    <t>TRASLAVI#A, RAMON JUSTINIANO</t>
  </si>
  <si>
    <t>PELEGRINA, JUAN Y ROIG DE PELEGRINA, JUANA LEONOR</t>
  </si>
  <si>
    <t>FERREIRO DE PINTO, SILVIA MONICA</t>
  </si>
  <si>
    <t>HUARACHI ORIHUELA, SERGIO</t>
  </si>
  <si>
    <t>MENGONI, FABIOLA JUDITH</t>
  </si>
  <si>
    <t>MIRABILE, LUIS ORLANDO</t>
  </si>
  <si>
    <t>FOGO, SANTOS Y LARRA╦AGA, JUAN ANTONIO</t>
  </si>
  <si>
    <t xml:space="preserve">FOGO, SANTOS Y LARRA╦AGA, </t>
  </si>
  <si>
    <t>CARABAJAL, ARTURO</t>
  </si>
  <si>
    <t>ZANI, ROBERTO RAUL</t>
  </si>
  <si>
    <t>33-37-23</t>
  </si>
  <si>
    <t>6-51</t>
  </si>
  <si>
    <t>18-48</t>
  </si>
  <si>
    <t>25-28</t>
  </si>
  <si>
    <t>20-49</t>
  </si>
  <si>
    <t>Hijuela San Eduardo</t>
  </si>
  <si>
    <t>Recorr. Interno</t>
  </si>
  <si>
    <t>MIN</t>
  </si>
  <si>
    <t>QUESADA, MIGUEL ANGEL</t>
  </si>
  <si>
    <t>AYSAM  S.A.P.E.M.</t>
  </si>
  <si>
    <t>MASSACCESI, JORGE EUGENIO</t>
  </si>
  <si>
    <t>MASSACCESI, JORGE EUGENIO Y MASSACCESI, HECTOR EDUARDO</t>
  </si>
  <si>
    <t>QUIROGA, CINTIA C.</t>
  </si>
  <si>
    <t>QUIROGA, ALICIA M.</t>
  </si>
  <si>
    <t>QUIROGA, TOMAS VALENCIO Y QUIROGA, PEDRO</t>
  </si>
  <si>
    <t>BORGO±A S.A.</t>
  </si>
  <si>
    <t>ANDRE, BLANCA M.</t>
  </si>
  <si>
    <t>TONELLI, CARLOS ANTONIO Y BERTOLINO DE TONELLI, OLGA EDITH</t>
  </si>
  <si>
    <t>TARQUINI, DAVID</t>
  </si>
  <si>
    <t>TORRES, ALBERTO</t>
  </si>
  <si>
    <t>TORRES, DELIA</t>
  </si>
  <si>
    <t>TORRE, HORACIO</t>
  </si>
  <si>
    <t>CAVAGNARO, VICTOR</t>
  </si>
  <si>
    <t>RIGHI, ANGEL VICENTE</t>
  </si>
  <si>
    <t xml:space="preserve">                                                           </t>
  </si>
  <si>
    <t>PANELLA, NAZARENO</t>
  </si>
  <si>
    <t>PANELLA DE CICARELLI, CONCEPCION</t>
  </si>
  <si>
    <t>CUADRO DE TURNO CANAL SAN PEDRO Y SAN PABLO</t>
  </si>
  <si>
    <t>FERA VICTOR DOMINGO</t>
  </si>
  <si>
    <t>VANRELL</t>
  </si>
  <si>
    <t>20-4</t>
  </si>
  <si>
    <t>6-7</t>
  </si>
  <si>
    <t>41-42-43-44-45-34-36</t>
  </si>
  <si>
    <t>14-33</t>
  </si>
  <si>
    <t>32-26</t>
  </si>
  <si>
    <t>8-1</t>
  </si>
  <si>
    <t>25-27-13-31</t>
  </si>
  <si>
    <t>19-28-29-30</t>
  </si>
  <si>
    <t>º</t>
  </si>
  <si>
    <t>20-5</t>
  </si>
  <si>
    <t>Hijuela El Confín</t>
  </si>
  <si>
    <t>.</t>
  </si>
  <si>
    <t xml:space="preserve">REC. </t>
  </si>
  <si>
    <t>MAREF S.A.</t>
  </si>
  <si>
    <t>GET ARGENTINA S.A.</t>
  </si>
  <si>
    <t>SARDI, ALEJANDRO JUAN Y SARDI, ALDO MARIO</t>
  </si>
  <si>
    <t>ZANON DE ZANON, MARIA</t>
  </si>
  <si>
    <t>CICCONI, ALFREDO; CICCONI, JUAN Y CICCONI, DOMINGO JUAN</t>
  </si>
  <si>
    <t>SEGURA, SALVADOR IGNACIO</t>
  </si>
  <si>
    <t>CHAMVI, BASILIO OCTAVIO</t>
  </si>
  <si>
    <t>ALVARADO, ADRIANO SINDULFO</t>
  </si>
  <si>
    <t>ALVARADO, JOSE LUIS</t>
  </si>
  <si>
    <t xml:space="preserve">PONCE, MARIO </t>
  </si>
  <si>
    <t>CAMPIONE, HECTOR FABIAN</t>
  </si>
  <si>
    <t>CAMPIONE, ORLANDO SALVADOR Y FERRO</t>
  </si>
  <si>
    <t>GOMEZ, DIEGO</t>
  </si>
  <si>
    <t>SORIA, MANUEL EMILIO</t>
  </si>
  <si>
    <t>VARGAS RODRIGUEZ, JUAN</t>
  </si>
  <si>
    <t>COSTA DE ARAUJO S.A.A.I.C.</t>
  </si>
  <si>
    <t>MANRESA, CRISTOBAL HUGO</t>
  </si>
  <si>
    <t>MURATORI, ALDO VIRGILIO</t>
  </si>
  <si>
    <t>GARCIA, DOMINGO</t>
  </si>
  <si>
    <t xml:space="preserve">MONFARRELL, RICARDO FELIPE </t>
  </si>
  <si>
    <t>55-52</t>
  </si>
  <si>
    <t>20-56</t>
  </si>
  <si>
    <t>48-49</t>
  </si>
  <si>
    <t>24-121</t>
  </si>
  <si>
    <t>45-23</t>
  </si>
  <si>
    <t>3-5</t>
  </si>
  <si>
    <t>1-2-53-52-15</t>
  </si>
  <si>
    <t>Hijuela Solanilla Romera</t>
  </si>
  <si>
    <t>PALOMO MARMOLEJO</t>
  </si>
  <si>
    <t>ALONSO, RAFAEL FRANCISCO</t>
  </si>
  <si>
    <t>KRATEUS</t>
  </si>
  <si>
    <t>ELMELAJ, MARIA PATRICIA</t>
  </si>
  <si>
    <t>STOIZIK, HUGO SEBASTIAN</t>
  </si>
  <si>
    <t>53-21</t>
  </si>
  <si>
    <t>Hijuela 2da. El Carmen Completa</t>
  </si>
  <si>
    <t>Recorr.Interno</t>
  </si>
  <si>
    <t>MAIMO, JUAN PABLO</t>
  </si>
  <si>
    <t>DUBOIS DE FERNANDEZ,</t>
  </si>
  <si>
    <t>SIMIONATO, JOSE SEGUNDO</t>
  </si>
  <si>
    <t>CARBONE, LUIS ALFONSO</t>
  </si>
  <si>
    <t>CARBONI, ROBERTO FRANCISCO</t>
  </si>
  <si>
    <t xml:space="preserve">MASIERO, MAURICIO AMADEO </t>
  </si>
  <si>
    <t xml:space="preserve">RODIGHIERO, JORGE </t>
  </si>
  <si>
    <t>Hijuela PERFOGA OESTE</t>
  </si>
  <si>
    <t>CARLETTI, JORGE FERNANDO</t>
  </si>
  <si>
    <t>CARLETTI, CELESTINO JOSE</t>
  </si>
  <si>
    <t>MARAÐON DE MINETTO, MONICA INES</t>
  </si>
  <si>
    <t>CANEVA, JUAN BAUTISTA Y RIGONI DE CANEVA, ENRIQUETA</t>
  </si>
  <si>
    <t>RIVERA GRACIELA</t>
  </si>
  <si>
    <t>FLORES MARTINEZ, JOHN</t>
  </si>
  <si>
    <t>LORCA, JOSE</t>
  </si>
  <si>
    <t>FRAILE, HORACIO</t>
  </si>
  <si>
    <t>CARBONI, ANTONIO</t>
  </si>
  <si>
    <t>CARBONI, MARCELINO ALFONSO</t>
  </si>
  <si>
    <t>GARCIA, CESAR</t>
  </si>
  <si>
    <t>GIMENEZ, JOSE MANUEL</t>
  </si>
  <si>
    <t>GIMENEZ, ELISABETH BEATRIZ</t>
  </si>
  <si>
    <t>FERRER, MARIO ANTONIO</t>
  </si>
  <si>
    <t>BUONO, MARIA SANDRA</t>
  </si>
  <si>
    <t>ROSAS, LUIS LUCIO</t>
  </si>
  <si>
    <t>GONZALEZ, OSCAR CLEMENTE</t>
  </si>
  <si>
    <t>GONZALEZ, OSCAR ROBERTO Y OTROS</t>
  </si>
  <si>
    <t>CHIODIN HUGO ARIEL</t>
  </si>
  <si>
    <t>TEJENO, HIGINIO BRUNO</t>
  </si>
  <si>
    <t>SANJURJO, CARLOS RAFAEL</t>
  </si>
  <si>
    <t>LOPEZ, AMILCAR CRISTIAN</t>
  </si>
  <si>
    <t>RIVERO SAAVEDRA, MARIA DE LAS NIEVES</t>
  </si>
  <si>
    <t>TORRES PALIZAS, MANUEL Y ESCUDERO, ANTONIO</t>
  </si>
  <si>
    <t>GIMENEZ, EUSEBIO ITALO Y GIMENEZ, RICARDO MANUEL</t>
  </si>
  <si>
    <t>RODIGHIERO, JORGE TULIO RENATO</t>
  </si>
  <si>
    <t>GUIGNET DE WITTENSTEIN, SUSANA SOLANGE</t>
  </si>
  <si>
    <t>RIVERO LOZA ORLANDO</t>
  </si>
  <si>
    <t>RIVERO, SANDRO</t>
  </si>
  <si>
    <t>AMAYA, JUAN CARLOS</t>
  </si>
  <si>
    <t>AGUILERA, HERMENEGILDO</t>
  </si>
  <si>
    <t>ARCE, VICTOR MANUEL Y NICOLAU DE ARCE, JOSEFINA PILAR</t>
  </si>
  <si>
    <t xml:space="preserve">VAIERETTI, EUGENIO </t>
  </si>
  <si>
    <t>WILHEM DE VAIERETTI, HILDA</t>
  </si>
  <si>
    <t>ZARPELLON GERMAN DANILO</t>
  </si>
  <si>
    <t>ANDREUCETTI, LUIS HUMBERTO</t>
  </si>
  <si>
    <t>84-64-10</t>
  </si>
  <si>
    <t>76-92</t>
  </si>
  <si>
    <t>88-101</t>
  </si>
  <si>
    <t>8-25</t>
  </si>
  <si>
    <t>27-51</t>
  </si>
  <si>
    <t>6-32</t>
  </si>
  <si>
    <t>85-86</t>
  </si>
  <si>
    <t>122-62</t>
  </si>
  <si>
    <t>105-139</t>
  </si>
  <si>
    <t>125-96</t>
  </si>
  <si>
    <t>87-123-107-131-137</t>
  </si>
  <si>
    <t>Hijuela ROCA</t>
  </si>
  <si>
    <t>Has Tot:</t>
  </si>
  <si>
    <t>MASSI, DANIEL ANTONIO</t>
  </si>
  <si>
    <t>CAVICCHIA, JUAN CARLOS</t>
  </si>
  <si>
    <t>AVALO ARTIGA, ROSA</t>
  </si>
  <si>
    <t>MAYOL JUAN PEDRO</t>
  </si>
  <si>
    <t>BARBECA S.A.</t>
  </si>
  <si>
    <t>ROMERO PI±A, DIEGO</t>
  </si>
  <si>
    <t>GONZALEZ, EUGENIO</t>
  </si>
  <si>
    <t>34-61</t>
  </si>
  <si>
    <t>74-72</t>
  </si>
  <si>
    <t>62-65-66-76</t>
  </si>
  <si>
    <t>63-64</t>
  </si>
  <si>
    <t>25-38-47</t>
  </si>
  <si>
    <t>27-42</t>
  </si>
  <si>
    <t xml:space="preserve">           NOTIFICACION</t>
  </si>
  <si>
    <t xml:space="preserve">                      INSPECCION CANAL SAN PEDRO Y SAN PABLO</t>
  </si>
  <si>
    <t xml:space="preserve">        En Lavalle, a los 30 días del mes de Setiembre de 2.016, se recibe constancia de Notificación de Asamblea </t>
  </si>
  <si>
    <t xml:space="preserve">General Ordinaria para la  " Aprobación de Presupuesto y Elección de Comisión de Vigilancia",  y Asambleas </t>
  </si>
  <si>
    <t xml:space="preserve">Extraordinarias Resol.147/14  a realizarse el día 11 de Octubre a las 18:30 hs, en la sede de la Asociación   </t>
  </si>
  <si>
    <t>V Zona del Río Mendoza, sito en calle Elías Medina 165 - Costa de Araujo - Lavalle.</t>
  </si>
  <si>
    <t>C.C.</t>
  </si>
  <si>
    <t>TITULAR</t>
  </si>
  <si>
    <t>4, 116</t>
  </si>
  <si>
    <t>DE LA ROSA, MARIO HUGO</t>
  </si>
  <si>
    <t>3, 37</t>
  </si>
  <si>
    <t>GALLARDO SIVILA, NILA</t>
  </si>
  <si>
    <t>CHAÑARES BAJOS S.A</t>
  </si>
  <si>
    <t>GAROFOLI, VICENTE</t>
  </si>
  <si>
    <t>URZI DE VAIERETTI, MARIA SUSANA</t>
  </si>
  <si>
    <t>AMAYA, CARMEN GABRIELA</t>
  </si>
  <si>
    <t>CARBONE, LUIS ALFONSO Y CAR</t>
  </si>
  <si>
    <t>VAIERETTI, EUGENIO Y VAIERETTI, CESAR DELFOR</t>
  </si>
  <si>
    <t>VAIERETTI, DELFO JUAN</t>
  </si>
  <si>
    <t>ALANIZ, WALTER FRANCISCO</t>
  </si>
  <si>
    <t>URZI, MARIA SUSANA Y WILHELM, HILDA ELSA</t>
  </si>
  <si>
    <t>GAROFOLI, HECTOR</t>
  </si>
  <si>
    <t>12, 54</t>
  </si>
  <si>
    <t>MIRABILE, VICENTE A</t>
  </si>
  <si>
    <t>FLORES CASTRO, TEODORO</t>
  </si>
  <si>
    <t xml:space="preserve">MARAÑON DE MINETTO, MONICA </t>
  </si>
  <si>
    <t>ARCE DE CARMONA, NELIDA B.</t>
  </si>
  <si>
    <t>GOMEZ, VICTORIA NIEVES</t>
  </si>
  <si>
    <t>CANEVA, JUAN BAUTISTA Y RIGO</t>
  </si>
  <si>
    <t>RIVERA, RODOLFO JUSTINO</t>
  </si>
  <si>
    <t>YASIN, ARGENTINO AMED</t>
  </si>
  <si>
    <t>CARBONI, ANTONIO EDUARDO</t>
  </si>
  <si>
    <t>RIVAS, ORLANDO</t>
  </si>
  <si>
    <t>GONZALEZ, OSCAR OMAR</t>
  </si>
  <si>
    <t>CHIODIN, HUGO ARIEL</t>
  </si>
  <si>
    <t>GONZALEZ, HECTOR D.</t>
  </si>
  <si>
    <t>LOPEZ, AMILCAR</t>
  </si>
  <si>
    <t xml:space="preserve">RIVERO SAAVEDRA, MARIA DE </t>
  </si>
  <si>
    <t>VARGAS, VICTOR W</t>
  </si>
  <si>
    <t>88, 101</t>
  </si>
  <si>
    <t>85, 86</t>
  </si>
  <si>
    <t>TORRES PALIZAS, MANUEL Y E</t>
  </si>
  <si>
    <t>GIMENEZ, EUSEBIO ITALO Y GIM</t>
  </si>
  <si>
    <t>RODIGHIERO, JORGE TULIO R</t>
  </si>
  <si>
    <t>127-134</t>
  </si>
  <si>
    <t>GUIGNET DE WITTENSTEIN, SU</t>
  </si>
  <si>
    <t>MASCHKE, MIGUEL ANGEL B</t>
  </si>
  <si>
    <t>CANEVA DE RODIGHIERO, AUR</t>
  </si>
  <si>
    <t>AGUILERA, ORLANDO ANTONIO</t>
  </si>
  <si>
    <t>ARCE, VICTOR MANUEL Y NIC</t>
  </si>
  <si>
    <t>ZARPELLON, GERMAN DANILO</t>
  </si>
  <si>
    <t>41-42</t>
  </si>
  <si>
    <t>FERA, VICTOR DOMINGO</t>
  </si>
  <si>
    <t>43-44-45</t>
  </si>
  <si>
    <t>34-36</t>
  </si>
  <si>
    <t>VANRREL, ANTONIO</t>
  </si>
  <si>
    <t>EZTALA, JORGE ALBERTO</t>
  </si>
  <si>
    <t>RABITI, GUILLERMO PABLO</t>
  </si>
  <si>
    <t>TRASLAVIÑA, AUDALIO</t>
  </si>
  <si>
    <t>CALANOCE, RUBEN ESTEBAN Y</t>
  </si>
  <si>
    <t>RAMO RODRIGUEZ, PEDRO</t>
  </si>
  <si>
    <t>SEGOVIA DE CACERES, ANA G</t>
  </si>
  <si>
    <t>18, 48</t>
  </si>
  <si>
    <t>TRASLAVIÑA, RAMON JUSTINIA</t>
  </si>
  <si>
    <t>PELEGRINA, JUAN Y ROIG DE P</t>
  </si>
  <si>
    <t>FERREIRO DE PINTO, SILVIA MO</t>
  </si>
  <si>
    <t>25, 28</t>
  </si>
  <si>
    <t>20, 49</t>
  </si>
  <si>
    <t>2, 53</t>
  </si>
  <si>
    <t>4, 20</t>
  </si>
  <si>
    <t>AYSAM S.A.P.E.M</t>
  </si>
  <si>
    <t>QUIROGA, CINTIA CAROLINA</t>
  </si>
  <si>
    <t>BORGOÑA S.A.</t>
  </si>
  <si>
    <t>ANDRE, BLANCA MARIA</t>
  </si>
  <si>
    <t>27-28</t>
  </si>
  <si>
    <t>29-30-31</t>
  </si>
  <si>
    <t>QUIROGA, ALICIA MAGDALENA</t>
  </si>
  <si>
    <t>IRUSTA, JORGE ALBERTO</t>
  </si>
  <si>
    <t>PELEGRINA, DIEGO EMANUEL</t>
  </si>
  <si>
    <t>3, 5</t>
  </si>
  <si>
    <t>2, 6</t>
  </si>
  <si>
    <t>CRIVELLI, JORGE GABRIEL Y MARTIN, ESPERANZA</t>
  </si>
  <si>
    <t>19, 21</t>
  </si>
  <si>
    <t>39, 42</t>
  </si>
  <si>
    <t>96, 98</t>
  </si>
  <si>
    <t>MARTINEZ, MARIO ALFONSO</t>
  </si>
  <si>
    <t>ALONSO, DANIEL JESUS</t>
  </si>
  <si>
    <t>MASSI, DANIEL</t>
  </si>
  <si>
    <t>ABALO ARTIGA</t>
  </si>
  <si>
    <t>CICHINELLI, RAFAEL ALVINO</t>
  </si>
  <si>
    <t>6, 15</t>
  </si>
  <si>
    <t>13, 69</t>
  </si>
  <si>
    <t>MUZZO, DANIEL ALBERTO</t>
  </si>
  <si>
    <t>3,4</t>
  </si>
  <si>
    <t>ARVER S.A.</t>
  </si>
  <si>
    <t>8, 9</t>
  </si>
  <si>
    <t>37, 39</t>
  </si>
  <si>
    <t>29, 43</t>
  </si>
  <si>
    <t>65, 66</t>
  </si>
  <si>
    <t>67, 68</t>
  </si>
  <si>
    <t>28, 42</t>
  </si>
  <si>
    <t>36, 55</t>
  </si>
  <si>
    <t>57, 58</t>
  </si>
  <si>
    <t>59, 61</t>
  </si>
  <si>
    <t>44, 45</t>
  </si>
  <si>
    <t>46, 47</t>
  </si>
  <si>
    <t>49, 30</t>
  </si>
  <si>
    <t>31, 32</t>
  </si>
  <si>
    <t>33, 34</t>
  </si>
  <si>
    <t>10, 11</t>
  </si>
  <si>
    <t>CORTEZ CIRILO</t>
  </si>
  <si>
    <t>MANEGHELLI, MARIO OSCAR</t>
  </si>
  <si>
    <t>PONS, OSVALDO</t>
  </si>
  <si>
    <t xml:space="preserve">BRAGAGNOLO, MARIO  FRANCISCO </t>
  </si>
  <si>
    <t>BRAGAGNOLO, ATILIO E</t>
  </si>
  <si>
    <t>(RODOLFO)BRAGAGNOLO, LILIA FANNY</t>
  </si>
  <si>
    <t>BRAGAGNOLO, RODOLFO FELIPE</t>
  </si>
  <si>
    <t>BRAGAGNOLO, ORLANDO ENZO</t>
  </si>
  <si>
    <t>BRAGAGNOLO, HUMBERTO AUGUSTO</t>
  </si>
  <si>
    <t>QUIROGA, ALICIA MAGDA</t>
  </si>
  <si>
    <t>20,21</t>
  </si>
  <si>
    <t xml:space="preserve">QUIROGA, YOLANDA </t>
  </si>
  <si>
    <t>58, 73</t>
  </si>
  <si>
    <t>ABANCINI, FRANCISCO GENARO</t>
  </si>
  <si>
    <t>27, 42</t>
  </si>
  <si>
    <t>MASIERO, VITIVINICOLA S.A.</t>
  </si>
  <si>
    <t>ANDRADA, MIGUEL ALBERTO</t>
  </si>
  <si>
    <t>76, 48</t>
  </si>
  <si>
    <t>ROMERO PIÑA, DIEGO</t>
  </si>
  <si>
    <t>CORONEL DE SIMIONATO, VIO</t>
  </si>
  <si>
    <t>RIVAGA, OMAR ALBERTO</t>
  </si>
  <si>
    <t xml:space="preserve">PALAZZETTI, JUAN ROBERTO PEDRO </t>
  </si>
  <si>
    <t>MASIERO VITIVINICOLA S.A.</t>
  </si>
  <si>
    <t>6, 51</t>
  </si>
  <si>
    <t>HERAS, GUILLERMO</t>
  </si>
  <si>
    <t>7, 37</t>
  </si>
  <si>
    <t xml:space="preserve">BOCANEGRA MARIA VICTORIA </t>
  </si>
  <si>
    <t>DALESIO, ORLANDO ITALO</t>
  </si>
  <si>
    <t>1, 2</t>
  </si>
  <si>
    <t>AYSAM S.A.P.E.M.</t>
  </si>
  <si>
    <t>PONCE, MARIO OMAR</t>
  </si>
  <si>
    <t>MEREB, MIGUEL</t>
  </si>
  <si>
    <t>52, 53, 54</t>
  </si>
  <si>
    <t xml:space="preserve">MAREF S.A. </t>
  </si>
  <si>
    <t>DISTRIBUCION DE CUPOS</t>
  </si>
  <si>
    <t>MTS. TOTALES</t>
  </si>
  <si>
    <t>Has total</t>
  </si>
  <si>
    <t>mts/has.</t>
  </si>
  <si>
    <t>Directos</t>
  </si>
  <si>
    <t>N°ORDEN</t>
  </si>
  <si>
    <t>mts</t>
  </si>
  <si>
    <t>AMADEO MARAÑON BGAS.Y VDOS.S.A.I.C.A.</t>
  </si>
  <si>
    <t>MENGONI, HECTOR NELSON</t>
  </si>
  <si>
    <t>DIAZ, GERONCIO</t>
  </si>
  <si>
    <t>MEDINA, ANGELINO</t>
  </si>
  <si>
    <t>QUATROCCHI DE FRANCO, MICAELA ARCANGELA</t>
  </si>
  <si>
    <t>ANDRE GUAQUINCHAY, DEMETRIO JOSE CIRILO</t>
  </si>
  <si>
    <t>TEJERO, JOSE MARIA</t>
  </si>
  <si>
    <t>TEJERO, MANUEL HUMBERTO</t>
  </si>
  <si>
    <t>TEJERO, CARLOS GREGORIO</t>
  </si>
  <si>
    <t>TEJERO, HECTOR MARTINIANO</t>
  </si>
  <si>
    <t>VILLEGAS, JUAN LAZARO</t>
  </si>
  <si>
    <t>ALONSO, ERNESTO</t>
  </si>
  <si>
    <t>FICARRA, CASPERO</t>
  </si>
  <si>
    <t>CALDERON VIUDA DE ARAUJO, MAGDALENA</t>
  </si>
  <si>
    <t>VILLEGAS, RUBEN FELIPE</t>
  </si>
  <si>
    <t>DIRECCION GENERAL DE ESCUELAS-(ESC.1-183-CORREO ARGENTINO-LAVALLE)</t>
  </si>
  <si>
    <t>MUNICIPALIDAD DE LAVALLE</t>
  </si>
  <si>
    <t>ARGUMEDO MORALES, MARINA ARGENTINA</t>
  </si>
  <si>
    <t>HUMBERTO, IGNACIO PIO</t>
  </si>
  <si>
    <t>TOMERA, JUAN BAUTISTA</t>
  </si>
  <si>
    <t>CIPPOLLETTA DE TOMERA, ROSA</t>
  </si>
  <si>
    <t>CICHINELLI, RAFAEL ALBINO</t>
  </si>
  <si>
    <t>CUBELLS</t>
  </si>
  <si>
    <t>MIN.P/HA</t>
  </si>
  <si>
    <t>GELVEZ, ARNULFO</t>
  </si>
  <si>
    <t>ROSSI, ANACLETO</t>
  </si>
  <si>
    <t>MARTINO, ESTEBAN</t>
  </si>
  <si>
    <t>SERPOLLI, VICENTE</t>
  </si>
  <si>
    <t>ARAUJO, MARIA ROSA</t>
  </si>
  <si>
    <t>ARAUJO, ANIBAL HERMES</t>
  </si>
  <si>
    <t>ARAUJO, MARTHA ROSARIO</t>
  </si>
  <si>
    <t>ZANIOLO, JOSE LORENZO</t>
  </si>
  <si>
    <t>DIAZ, FRANCISCO-SUCESORES-(HIJUEL DE PAGOS)</t>
  </si>
  <si>
    <t>NICOLOSI, FILADELFO</t>
  </si>
  <si>
    <t>DAFFUNCHIO, LUIS DELFIN</t>
  </si>
  <si>
    <t>LUCESOLE, MARTA</t>
  </si>
  <si>
    <t>ARAUJO QUIROGA, FERNANDO ALBERTO</t>
  </si>
  <si>
    <t>CALDENTEY, ANTONIO</t>
  </si>
  <si>
    <t>PASCOLO, ARTURO ALBERTO</t>
  </si>
  <si>
    <t>NUËEZ VERAS, ALFREDO</t>
  </si>
  <si>
    <t>NUÑEZ VERAS, ALFREDO INGUINIO</t>
  </si>
  <si>
    <t>CRUZ, PEDRO</t>
  </si>
  <si>
    <t>LODI DE GRECO, MARIA CRISTINA</t>
  </si>
  <si>
    <t>ARCE, ANTONIO JUAN</t>
  </si>
  <si>
    <t>BULGARELLI DE PASCOLO, PAULINA</t>
  </si>
  <si>
    <t>DIUMENJO GRIMALT, PEDRO</t>
  </si>
  <si>
    <t>DIUMENJO GRECO, PEDRO</t>
  </si>
  <si>
    <t>VERON, RAMON DIMAS</t>
  </si>
  <si>
    <t>AHUMADA, GREGORIO BERNARDINO</t>
  </si>
  <si>
    <t>DE LA LLANA, NICOLAS PASCUAL</t>
  </si>
  <si>
    <t>METLIP, EMILIO</t>
  </si>
  <si>
    <t>Díaz</t>
  </si>
  <si>
    <t>BLANCHARD, REYNALDO</t>
  </si>
  <si>
    <t>YANZON, ELEODORO Y YANZON, ADELAIDA L. DE</t>
  </si>
  <si>
    <t>MARTI, BERNARDO</t>
  </si>
  <si>
    <t>MANVIELLI, EDUARDO</t>
  </si>
  <si>
    <t>MORALES, NICASIO SEGUNDO</t>
  </si>
  <si>
    <t>ROSSI VDA. DE DURI, JULIA</t>
  </si>
  <si>
    <t>MALDONADO, FRANCISCO</t>
  </si>
  <si>
    <t>PIZARRO, RAFAEL FLORINDO</t>
  </si>
  <si>
    <t>GONZALEZ, ERCILIA Y GONZALEZ, JUAN BAUTISTA</t>
  </si>
  <si>
    <t>DIAZ, AGUSTIN NOLBERTO</t>
  </si>
  <si>
    <t>0.0502</t>
  </si>
  <si>
    <t>DIAZ HERRERA, HERIBERTO; DIAZ HERRERA, ISABEL; DIAZ HERRERA, CESAR; DIA</t>
  </si>
  <si>
    <t>DIAZ HERRERA, NICOLASA</t>
  </si>
  <si>
    <t>DIAZ, FRANCISCO-SUCESORES</t>
  </si>
  <si>
    <t>Artero</t>
  </si>
  <si>
    <t>PECETTI, JOSE</t>
  </si>
  <si>
    <t>PESCETTI, JOSE</t>
  </si>
  <si>
    <t>GARCIA, LUIS</t>
  </si>
  <si>
    <t>BARELLO, MARCELO</t>
  </si>
  <si>
    <t>BLANCHARD MONTES DE ROSSI, HILDA</t>
  </si>
  <si>
    <t>ROJAS, HECTOR ALFREDO</t>
  </si>
  <si>
    <t>Cabrera</t>
  </si>
  <si>
    <t>CUADRO DE TURNO CANAL BAJADA DE ARAUJO - Hijuela Gelvez</t>
  </si>
  <si>
    <t>Mts. totales</t>
  </si>
  <si>
    <t>mts/has</t>
  </si>
  <si>
    <t>OJEDA, DANIEL WALDINO Y OJEDA, JUAN RUFINO</t>
  </si>
  <si>
    <t>UNION VECINAL EL PARAISO DE LA COSTA</t>
  </si>
  <si>
    <t>SIMON, EDUARDO DANIEL Y RUAY, PATRICIA SUSANA</t>
  </si>
  <si>
    <t>LORENZO, PABLO DANIEL</t>
  </si>
  <si>
    <t>ALANIZ, OMAR ERNESTO</t>
  </si>
  <si>
    <t>SANTAMARINA, JOSE ALBERTO</t>
  </si>
  <si>
    <t>HERAS, PABLO Y HERAS, GUILLERMO</t>
  </si>
  <si>
    <t>SABATINI DE RODRIGUEZ, ELENA</t>
  </si>
  <si>
    <t>HERAS, GUILLERMO Y HERAS, PABLO</t>
  </si>
  <si>
    <t>SABATINI DE RODRIGUEZ, ELENA; DALLOSTA DE RIVERO, MARIA ROSA; DALLOSTA</t>
  </si>
  <si>
    <t>307 Y 274</t>
  </si>
  <si>
    <t>GOMEZ, MARIA ISABEL Y GOMEZ, JULIA ESTER</t>
  </si>
  <si>
    <t>DIUMENJO, PEDRO Y DIUMENJO, RAUL HORACIO</t>
  </si>
  <si>
    <t>GIL, ELBA FORTUNATA</t>
  </si>
  <si>
    <t>CARMONA, MARTA ALBERTINA</t>
  </si>
  <si>
    <t>PEREZ, TERESA OLGA</t>
  </si>
  <si>
    <t>GALDEANO, JUAN DE DIOS</t>
  </si>
  <si>
    <t>DIAZ, PABLO ROBERTO</t>
  </si>
  <si>
    <t>DIAZ CARMONA DE QUINTEROS, ELISA A.</t>
  </si>
  <si>
    <t>DIAZ, RAMON AMADEO</t>
  </si>
  <si>
    <t>VILLEGAS, DIONISIO</t>
  </si>
  <si>
    <t>VITORIA DE BIANCHI, DIANA</t>
  </si>
  <si>
    <t>BIANCHI, JORGE ALBERTO</t>
  </si>
  <si>
    <t>SURACI GRASSO, ANTONIO DANIEL Y SURACI GRASSO, JOSE ALBERTO</t>
  </si>
  <si>
    <t>ARAUJO, JUAN ISIDRO</t>
  </si>
  <si>
    <t>Salomón</t>
  </si>
  <si>
    <t>Mts.totales</t>
  </si>
  <si>
    <t>CLEMEN PELLEGRINI, CARLOS BENITO; CLEMEN PELLEGRINI, MARIO ANTONIO Y CL</t>
  </si>
  <si>
    <t>NEIDDU, JOSE ANDRES Y MARANO DE NEIDDU, ELVIRA</t>
  </si>
  <si>
    <t>MENDEZ VERA, SEBASTIANA</t>
  </si>
  <si>
    <t>COOPERATIVA CUYUM LTDA.(DE VIVIENDA,URBANIZACION Y CONSUMO)</t>
  </si>
  <si>
    <t>CORDOBA, MARTA ESTELA</t>
  </si>
  <si>
    <t>FERROCARRIL GENERAL SAN MARTIN-(ESTACION COSTA DE ARAUJO)</t>
  </si>
  <si>
    <t>MONTERO, VICTOR EMILIO</t>
  </si>
  <si>
    <t>NUÑEZ, LISANDRO</t>
  </si>
  <si>
    <t>NIEDDU, VICTORIO ROQUE</t>
  </si>
  <si>
    <t>GAROFOLI, PACIFICO</t>
  </si>
  <si>
    <t>DIAZ, FRANCISCO - SUC HIJOS</t>
  </si>
  <si>
    <t>HABJAN ANDRES ALEJANDRO</t>
  </si>
  <si>
    <t>PIAI, FRANCISCO ANGEL</t>
  </si>
  <si>
    <t>GELVEZ, BALDOMERA</t>
  </si>
  <si>
    <t>VILLEGAS, JOSE</t>
  </si>
  <si>
    <t>AZAGUATTE, AGUSTINA E. DE</t>
  </si>
  <si>
    <t>ZANI, JOSE-SUCESORES</t>
  </si>
  <si>
    <t>ZANNI, ALMIRO</t>
  </si>
  <si>
    <t>SABATTINI, JOSE ENRIQUE</t>
  </si>
  <si>
    <t>SABATTINI, JOSE ENRIQUE; VAZQUEZ, OSVALDO NOE FELIPE Y VAZQUEZ, BRIGIDA</t>
  </si>
  <si>
    <t>Horas turno</t>
  </si>
  <si>
    <t>Min. Total</t>
  </si>
  <si>
    <t xml:space="preserve">     HIJUELAS</t>
  </si>
  <si>
    <t>DIRECTOS</t>
  </si>
  <si>
    <t>ARTERO</t>
  </si>
  <si>
    <t>DIAZ</t>
  </si>
  <si>
    <t>CABRERA</t>
  </si>
  <si>
    <t>SALOMON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</si>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</sst>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\ * #,##0.00_ ;_ &quot;$&quot;\ * \-#,##0.00_ ;_ &quot;$&quot;\ * &quot;-&quot;??_ ;_ @_ "/>
    <numFmt numFmtId="164" formatCode="0.0000"/>
    <numFmt numFmtId="165" formatCode="_-* #,##0\ _p_t_a_-;\-* #,##0\ _p_t_a_-;_-* &quot;-&quot;??\ _p_t_a_-;_-@_-"/>
    <numFmt numFmtId="166" formatCode="0.0000;[Red]0.0000"/>
    <numFmt numFmtId="167" formatCode="0.000"/>
    <numFmt numFmtId="168" formatCode="0.0"/>
    <numFmt numFmtId="169" formatCode="[h]:mm"/>
    <numFmt numFmtId="170" formatCode="[h]"/>
  </numFmts>
  <fonts count="36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 CE"/>
      <family val="2"/>
      <charset val="238"/>
    </font>
    <font>
      <i/>
      <sz val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12"/>
      <color indexed="48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6"/>
      <name val="Castellar"/>
      <family val="1"/>
    </font>
    <font>
      <b/>
      <sz val="11"/>
      <name val="Book Antiqua"/>
      <family val="1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6">
    <xf numFmtId="0" fontId="0" fillId="0" borderId="0" xfId="0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1" xfId="0" applyNumberFormat="1" applyFont="1" applyBorder="1"/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164" fontId="3" fillId="0" borderId="0" xfId="0" applyNumberFormat="1" applyFont="1" applyBorder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8" xfId="0" applyNumberFormat="1" applyFont="1" applyBorder="1"/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1" fontId="0" fillId="0" borderId="1" xfId="0" applyNumberFormat="1" applyBorder="1"/>
    <xf numFmtId="164" fontId="0" fillId="0" borderId="8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5" fillId="0" borderId="0" xfId="0" applyFont="1"/>
    <xf numFmtId="165" fontId="0" fillId="0" borderId="1" xfId="0" applyNumberForma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0" fillId="0" borderId="15" xfId="0" applyBorder="1"/>
    <xf numFmtId="0" fontId="0" fillId="2" borderId="17" xfId="0" applyFill="1" applyBorder="1" applyAlignment="1">
      <alignment horizontal="justify" vertical="top"/>
    </xf>
    <xf numFmtId="0" fontId="0" fillId="2" borderId="14" xfId="0" applyFill="1" applyBorder="1" applyAlignment="1">
      <alignment horizontal="justify" vertical="top"/>
    </xf>
    <xf numFmtId="0" fontId="0" fillId="2" borderId="15" xfId="0" applyFill="1" applyBorder="1" applyAlignment="1">
      <alignment horizontal="justify" vertical="top"/>
    </xf>
    <xf numFmtId="0" fontId="0" fillId="2" borderId="0" xfId="0" applyFill="1" applyAlignment="1">
      <alignment horizontal="justify" vertical="top"/>
    </xf>
    <xf numFmtId="0" fontId="0" fillId="0" borderId="14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164" fontId="0" fillId="0" borderId="3" xfId="0" applyNumberFormat="1" applyBorder="1"/>
    <xf numFmtId="0" fontId="0" fillId="2" borderId="18" xfId="0" applyFill="1" applyBorder="1"/>
    <xf numFmtId="0" fontId="0" fillId="2" borderId="13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169" fontId="0" fillId="0" borderId="0" xfId="0" applyNumberFormat="1"/>
    <xf numFmtId="164" fontId="0" fillId="0" borderId="0" xfId="0" applyNumberFormat="1" applyBorder="1"/>
    <xf numFmtId="0" fontId="5" fillId="0" borderId="0" xfId="0" applyFont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right"/>
    </xf>
    <xf numFmtId="0" fontId="0" fillId="0" borderId="0" xfId="0" applyFill="1"/>
    <xf numFmtId="1" fontId="0" fillId="0" borderId="2" xfId="0" applyNumberFormat="1" applyBorder="1"/>
    <xf numFmtId="0" fontId="0" fillId="2" borderId="21" xfId="0" applyFill="1" applyBorder="1"/>
    <xf numFmtId="0" fontId="0" fillId="2" borderId="0" xfId="0" applyFill="1" applyBorder="1"/>
    <xf numFmtId="0" fontId="0" fillId="2" borderId="25" xfId="0" applyFill="1" applyBorder="1"/>
    <xf numFmtId="0" fontId="0" fillId="2" borderId="24" xfId="0" applyFill="1" applyBorder="1"/>
    <xf numFmtId="164" fontId="0" fillId="0" borderId="18" xfId="0" applyNumberFormat="1" applyBorder="1" applyAlignment="1">
      <alignment horizontal="right"/>
    </xf>
    <xf numFmtId="1" fontId="0" fillId="0" borderId="0" xfId="0" applyNumberFormat="1" applyBorder="1"/>
    <xf numFmtId="169" fontId="0" fillId="0" borderId="0" xfId="0" applyNumberFormat="1" applyBorder="1"/>
    <xf numFmtId="0" fontId="0" fillId="0" borderId="26" xfId="0" applyBorder="1" applyAlignment="1">
      <alignment horizontal="center"/>
    </xf>
    <xf numFmtId="0" fontId="0" fillId="0" borderId="18" xfId="0" applyBorder="1"/>
    <xf numFmtId="164" fontId="0" fillId="0" borderId="13" xfId="0" applyNumberFormat="1" applyBorder="1"/>
    <xf numFmtId="164" fontId="0" fillId="0" borderId="13" xfId="0" applyNumberFormat="1" applyBorder="1" applyAlignment="1">
      <alignment horizontal="center"/>
    </xf>
    <xf numFmtId="0" fontId="0" fillId="2" borderId="19" xfId="0" applyFill="1" applyBorder="1"/>
    <xf numFmtId="0" fontId="0" fillId="2" borderId="27" xfId="0" applyFill="1" applyBorder="1"/>
    <xf numFmtId="0" fontId="0" fillId="2" borderId="20" xfId="0" applyFill="1" applyBorder="1"/>
    <xf numFmtId="0" fontId="0" fillId="2" borderId="22" xfId="0" applyFill="1" applyBorder="1"/>
    <xf numFmtId="0" fontId="7" fillId="2" borderId="21" xfId="0" applyFont="1" applyFill="1" applyBorder="1"/>
    <xf numFmtId="0" fontId="8" fillId="2" borderId="0" xfId="0" applyFont="1" applyFill="1" applyBorder="1"/>
    <xf numFmtId="1" fontId="3" fillId="0" borderId="0" xfId="0" applyNumberFormat="1" applyFont="1" applyAlignment="1">
      <alignment horizontal="center"/>
    </xf>
    <xf numFmtId="22" fontId="0" fillId="0" borderId="0" xfId="0" applyNumberFormat="1"/>
    <xf numFmtId="169" fontId="3" fillId="0" borderId="0" xfId="0" applyNumberFormat="1" applyFont="1" applyBorder="1" applyAlignment="1">
      <alignment horizontal="center"/>
    </xf>
    <xf numFmtId="22" fontId="0" fillId="0" borderId="1" xfId="0" applyNumberFormat="1" applyBorder="1"/>
    <xf numFmtId="4" fontId="0" fillId="0" borderId="0" xfId="0" applyNumberFormat="1"/>
    <xf numFmtId="0" fontId="0" fillId="0" borderId="10" xfId="0" applyBorder="1"/>
    <xf numFmtId="0" fontId="0" fillId="0" borderId="16" xfId="0" applyBorder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3" xfId="0" applyFill="1" applyBorder="1"/>
    <xf numFmtId="20" fontId="0" fillId="2" borderId="0" xfId="0" applyNumberForma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/>
    <xf numFmtId="0" fontId="2" fillId="2" borderId="0" xfId="0" applyFont="1" applyFill="1"/>
    <xf numFmtId="0" fontId="3" fillId="2" borderId="0" xfId="0" applyFont="1" applyFill="1" applyBorder="1"/>
    <xf numFmtId="22" fontId="10" fillId="2" borderId="0" xfId="0" applyNumberFormat="1" applyFont="1" applyFill="1" applyBorder="1"/>
    <xf numFmtId="0" fontId="5" fillId="2" borderId="0" xfId="0" applyFont="1" applyFill="1" applyBorder="1"/>
    <xf numFmtId="0" fontId="11" fillId="2" borderId="0" xfId="0" applyFont="1" applyFill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2" fillId="2" borderId="0" xfId="0" applyFont="1" applyFill="1"/>
    <xf numFmtId="169" fontId="3" fillId="0" borderId="1" xfId="0" applyNumberFormat="1" applyFont="1" applyBorder="1" applyAlignment="1">
      <alignment horizontal="center"/>
    </xf>
    <xf numFmtId="169" fontId="3" fillId="0" borderId="8" xfId="0" applyNumberFormat="1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170" fontId="3" fillId="0" borderId="13" xfId="0" applyNumberFormat="1" applyFont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22" fontId="0" fillId="0" borderId="13" xfId="0" applyNumberFormat="1" applyBorder="1"/>
    <xf numFmtId="164" fontId="3" fillId="0" borderId="13" xfId="0" applyNumberFormat="1" applyFont="1" applyBorder="1"/>
    <xf numFmtId="0" fontId="5" fillId="2" borderId="25" xfId="0" applyFont="1" applyFill="1" applyBorder="1"/>
    <xf numFmtId="0" fontId="14" fillId="2" borderId="0" xfId="0" applyFont="1" applyFill="1" applyBorder="1" applyProtection="1"/>
    <xf numFmtId="0" fontId="9" fillId="2" borderId="0" xfId="0" applyFont="1" applyFill="1" applyBorder="1" applyAlignment="1" applyProtection="1">
      <alignment horizontal="center"/>
    </xf>
    <xf numFmtId="49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3" fillId="2" borderId="0" xfId="0" applyFont="1" applyFill="1"/>
    <xf numFmtId="0" fontId="5" fillId="2" borderId="29" xfId="0" applyFont="1" applyFill="1" applyBorder="1" applyAlignment="1">
      <alignment horizontal="right"/>
    </xf>
    <xf numFmtId="44" fontId="5" fillId="2" borderId="30" xfId="0" applyNumberFormat="1" applyFont="1" applyFill="1" applyBorder="1" applyAlignment="1">
      <alignment horizontal="left"/>
    </xf>
    <xf numFmtId="169" fontId="0" fillId="0" borderId="1" xfId="0" applyNumberFormat="1" applyBorder="1"/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2" borderId="3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0" borderId="32" xfId="0" applyNumberFormat="1" applyFont="1" applyBorder="1" applyAlignment="1">
      <alignment horizontal="center" vertical="center" wrapText="1"/>
    </xf>
    <xf numFmtId="167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8" fontId="5" fillId="0" borderId="35" xfId="0" applyNumberFormat="1" applyFont="1" applyBorder="1" applyAlignment="1">
      <alignment horizontal="center" vertical="center" wrapText="1"/>
    </xf>
    <xf numFmtId="167" fontId="5" fillId="0" borderId="35" xfId="0" applyNumberFormat="1" applyFont="1" applyBorder="1" applyAlignment="1">
      <alignment horizontal="center" vertical="center" wrapText="1"/>
    </xf>
    <xf numFmtId="2" fontId="5" fillId="0" borderId="36" xfId="0" applyNumberFormat="1" applyFont="1" applyBorder="1" applyAlignment="1">
      <alignment horizontal="center" vertical="center" wrapText="1"/>
    </xf>
    <xf numFmtId="0" fontId="3" fillId="0" borderId="6" xfId="0" applyFont="1" applyBorder="1"/>
    <xf numFmtId="167" fontId="0" fillId="0" borderId="1" xfId="0" applyNumberForma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3" fillId="0" borderId="6" xfId="0" applyFont="1" applyFill="1" applyBorder="1"/>
    <xf numFmtId="0" fontId="10" fillId="2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6" xfId="0" applyFont="1" applyBorder="1"/>
    <xf numFmtId="1" fontId="0" fillId="0" borderId="13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3" fillId="2" borderId="7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1" fontId="0" fillId="0" borderId="37" xfId="0" applyNumberFormat="1" applyBorder="1"/>
    <xf numFmtId="0" fontId="0" fillId="0" borderId="23" xfId="0" applyBorder="1"/>
    <xf numFmtId="167" fontId="0" fillId="0" borderId="2" xfId="0" applyNumberFormat="1" applyFill="1" applyBorder="1" applyAlignment="1">
      <alignment horizontal="center"/>
    </xf>
    <xf numFmtId="167" fontId="5" fillId="0" borderId="38" xfId="0" applyNumberFormat="1" applyFont="1" applyBorder="1" applyAlignment="1">
      <alignment horizontal="center" vertical="center" wrapText="1"/>
    </xf>
    <xf numFmtId="167" fontId="15" fillId="0" borderId="39" xfId="0" applyNumberFormat="1" applyFon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68" fontId="0" fillId="0" borderId="0" xfId="0" applyNumberFormat="1"/>
    <xf numFmtId="2" fontId="0" fillId="0" borderId="0" xfId="0" applyNumberFormat="1"/>
    <xf numFmtId="1" fontId="0" fillId="0" borderId="1" xfId="0" applyNumberFormat="1" applyFill="1" applyBorder="1" applyAlignment="1">
      <alignment horizontal="center"/>
    </xf>
    <xf numFmtId="169" fontId="3" fillId="0" borderId="1" xfId="0" applyNumberFormat="1" applyFont="1" applyBorder="1"/>
    <xf numFmtId="169" fontId="3" fillId="0" borderId="8" xfId="0" applyNumberFormat="1" applyFont="1" applyBorder="1"/>
    <xf numFmtId="169" fontId="3" fillId="0" borderId="13" xfId="0" applyNumberFormat="1" applyFont="1" applyBorder="1"/>
    <xf numFmtId="0" fontId="3" fillId="2" borderId="1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7" fontId="16" fillId="0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9" fillId="0" borderId="13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1" fontId="13" fillId="0" borderId="13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16" fillId="0" borderId="2" xfId="0" applyNumberFormat="1" applyFon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8" xfId="0" applyFill="1" applyBorder="1"/>
    <xf numFmtId="0" fontId="16" fillId="0" borderId="0" xfId="0" applyFont="1"/>
    <xf numFmtId="2" fontId="0" fillId="0" borderId="44" xfId="0" applyNumberFormat="1" applyBorder="1"/>
    <xf numFmtId="1" fontId="0" fillId="0" borderId="1" xfId="0" applyNumberFormat="1" applyFill="1" applyBorder="1"/>
    <xf numFmtId="1" fontId="0" fillId="0" borderId="8" xfId="0" applyNumberFormat="1" applyFill="1" applyBorder="1" applyAlignment="1">
      <alignment horizontal="center"/>
    </xf>
    <xf numFmtId="1" fontId="0" fillId="0" borderId="8" xfId="0" applyNumberFormat="1" applyFill="1" applyBorder="1"/>
    <xf numFmtId="1" fontId="0" fillId="0" borderId="6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3" xfId="0" applyFill="1" applyBorder="1"/>
    <xf numFmtId="1" fontId="0" fillId="0" borderId="24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/>
    <xf numFmtId="0" fontId="0" fillId="0" borderId="16" xfId="0" applyFill="1" applyBorder="1"/>
    <xf numFmtId="0" fontId="0" fillId="0" borderId="6" xfId="0" applyFill="1" applyBorder="1"/>
    <xf numFmtId="1" fontId="0" fillId="2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2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" fontId="0" fillId="0" borderId="23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2" borderId="6" xfId="0" applyFill="1" applyBorder="1"/>
    <xf numFmtId="1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" fontId="0" fillId="2" borderId="13" xfId="0" applyNumberFormat="1" applyFill="1" applyBorder="1"/>
    <xf numFmtId="169" fontId="0" fillId="0" borderId="13" xfId="0" applyNumberFormat="1" applyBorder="1"/>
    <xf numFmtId="1" fontId="3" fillId="0" borderId="1" xfId="0" applyNumberFormat="1" applyFont="1" applyBorder="1"/>
    <xf numFmtId="1" fontId="3" fillId="2" borderId="1" xfId="0" applyNumberFormat="1" applyFont="1" applyFill="1" applyBorder="1"/>
    <xf numFmtId="164" fontId="3" fillId="0" borderId="37" xfId="0" applyNumberFormat="1" applyFont="1" applyBorder="1"/>
    <xf numFmtId="22" fontId="0" fillId="0" borderId="0" xfId="0" applyNumberFormat="1" applyBorder="1"/>
    <xf numFmtId="1" fontId="0" fillId="0" borderId="0" xfId="0" applyNumberFormat="1" applyFill="1" applyBorder="1"/>
    <xf numFmtId="0" fontId="0" fillId="0" borderId="1" xfId="0" applyNumberFormat="1" applyFill="1" applyBorder="1"/>
    <xf numFmtId="0" fontId="0" fillId="0" borderId="8" xfId="0" applyNumberFormat="1" applyFill="1" applyBorder="1"/>
    <xf numFmtId="0" fontId="0" fillId="0" borderId="37" xfId="0" applyBorder="1"/>
    <xf numFmtId="169" fontId="3" fillId="0" borderId="37" xfId="0" applyNumberFormat="1" applyFont="1" applyBorder="1"/>
    <xf numFmtId="2" fontId="5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64" fontId="5" fillId="0" borderId="0" xfId="0" applyNumberFormat="1" applyFont="1"/>
    <xf numFmtId="20" fontId="5" fillId="0" borderId="0" xfId="0" applyNumberFormat="1" applyFont="1"/>
    <xf numFmtId="169" fontId="5" fillId="0" borderId="0" xfId="0" applyNumberFormat="1" applyFont="1"/>
    <xf numFmtId="164" fontId="5" fillId="0" borderId="0" xfId="0" applyNumberFormat="1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35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5" xfId="0" applyFont="1" applyFill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70" fontId="12" fillId="2" borderId="1" xfId="0" applyNumberFormat="1" applyFont="1" applyFill="1" applyBorder="1" applyAlignment="1">
      <alignment horizontal="center" vertical="center"/>
    </xf>
    <xf numFmtId="0" fontId="17" fillId="2" borderId="0" xfId="0" applyFont="1" applyFill="1"/>
    <xf numFmtId="0" fontId="0" fillId="2" borderId="0" xfId="0" applyFill="1" applyAlignment="1">
      <alignment horizontal="center"/>
    </xf>
    <xf numFmtId="20" fontId="0" fillId="2" borderId="0" xfId="0" applyNumberFormat="1" applyFill="1"/>
    <xf numFmtId="0" fontId="0" fillId="2" borderId="4" xfId="0" applyFill="1" applyBorder="1"/>
    <xf numFmtId="169" fontId="0" fillId="2" borderId="44" xfId="0" applyNumberFormat="1" applyFill="1" applyBorder="1"/>
    <xf numFmtId="169" fontId="0" fillId="2" borderId="7" xfId="0" applyNumberFormat="1" applyFill="1" applyBorder="1"/>
    <xf numFmtId="22" fontId="3" fillId="2" borderId="0" xfId="0" applyNumberFormat="1" applyFont="1" applyFill="1" applyBorder="1" applyAlignment="1">
      <alignment horizontal="center"/>
    </xf>
    <xf numFmtId="0" fontId="0" fillId="2" borderId="10" xfId="0" applyFill="1" applyBorder="1"/>
    <xf numFmtId="169" fontId="0" fillId="2" borderId="9" xfId="0" applyNumberFormat="1" applyFill="1" applyBorder="1"/>
    <xf numFmtId="169" fontId="5" fillId="2" borderId="0" xfId="0" applyNumberFormat="1" applyFont="1" applyFill="1" applyAlignment="1">
      <alignment horizontal="left"/>
    </xf>
    <xf numFmtId="170" fontId="5" fillId="2" borderId="0" xfId="0" applyNumberFormat="1" applyFont="1" applyFill="1" applyAlignment="1">
      <alignment horizontal="left"/>
    </xf>
    <xf numFmtId="169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/>
    <xf numFmtId="170" fontId="5" fillId="2" borderId="0" xfId="0" applyNumberFormat="1" applyFont="1" applyFill="1" applyAlignment="1">
      <alignment horizontal="center"/>
    </xf>
    <xf numFmtId="16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164" fontId="3" fillId="2" borderId="0" xfId="0" applyNumberFormat="1" applyFont="1" applyFill="1" applyBorder="1"/>
    <xf numFmtId="1" fontId="4" fillId="2" borderId="0" xfId="0" applyNumberFormat="1" applyFont="1" applyFill="1" applyBorder="1"/>
    <xf numFmtId="20" fontId="0" fillId="2" borderId="0" xfId="0" applyNumberFormat="1" applyFill="1" applyBorder="1"/>
    <xf numFmtId="22" fontId="0" fillId="2" borderId="0" xfId="0" applyNumberFormat="1" applyFill="1" applyBorder="1" applyAlignment="1">
      <alignment horizontal="center"/>
    </xf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0" fontId="0" fillId="2" borderId="47" xfId="0" applyFill="1" applyBorder="1"/>
    <xf numFmtId="0" fontId="5" fillId="2" borderId="0" xfId="0" applyFont="1" applyFill="1" applyAlignment="1">
      <alignment horizontal="center"/>
    </xf>
    <xf numFmtId="169" fontId="0" fillId="2" borderId="28" xfId="0" applyNumberFormat="1" applyFill="1" applyBorder="1"/>
    <xf numFmtId="169" fontId="3" fillId="0" borderId="37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1" fontId="5" fillId="2" borderId="0" xfId="0" applyNumberFormat="1" applyFont="1" applyFill="1" applyBorder="1" applyAlignment="1">
      <alignment horizontal="left"/>
    </xf>
    <xf numFmtId="0" fontId="22" fillId="2" borderId="0" xfId="0" applyFont="1" applyFill="1" applyBorder="1"/>
    <xf numFmtId="1" fontId="0" fillId="0" borderId="13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1" fontId="0" fillId="0" borderId="8" xfId="0" applyNumberFormat="1" applyBorder="1" applyAlignment="1">
      <alignment wrapText="1"/>
    </xf>
    <xf numFmtId="0" fontId="0" fillId="0" borderId="19" xfId="0" applyBorder="1"/>
    <xf numFmtId="0" fontId="0" fillId="0" borderId="27" xfId="0" applyBorder="1"/>
    <xf numFmtId="169" fontId="0" fillId="0" borderId="1" xfId="0" applyNumberFormat="1" applyFill="1" applyBorder="1"/>
    <xf numFmtId="22" fontId="0" fillId="0" borderId="1" xfId="0" applyNumberFormat="1" applyFill="1" applyBorder="1"/>
    <xf numFmtId="0" fontId="0" fillId="0" borderId="20" xfId="0" applyBorder="1"/>
    <xf numFmtId="0" fontId="12" fillId="2" borderId="13" xfId="0" applyFont="1" applyFill="1" applyBorder="1" applyAlignment="1">
      <alignment horizontal="center" vertical="center"/>
    </xf>
    <xf numFmtId="170" fontId="12" fillId="2" borderId="13" xfId="0" applyNumberFormat="1" applyFont="1" applyFill="1" applyBorder="1" applyAlignment="1">
      <alignment horizontal="center" vertical="center"/>
    </xf>
    <xf numFmtId="2" fontId="12" fillId="2" borderId="28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169" fontId="5" fillId="2" borderId="0" xfId="0" applyNumberFormat="1" applyFont="1" applyFill="1" applyBorder="1" applyAlignment="1">
      <alignment horizontal="left"/>
    </xf>
    <xf numFmtId="14" fontId="0" fillId="0" borderId="48" xfId="0" applyNumberFormat="1" applyBorder="1" applyAlignment="1">
      <alignment horizontal="center"/>
    </xf>
    <xf numFmtId="169" fontId="0" fillId="0" borderId="8" xfId="0" applyNumberFormat="1" applyFill="1" applyBorder="1"/>
    <xf numFmtId="169" fontId="0" fillId="0" borderId="13" xfId="0" applyNumberFormat="1" applyFill="1" applyBorder="1"/>
    <xf numFmtId="22" fontId="0" fillId="0" borderId="13" xfId="0" applyNumberForma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22" fillId="0" borderId="35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wrapText="1"/>
    </xf>
    <xf numFmtId="22" fontId="3" fillId="0" borderId="1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wrapText="1"/>
    </xf>
    <xf numFmtId="1" fontId="3" fillId="0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wrapText="1"/>
    </xf>
    <xf numFmtId="0" fontId="22" fillId="2" borderId="0" xfId="0" applyFont="1" applyFill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0" fillId="2" borderId="49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0" fillId="2" borderId="49" xfId="0" applyFill="1" applyBorder="1"/>
    <xf numFmtId="20" fontId="5" fillId="2" borderId="0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0" fontId="22" fillId="0" borderId="38" xfId="0" applyFont="1" applyBorder="1" applyAlignment="1">
      <alignment horizontal="center" wrapText="1"/>
    </xf>
    <xf numFmtId="0" fontId="15" fillId="2" borderId="0" xfId="0" applyFont="1" applyFill="1" applyBorder="1"/>
    <xf numFmtId="0" fontId="0" fillId="2" borderId="14" xfId="0" applyFill="1" applyBorder="1"/>
    <xf numFmtId="0" fontId="0" fillId="2" borderId="51" xfId="0" applyFill="1" applyBorder="1"/>
    <xf numFmtId="0" fontId="0" fillId="2" borderId="15" xfId="0" applyFill="1" applyBorder="1"/>
    <xf numFmtId="0" fontId="0" fillId="2" borderId="52" xfId="0" applyFill="1" applyBorder="1"/>
    <xf numFmtId="0" fontId="0" fillId="2" borderId="53" xfId="0" applyFill="1" applyBorder="1"/>
    <xf numFmtId="0" fontId="0" fillId="2" borderId="53" xfId="0" applyFill="1" applyBorder="1" applyAlignment="1">
      <alignment horizontal="center"/>
    </xf>
    <xf numFmtId="0" fontId="3" fillId="2" borderId="53" xfId="0" applyFont="1" applyFill="1" applyBorder="1"/>
    <xf numFmtId="0" fontId="9" fillId="2" borderId="53" xfId="0" applyFont="1" applyFill="1" applyBorder="1" applyAlignment="1">
      <alignment horizontal="center"/>
    </xf>
    <xf numFmtId="0" fontId="0" fillId="2" borderId="54" xfId="0" applyFill="1" applyBorder="1"/>
    <xf numFmtId="0" fontId="5" fillId="2" borderId="47" xfId="0" applyFont="1" applyFill="1" applyBorder="1"/>
    <xf numFmtId="0" fontId="0" fillId="2" borderId="50" xfId="0" applyFill="1" applyBorder="1"/>
    <xf numFmtId="22" fontId="0" fillId="0" borderId="1" xfId="0" applyNumberFormat="1" applyBorder="1" applyAlignment="1">
      <alignment horizontal="right"/>
    </xf>
    <xf numFmtId="0" fontId="22" fillId="0" borderId="35" xfId="0" applyFont="1" applyBorder="1"/>
    <xf numFmtId="1" fontId="0" fillId="0" borderId="13" xfId="0" applyNumberFormat="1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1" fontId="0" fillId="0" borderId="8" xfId="0" applyNumberFormat="1" applyFill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22" fillId="0" borderId="55" xfId="0" applyFont="1" applyBorder="1" applyAlignment="1">
      <alignment horizontal="center"/>
    </xf>
    <xf numFmtId="169" fontId="5" fillId="0" borderId="0" xfId="0" applyNumberFormat="1" applyFont="1" applyBorder="1" applyAlignment="1">
      <alignment horizontal="left"/>
    </xf>
    <xf numFmtId="16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wrapText="1"/>
    </xf>
    <xf numFmtId="1" fontId="5" fillId="2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3" fillId="0" borderId="1" xfId="0" applyFont="1" applyFill="1" applyBorder="1"/>
    <xf numFmtId="1" fontId="3" fillId="0" borderId="2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0" fillId="2" borderId="52" xfId="0" applyFill="1" applyBorder="1" applyAlignment="1">
      <alignment horizontal="right"/>
    </xf>
    <xf numFmtId="0" fontId="0" fillId="0" borderId="52" xfId="0" applyBorder="1"/>
    <xf numFmtId="1" fontId="3" fillId="0" borderId="8" xfId="0" applyNumberFormat="1" applyFont="1" applyBorder="1"/>
    <xf numFmtId="1" fontId="5" fillId="0" borderId="0" xfId="0" applyNumberFormat="1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wrapText="1"/>
    </xf>
    <xf numFmtId="169" fontId="3" fillId="0" borderId="18" xfId="0" applyNumberFormat="1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0" fillId="2" borderId="0" xfId="0" applyFill="1" applyBorder="1" applyAlignment="1">
      <alignment horizontal="left"/>
    </xf>
    <xf numFmtId="9" fontId="12" fillId="2" borderId="13" xfId="1" applyFont="1" applyFill="1" applyBorder="1" applyAlignment="1">
      <alignment horizontal="center" vertical="center"/>
    </xf>
    <xf numFmtId="0" fontId="0" fillId="2" borderId="26" xfId="0" applyFill="1" applyBorder="1"/>
    <xf numFmtId="169" fontId="0" fillId="2" borderId="43" xfId="0" applyNumberFormat="1" applyFill="1" applyBorder="1"/>
    <xf numFmtId="46" fontId="0" fillId="0" borderId="0" xfId="0" applyNumberFormat="1"/>
    <xf numFmtId="1" fontId="1" fillId="0" borderId="1" xfId="0" applyNumberFormat="1" applyFont="1" applyBorder="1" applyAlignment="1">
      <alignment wrapText="1"/>
    </xf>
    <xf numFmtId="169" fontId="0" fillId="2" borderId="17" xfId="0" applyNumberFormat="1" applyFill="1" applyBorder="1"/>
    <xf numFmtId="169" fontId="0" fillId="2" borderId="56" xfId="0" applyNumberFormat="1" applyFill="1" applyBorder="1"/>
    <xf numFmtId="0" fontId="0" fillId="2" borderId="17" xfId="0" applyFill="1" applyBorder="1"/>
    <xf numFmtId="0" fontId="0" fillId="2" borderId="57" xfId="0" applyFill="1" applyBorder="1"/>
    <xf numFmtId="0" fontId="0" fillId="2" borderId="56" xfId="0" applyFill="1" applyBorder="1"/>
    <xf numFmtId="0" fontId="0" fillId="2" borderId="58" xfId="0" applyFill="1" applyBorder="1"/>
    <xf numFmtId="0" fontId="21" fillId="0" borderId="29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0" fillId="0" borderId="60" xfId="0" applyBorder="1"/>
    <xf numFmtId="169" fontId="0" fillId="2" borderId="50" xfId="0" applyNumberFormat="1" applyFill="1" applyBorder="1"/>
    <xf numFmtId="170" fontId="3" fillId="0" borderId="0" xfId="0" applyNumberFormat="1" applyFont="1" applyBorder="1" applyAlignment="1">
      <alignment horizontal="center"/>
    </xf>
    <xf numFmtId="0" fontId="2" fillId="2" borderId="0" xfId="0" applyFont="1" applyFill="1" applyBorder="1"/>
    <xf numFmtId="170" fontId="5" fillId="2" borderId="0" xfId="0" applyNumberFormat="1" applyFont="1" applyFill="1" applyBorder="1" applyAlignment="1">
      <alignment horizontal="left"/>
    </xf>
    <xf numFmtId="169" fontId="3" fillId="0" borderId="13" xfId="0" applyNumberFormat="1" applyFont="1" applyFill="1" applyBorder="1"/>
    <xf numFmtId="0" fontId="22" fillId="0" borderId="29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0" fillId="0" borderId="61" xfId="0" applyBorder="1"/>
    <xf numFmtId="0" fontId="0" fillId="0" borderId="59" xfId="0" applyBorder="1"/>
    <xf numFmtId="164" fontId="0" fillId="0" borderId="62" xfId="0" applyNumberFormat="1" applyBorder="1" applyAlignment="1">
      <alignment horizontal="center"/>
    </xf>
    <xf numFmtId="164" fontId="3" fillId="0" borderId="63" xfId="0" applyNumberFormat="1" applyFont="1" applyBorder="1"/>
    <xf numFmtId="170" fontId="3" fillId="0" borderId="37" xfId="0" applyNumberFormat="1" applyFont="1" applyBorder="1" applyAlignment="1">
      <alignment horizontal="center"/>
    </xf>
    <xf numFmtId="169" fontId="3" fillId="0" borderId="64" xfId="0" applyNumberFormat="1" applyFont="1" applyBorder="1" applyAlignment="1">
      <alignment horizontal="center"/>
    </xf>
    <xf numFmtId="0" fontId="0" fillId="0" borderId="65" xfId="0" applyBorder="1"/>
    <xf numFmtId="1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wrapText="1"/>
    </xf>
    <xf numFmtId="169" fontId="3" fillId="0" borderId="0" xfId="0" applyNumberFormat="1" applyFont="1" applyBorder="1"/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wrapText="1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wrapText="1"/>
    </xf>
    <xf numFmtId="0" fontId="3" fillId="0" borderId="0" xfId="0" applyFont="1" applyFill="1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3" fillId="0" borderId="13" xfId="0" applyNumberFormat="1" applyFont="1" applyBorder="1"/>
    <xf numFmtId="1" fontId="0" fillId="0" borderId="20" xfId="0" applyNumberFormat="1" applyBorder="1" applyAlignment="1">
      <alignment wrapText="1"/>
    </xf>
    <xf numFmtId="1" fontId="0" fillId="0" borderId="22" xfId="0" applyNumberFormat="1" applyBorder="1" applyAlignment="1">
      <alignment horizontal="center"/>
    </xf>
    <xf numFmtId="22" fontId="0" fillId="0" borderId="19" xfId="0" applyNumberFormat="1" applyBorder="1"/>
    <xf numFmtId="20" fontId="0" fillId="2" borderId="9" xfId="0" applyNumberFormat="1" applyFill="1" applyBorder="1"/>
    <xf numFmtId="164" fontId="5" fillId="0" borderId="1" xfId="0" applyNumberFormat="1" applyFont="1" applyBorder="1"/>
    <xf numFmtId="169" fontId="5" fillId="0" borderId="1" xfId="0" applyNumberFormat="1" applyFont="1" applyFill="1" applyBorder="1" applyAlignment="1">
      <alignment horizontal="center"/>
    </xf>
    <xf numFmtId="169" fontId="0" fillId="0" borderId="57" xfId="0" applyNumberFormat="1" applyFill="1" applyBorder="1"/>
    <xf numFmtId="169" fontId="0" fillId="0" borderId="58" xfId="0" applyNumberFormat="1" applyFill="1" applyBorder="1"/>
    <xf numFmtId="0" fontId="21" fillId="0" borderId="66" xfId="0" applyFont="1" applyBorder="1" applyAlignment="1">
      <alignment horizontal="center"/>
    </xf>
    <xf numFmtId="0" fontId="21" fillId="0" borderId="67" xfId="0" applyFont="1" applyBorder="1" applyAlignment="1">
      <alignment horizontal="center"/>
    </xf>
    <xf numFmtId="22" fontId="0" fillId="2" borderId="0" xfId="0" applyNumberFormat="1" applyFill="1"/>
    <xf numFmtId="164" fontId="5" fillId="0" borderId="49" xfId="0" applyNumberFormat="1" applyFont="1" applyBorder="1" applyAlignment="1">
      <alignment horizontal="center"/>
    </xf>
    <xf numFmtId="169" fontId="5" fillId="0" borderId="49" xfId="0" applyNumberFormat="1" applyFont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/>
    <xf numFmtId="164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9" fontId="3" fillId="0" borderId="18" xfId="0" applyNumberFormat="1" applyFont="1" applyBorder="1"/>
    <xf numFmtId="170" fontId="5" fillId="0" borderId="1" xfId="0" applyNumberFormat="1" applyFont="1" applyFill="1" applyBorder="1" applyAlignment="1">
      <alignment horizontal="center"/>
    </xf>
    <xf numFmtId="0" fontId="8" fillId="2" borderId="22" xfId="0" applyFont="1" applyFill="1" applyBorder="1"/>
    <xf numFmtId="0" fontId="6" fillId="2" borderId="19" xfId="0" applyFont="1" applyFill="1" applyBorder="1"/>
    <xf numFmtId="0" fontId="6" fillId="2" borderId="27" xfId="0" applyFont="1" applyFill="1" applyBorder="1"/>
    <xf numFmtId="0" fontId="0" fillId="0" borderId="1" xfId="0" applyBorder="1" applyAlignment="1"/>
    <xf numFmtId="1" fontId="3" fillId="0" borderId="1" xfId="0" applyNumberFormat="1" applyFont="1" applyFill="1" applyBorder="1"/>
    <xf numFmtId="0" fontId="0" fillId="0" borderId="25" xfId="0" applyBorder="1"/>
    <xf numFmtId="0" fontId="0" fillId="0" borderId="1" xfId="0" applyBorder="1" applyAlignment="1">
      <alignment horizontal="center" wrapText="1"/>
    </xf>
    <xf numFmtId="1" fontId="0" fillId="0" borderId="18" xfId="0" applyNumberFormat="1" applyBorder="1" applyAlignment="1">
      <alignment horizontal="center"/>
    </xf>
    <xf numFmtId="1" fontId="0" fillId="0" borderId="18" xfId="0" applyNumberFormat="1" applyBorder="1" applyAlignment="1">
      <alignment wrapText="1"/>
    </xf>
    <xf numFmtId="0" fontId="0" fillId="0" borderId="0" xfId="0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wrapText="1"/>
    </xf>
    <xf numFmtId="169" fontId="3" fillId="0" borderId="1" xfId="0" applyNumberFormat="1" applyFon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70" fontId="3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" fontId="5" fillId="0" borderId="1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0" fillId="2" borderId="0" xfId="0" applyFill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1" xfId="0" applyNumberFormat="1" applyFill="1" applyBorder="1" applyAlignment="1">
      <alignment horizontal="center"/>
    </xf>
    <xf numFmtId="0" fontId="23" fillId="2" borderId="0" xfId="0" applyFont="1" applyFill="1"/>
    <xf numFmtId="0" fontId="24" fillId="2" borderId="0" xfId="0" applyFont="1" applyFill="1" applyBorder="1"/>
    <xf numFmtId="0" fontId="25" fillId="2" borderId="27" xfId="0" applyFont="1" applyFill="1" applyBorder="1"/>
    <xf numFmtId="0" fontId="26" fillId="2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0" xfId="0" applyBorder="1" applyAlignment="1"/>
    <xf numFmtId="20" fontId="3" fillId="0" borderId="13" xfId="0" applyNumberFormat="1" applyFont="1" applyBorder="1" applyAlignment="1">
      <alignment horizontal="center"/>
    </xf>
    <xf numFmtId="0" fontId="27" fillId="2" borderId="0" xfId="0" applyFont="1" applyFill="1"/>
    <xf numFmtId="1" fontId="1" fillId="0" borderId="1" xfId="0" applyNumberFormat="1" applyFont="1" applyFill="1" applyBorder="1"/>
    <xf numFmtId="169" fontId="0" fillId="0" borderId="9" xfId="0" applyNumberFormat="1" applyFill="1" applyBorder="1"/>
    <xf numFmtId="0" fontId="0" fillId="2" borderId="0" xfId="0" applyFill="1" applyBorder="1" applyAlignment="1">
      <alignment horizontal="center" vertical="center"/>
    </xf>
    <xf numFmtId="169" fontId="0" fillId="2" borderId="1" xfId="0" applyNumberFormat="1" applyFill="1" applyBorder="1"/>
    <xf numFmtId="169" fontId="0" fillId="0" borderId="44" xfId="0" applyNumberFormat="1" applyFill="1" applyBorder="1"/>
    <xf numFmtId="0" fontId="0" fillId="0" borderId="26" xfId="0" applyBorder="1"/>
    <xf numFmtId="1" fontId="0" fillId="0" borderId="18" xfId="0" applyNumberFormat="1" applyBorder="1"/>
    <xf numFmtId="0" fontId="0" fillId="0" borderId="68" xfId="0" applyBorder="1"/>
    <xf numFmtId="0" fontId="22" fillId="0" borderId="66" xfId="0" applyFont="1" applyBorder="1" applyAlignment="1">
      <alignment horizontal="center"/>
    </xf>
    <xf numFmtId="169" fontId="5" fillId="0" borderId="62" xfId="0" applyNumberFormat="1" applyFont="1" applyFill="1" applyBorder="1" applyAlignment="1">
      <alignment horizontal="center"/>
    </xf>
    <xf numFmtId="20" fontId="3" fillId="0" borderId="13" xfId="0" applyNumberFormat="1" applyFont="1" applyFill="1" applyBorder="1" applyAlignment="1">
      <alignment horizontal="center"/>
    </xf>
    <xf numFmtId="169" fontId="0" fillId="2" borderId="0" xfId="0" applyNumberFormat="1" applyFill="1"/>
    <xf numFmtId="169" fontId="3" fillId="0" borderId="13" xfId="0" applyNumberFormat="1" applyFont="1" applyFill="1" applyBorder="1" applyAlignment="1">
      <alignment horizontal="center"/>
    </xf>
    <xf numFmtId="164" fontId="5" fillId="0" borderId="13" xfId="0" applyNumberFormat="1" applyFont="1" applyBorder="1"/>
    <xf numFmtId="169" fontId="5" fillId="2" borderId="13" xfId="0" applyNumberFormat="1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0" fontId="0" fillId="0" borderId="7" xfId="0" applyFill="1" applyBorder="1"/>
    <xf numFmtId="164" fontId="0" fillId="0" borderId="49" xfId="0" applyNumberFormat="1" applyBorder="1"/>
    <xf numFmtId="0" fontId="0" fillId="0" borderId="13" xfId="0" applyNumberFormat="1" applyFill="1" applyBorder="1"/>
    <xf numFmtId="0" fontId="30" fillId="0" borderId="1" xfId="0" applyFont="1" applyFill="1" applyBorder="1"/>
    <xf numFmtId="164" fontId="3" fillId="0" borderId="18" xfId="0" applyNumberFormat="1" applyFont="1" applyBorder="1" applyAlignment="1">
      <alignment horizontal="center"/>
    </xf>
    <xf numFmtId="0" fontId="12" fillId="4" borderId="6" xfId="0" applyFont="1" applyFill="1" applyBorder="1" applyAlignment="1">
      <alignment vertical="center"/>
    </xf>
    <xf numFmtId="0" fontId="3" fillId="3" borderId="63" xfId="0" applyFont="1" applyFill="1" applyBorder="1" applyAlignment="1">
      <alignment horizontal="center"/>
    </xf>
    <xf numFmtId="169" fontId="0" fillId="5" borderId="64" xfId="0" applyNumberFormat="1" applyFill="1" applyBorder="1" applyAlignment="1">
      <alignment horizontal="left"/>
    </xf>
    <xf numFmtId="0" fontId="12" fillId="4" borderId="24" xfId="0" applyFont="1" applyFill="1" applyBorder="1" applyAlignment="1">
      <alignment vertical="center"/>
    </xf>
    <xf numFmtId="22" fontId="12" fillId="4" borderId="13" xfId="0" applyNumberFormat="1" applyFont="1" applyFill="1" applyBorder="1" applyAlignment="1">
      <alignment vertical="center"/>
    </xf>
    <xf numFmtId="0" fontId="12" fillId="6" borderId="24" xfId="0" applyFont="1" applyFill="1" applyBorder="1" applyAlignment="1">
      <alignment vertical="center"/>
    </xf>
    <xf numFmtId="22" fontId="12" fillId="6" borderId="13" xfId="0" applyNumberFormat="1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2" fillId="7" borderId="16" xfId="0" applyFont="1" applyFill="1" applyBorder="1" applyAlignment="1">
      <alignment vertical="center"/>
    </xf>
    <xf numFmtId="0" fontId="12" fillId="7" borderId="24" xfId="0" applyFont="1" applyFill="1" applyBorder="1" applyAlignment="1">
      <alignment vertical="center"/>
    </xf>
    <xf numFmtId="22" fontId="12" fillId="7" borderId="13" xfId="0" applyNumberFormat="1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24" xfId="0" applyFont="1" applyFill="1" applyBorder="1" applyAlignment="1">
      <alignment vertical="center"/>
    </xf>
    <xf numFmtId="22" fontId="12" fillId="8" borderId="13" xfId="0" applyNumberFormat="1" applyFont="1" applyFill="1" applyBorder="1" applyAlignment="1">
      <alignment vertical="center"/>
    </xf>
    <xf numFmtId="0" fontId="10" fillId="9" borderId="29" xfId="0" applyFont="1" applyFill="1" applyBorder="1" applyAlignment="1">
      <alignment horizontal="center" vertical="center"/>
    </xf>
    <xf numFmtId="0" fontId="10" fillId="9" borderId="61" xfId="0" applyFont="1" applyFill="1" applyBorder="1" applyAlignment="1">
      <alignment horizontal="center" vertical="center"/>
    </xf>
    <xf numFmtId="0" fontId="10" fillId="9" borderId="59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23" fillId="4" borderId="1" xfId="0" applyFont="1" applyFill="1" applyBorder="1"/>
    <xf numFmtId="0" fontId="0" fillId="10" borderId="1" xfId="0" applyFill="1" applyBorder="1"/>
    <xf numFmtId="0" fontId="0" fillId="4" borderId="4" xfId="0" applyFill="1" applyBorder="1"/>
    <xf numFmtId="0" fontId="0" fillId="10" borderId="10" xfId="0" applyFill="1" applyBorder="1"/>
    <xf numFmtId="0" fontId="0" fillId="11" borderId="1" xfId="0" applyFill="1" applyBorder="1"/>
    <xf numFmtId="0" fontId="31" fillId="2" borderId="0" xfId="0" applyFont="1" applyFill="1"/>
    <xf numFmtId="0" fontId="3" fillId="0" borderId="18" xfId="0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wrapText="1"/>
    </xf>
    <xf numFmtId="169" fontId="3" fillId="0" borderId="68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wrapText="1"/>
    </xf>
    <xf numFmtId="164" fontId="3" fillId="0" borderId="13" xfId="0" applyNumberFormat="1" applyFont="1" applyFill="1" applyBorder="1"/>
    <xf numFmtId="169" fontId="3" fillId="0" borderId="1" xfId="0" applyNumberFormat="1" applyFont="1" applyFill="1" applyBorder="1"/>
    <xf numFmtId="0" fontId="14" fillId="0" borderId="21" xfId="0" applyFont="1" applyBorder="1"/>
    <xf numFmtId="0" fontId="0" fillId="0" borderId="22" xfId="0" applyBorder="1"/>
    <xf numFmtId="0" fontId="8" fillId="2" borderId="25" xfId="0" applyFont="1" applyFill="1" applyBorder="1"/>
    <xf numFmtId="0" fontId="8" fillId="2" borderId="24" xfId="0" applyFont="1" applyFill="1" applyBorder="1"/>
    <xf numFmtId="170" fontId="3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2" fontId="0" fillId="4" borderId="70" xfId="0" applyNumberFormat="1" applyFill="1" applyBorder="1"/>
    <xf numFmtId="22" fontId="0" fillId="10" borderId="12" xfId="0" applyNumberFormat="1" applyFill="1" applyBorder="1"/>
    <xf numFmtId="14" fontId="0" fillId="0" borderId="7" xfId="0" applyNumberFormat="1" applyFill="1" applyBorder="1" applyAlignment="1">
      <alignment horizontal="center"/>
    </xf>
    <xf numFmtId="0" fontId="3" fillId="0" borderId="0" xfId="0" applyFont="1" applyFill="1"/>
    <xf numFmtId="0" fontId="0" fillId="0" borderId="18" xfId="0" applyFill="1" applyBorder="1"/>
    <xf numFmtId="14" fontId="0" fillId="0" borderId="13" xfId="0" applyNumberFormat="1" applyFill="1" applyBorder="1" applyAlignment="1">
      <alignment horizontal="center"/>
    </xf>
    <xf numFmtId="0" fontId="35" fillId="0" borderId="0" xfId="0" applyFont="1" applyAlignment="1">
      <alignment wrapText="1"/>
    </xf>
    <xf numFmtId="0" fontId="35" fillId="0" borderId="80" xfId="0" applyFont="1" applyBorder="1" applyAlignment="1">
      <alignment wrapText="1"/>
    </xf>
    <xf numFmtId="0" fontId="35" fillId="0" borderId="81" xfId="0" applyFont="1" applyBorder="1" applyAlignment="1">
      <alignment wrapText="1"/>
    </xf>
    <xf numFmtId="0" fontId="35" fillId="0" borderId="82" xfId="0" applyFont="1" applyBorder="1" applyAlignment="1">
      <alignment wrapText="1"/>
    </xf>
    <xf numFmtId="1" fontId="0" fillId="12" borderId="1" xfId="0" applyNumberFormat="1" applyFill="1" applyBorder="1" applyAlignment="1">
      <alignment horizontal="center"/>
    </xf>
    <xf numFmtId="170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0" fontId="33" fillId="0" borderId="0" xfId="0" applyFont="1"/>
    <xf numFmtId="164" fontId="33" fillId="0" borderId="0" xfId="0" applyNumberFormat="1" applyFont="1" applyBorder="1" applyAlignment="1">
      <alignment horizontal="center"/>
    </xf>
    <xf numFmtId="164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70" fontId="33" fillId="0" borderId="0" xfId="0" applyNumberFormat="1" applyFont="1" applyFill="1" applyBorder="1" applyAlignment="1">
      <alignment horizontal="center"/>
    </xf>
    <xf numFmtId="169" fontId="33" fillId="0" borderId="0" xfId="0" applyNumberFormat="1" applyFont="1" applyFill="1" applyBorder="1" applyAlignment="1">
      <alignment horizontal="center"/>
    </xf>
    <xf numFmtId="0" fontId="33" fillId="0" borderId="0" xfId="0" applyFont="1" applyFill="1"/>
    <xf numFmtId="0" fontId="0" fillId="12" borderId="1" xfId="0" applyFill="1" applyBorder="1"/>
    <xf numFmtId="0" fontId="3" fillId="12" borderId="6" xfId="0" applyFont="1" applyFill="1" applyBorder="1"/>
    <xf numFmtId="170" fontId="0" fillId="0" borderId="1" xfId="0" applyNumberFormat="1" applyBorder="1"/>
    <xf numFmtId="20" fontId="0" fillId="0" borderId="1" xfId="0" applyNumberFormat="1" applyBorder="1"/>
    <xf numFmtId="0" fontId="14" fillId="2" borderId="21" xfId="0" applyFont="1" applyFill="1" applyBorder="1"/>
    <xf numFmtId="0" fontId="14" fillId="2" borderId="23" xfId="0" applyFont="1" applyFill="1" applyBorder="1"/>
    <xf numFmtId="0" fontId="34" fillId="0" borderId="0" xfId="0" applyFont="1" applyAlignment="1">
      <alignment horizontal="justify" vertical="center"/>
    </xf>
    <xf numFmtId="1" fontId="0" fillId="12" borderId="1" xfId="0" applyNumberFormat="1" applyFill="1" applyBorder="1" applyAlignment="1">
      <alignment wrapText="1"/>
    </xf>
    <xf numFmtId="0" fontId="0" fillId="0" borderId="71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3" fillId="12" borderId="2" xfId="0" applyNumberFormat="1" applyFont="1" applyFill="1" applyBorder="1" applyAlignment="1">
      <alignment horizontal="center"/>
    </xf>
    <xf numFmtId="164" fontId="0" fillId="13" borderId="13" xfId="0" applyNumberFormat="1" applyFill="1" applyBorder="1" applyAlignment="1">
      <alignment horizontal="center"/>
    </xf>
    <xf numFmtId="0" fontId="3" fillId="13" borderId="0" xfId="0" applyFont="1" applyFill="1"/>
    <xf numFmtId="170" fontId="3" fillId="12" borderId="1" xfId="0" applyNumberFormat="1" applyFont="1" applyFill="1" applyBorder="1" applyAlignment="1">
      <alignment horizontal="center"/>
    </xf>
    <xf numFmtId="169" fontId="3" fillId="12" borderId="13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1" fontId="3" fillId="12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12" borderId="7" xfId="0" applyNumberFormat="1" applyFill="1" applyBorder="1" applyAlignment="1">
      <alignment horizontal="center"/>
    </xf>
    <xf numFmtId="0" fontId="3" fillId="12" borderId="0" xfId="0" applyFont="1" applyFill="1"/>
    <xf numFmtId="1" fontId="0" fillId="12" borderId="13" xfId="0" applyNumberFormat="1" applyFill="1" applyBorder="1" applyAlignment="1">
      <alignment wrapText="1"/>
    </xf>
    <xf numFmtId="1" fontId="3" fillId="12" borderId="1" xfId="0" applyNumberFormat="1" applyFont="1" applyFill="1" applyBorder="1" applyAlignment="1">
      <alignment wrapText="1"/>
    </xf>
    <xf numFmtId="164" fontId="0" fillId="12" borderId="13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21" fillId="2" borderId="74" xfId="0" applyFont="1" applyFill="1" applyBorder="1" applyAlignment="1" applyProtection="1">
      <alignment horizontal="left"/>
      <protection locked="0"/>
    </xf>
    <xf numFmtId="0" fontId="21" fillId="2" borderId="75" xfId="0" applyFont="1" applyFill="1" applyBorder="1" applyAlignment="1" applyProtection="1">
      <alignment horizontal="left"/>
      <protection locked="0"/>
    </xf>
    <xf numFmtId="0" fontId="21" fillId="2" borderId="76" xfId="0" applyFont="1" applyFill="1" applyBorder="1" applyAlignment="1" applyProtection="1">
      <alignment horizontal="left"/>
      <protection locked="0"/>
    </xf>
    <xf numFmtId="0" fontId="0" fillId="2" borderId="74" xfId="0" applyFill="1" applyBorder="1" applyAlignment="1" applyProtection="1">
      <alignment horizontal="left"/>
      <protection locked="0"/>
    </xf>
    <xf numFmtId="0" fontId="0" fillId="2" borderId="75" xfId="0" applyFill="1" applyBorder="1" applyAlignment="1" applyProtection="1">
      <alignment horizontal="left"/>
      <protection locked="0"/>
    </xf>
    <xf numFmtId="0" fontId="0" fillId="2" borderId="76" xfId="0" applyFill="1" applyBorder="1" applyAlignment="1" applyProtection="1">
      <alignment horizontal="left"/>
      <protection locked="0"/>
    </xf>
    <xf numFmtId="0" fontId="0" fillId="2" borderId="77" xfId="0" applyFill="1" applyBorder="1" applyAlignment="1">
      <alignment horizontal="right"/>
    </xf>
    <xf numFmtId="0" fontId="0" fillId="2" borderId="78" xfId="0" applyFill="1" applyBorder="1" applyAlignment="1">
      <alignment horizontal="right"/>
    </xf>
    <xf numFmtId="22" fontId="0" fillId="2" borderId="5" xfId="0" applyNumberFormat="1" applyFill="1" applyBorder="1" applyAlignment="1">
      <alignment horizontal="center"/>
    </xf>
    <xf numFmtId="22" fontId="0" fillId="2" borderId="44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Alignment="1">
      <alignment horizontal="right"/>
    </xf>
    <xf numFmtId="22" fontId="0" fillId="2" borderId="70" xfId="0" applyNumberFormat="1" applyFill="1" applyBorder="1" applyAlignment="1">
      <alignment horizontal="center"/>
    </xf>
    <xf numFmtId="22" fontId="0" fillId="2" borderId="8" xfId="0" applyNumberFormat="1" applyFill="1" applyBorder="1" applyAlignment="1">
      <alignment horizontal="center"/>
    </xf>
    <xf numFmtId="22" fontId="0" fillId="2" borderId="12" xfId="0" applyNumberFormat="1" applyFill="1" applyBorder="1" applyAlignment="1">
      <alignment horizontal="center"/>
    </xf>
    <xf numFmtId="22" fontId="0" fillId="2" borderId="9" xfId="0" applyNumberForma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22" fontId="21" fillId="2" borderId="5" xfId="0" applyNumberFormat="1" applyFont="1" applyFill="1" applyBorder="1" applyAlignment="1">
      <alignment horizontal="center"/>
    </xf>
    <xf numFmtId="22" fontId="21" fillId="2" borderId="44" xfId="0" applyNumberFormat="1" applyFont="1" applyFill="1" applyBorder="1" applyAlignment="1">
      <alignment horizontal="center"/>
    </xf>
    <xf numFmtId="22" fontId="21" fillId="2" borderId="8" xfId="0" applyNumberFormat="1" applyFont="1" applyFill="1" applyBorder="1" applyAlignment="1">
      <alignment horizontal="center"/>
    </xf>
    <xf numFmtId="22" fontId="21" fillId="2" borderId="9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0" fillId="2" borderId="70" xfId="0" applyFill="1" applyBorder="1" applyAlignment="1">
      <alignment horizontal="left"/>
    </xf>
    <xf numFmtId="22" fontId="0" fillId="2" borderId="29" xfId="0" applyNumberFormat="1" applyFill="1" applyBorder="1" applyAlignment="1">
      <alignment horizontal="center"/>
    </xf>
    <xf numFmtId="22" fontId="0" fillId="2" borderId="79" xfId="0" applyNumberFormat="1" applyFill="1" applyBorder="1" applyAlignment="1">
      <alignment horizontal="center"/>
    </xf>
    <xf numFmtId="22" fontId="0" fillId="2" borderId="3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3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/>
    </xf>
    <xf numFmtId="16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Porcentajes de Ha Si y Ha No por hijuelas</a:t>
            </a:r>
          </a:p>
        </c:rich>
      </c:tx>
      <c:layout>
        <c:manualLayout>
          <c:xMode val="edge"/>
          <c:yMode val="edge"/>
          <c:x val="0.33382352941176469"/>
          <c:y val="3.1746031746031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764705882353"/>
          <c:y val="0.16137607829054618"/>
          <c:w val="0.78823529411764703"/>
          <c:h val="0.41005396942679767"/>
        </c:manualLayout>
      </c:layout>
      <c:barChart>
        <c:barDir val="col"/>
        <c:grouping val="percentStacked"/>
        <c:varyColors val="0"/>
        <c:ser>
          <c:idx val="0"/>
          <c:order val="0"/>
          <c:tx>
            <c:v>Ha Si</c:v>
          </c:tx>
          <c:spPr>
            <a:gradFill rotWithShape="0">
              <a:gsLst>
                <a:gs pos="0">
                  <a:srgbClr val="00FFFF"/>
                </a:gs>
                <a:gs pos="100000">
                  <a:srgbClr val="00FFFF">
                    <a:gamma/>
                    <a:tint val="96863"/>
                    <a:invGamma/>
                  </a:srgbClr>
                </a:gs>
              </a:gsLst>
              <a:path path="rect">
                <a:fillToRect l="50000" t="50000" r="50000" b="5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Hijuelas!$B$10:$B$22</c:f>
              <c:strCache>
                <c:ptCount val="13"/>
                <c:pt idx="0">
                  <c:v>Solanilla Completa</c:v>
                </c:pt>
                <c:pt idx="1">
                  <c:v>La Paloma</c:v>
                </c:pt>
                <c:pt idx="2">
                  <c:v>Perfoga ESTE</c:v>
                </c:pt>
                <c:pt idx="3">
                  <c:v>El Plumero</c:v>
                </c:pt>
                <c:pt idx="4">
                  <c:v>1ra. El Carmen</c:v>
                </c:pt>
                <c:pt idx="5">
                  <c:v>Vargas</c:v>
                </c:pt>
                <c:pt idx="6">
                  <c:v>2da. El Carmen (ramo 1)</c:v>
                </c:pt>
                <c:pt idx="7">
                  <c:v>Solanilla Crispin</c:v>
                </c:pt>
                <c:pt idx="8">
                  <c:v>Tres Hermanos</c:v>
                </c:pt>
                <c:pt idx="9">
                  <c:v>Ortega</c:v>
                </c:pt>
                <c:pt idx="10">
                  <c:v>El Guindo</c:v>
                </c:pt>
                <c:pt idx="11">
                  <c:v>San Eduardo (2 cuadros)</c:v>
                </c:pt>
                <c:pt idx="12">
                  <c:v>Confín</c:v>
                </c:pt>
              </c:strCache>
            </c:strRef>
          </c:cat>
          <c:val>
            <c:numRef>
              <c:f>Hijuelas!$J$10:$J$22</c:f>
              <c:numCache>
                <c:formatCode>0%</c:formatCode>
                <c:ptCount val="13"/>
                <c:pt idx="0">
                  <c:v>0</c:v>
                </c:pt>
                <c:pt idx="1">
                  <c:v>0.88538256026046658</c:v>
                </c:pt>
                <c:pt idx="2">
                  <c:v>0.76446245482498565</c:v>
                </c:pt>
                <c:pt idx="3">
                  <c:v>0.42999816911538363</c:v>
                </c:pt>
                <c:pt idx="4">
                  <c:v>0.57258413729984214</c:v>
                </c:pt>
                <c:pt idx="5">
                  <c:v>0.64318151215242714</c:v>
                </c:pt>
                <c:pt idx="6">
                  <c:v>0.63757693916271052</c:v>
                </c:pt>
                <c:pt idx="7">
                  <c:v>0.78505374163455688</c:v>
                </c:pt>
                <c:pt idx="8">
                  <c:v>0.78469399210624535</c:v>
                </c:pt>
                <c:pt idx="9">
                  <c:v>0.80000000000000016</c:v>
                </c:pt>
                <c:pt idx="10">
                  <c:v>0.72772583444569605</c:v>
                </c:pt>
                <c:pt idx="11">
                  <c:v>0.72345739279492505</c:v>
                </c:pt>
                <c:pt idx="12">
                  <c:v>0.71517488502017668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A-4EA8-9A77-25E41E048F69}"/>
            </c:ext>
          </c:extLst>
        </c:ser>
        <c:ser>
          <c:idx val="1"/>
          <c:order val="1"/>
          <c:tx>
            <c:v>ha No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0000">
                    <a:gamma/>
                    <a:tint val="83922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Hijuelas!$B$10:$B$22</c:f>
              <c:strCache>
                <c:ptCount val="13"/>
                <c:pt idx="0">
                  <c:v>Solanilla Completa</c:v>
                </c:pt>
                <c:pt idx="1">
                  <c:v>La Paloma</c:v>
                </c:pt>
                <c:pt idx="2">
                  <c:v>Perfoga ESTE</c:v>
                </c:pt>
                <c:pt idx="3">
                  <c:v>El Plumero</c:v>
                </c:pt>
                <c:pt idx="4">
                  <c:v>1ra. El Carmen</c:v>
                </c:pt>
                <c:pt idx="5">
                  <c:v>Vargas</c:v>
                </c:pt>
                <c:pt idx="6">
                  <c:v>2da. El Carmen (ramo 1)</c:v>
                </c:pt>
                <c:pt idx="7">
                  <c:v>Solanilla Crispin</c:v>
                </c:pt>
                <c:pt idx="8">
                  <c:v>Tres Hermanos</c:v>
                </c:pt>
                <c:pt idx="9">
                  <c:v>Ortega</c:v>
                </c:pt>
                <c:pt idx="10">
                  <c:v>El Guindo</c:v>
                </c:pt>
                <c:pt idx="11">
                  <c:v>San Eduardo (2 cuadros)</c:v>
                </c:pt>
                <c:pt idx="12">
                  <c:v>Confín</c:v>
                </c:pt>
              </c:strCache>
            </c:strRef>
          </c:cat>
          <c:val>
            <c:numRef>
              <c:f>Hijuelas!$K$10:$K$22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A-4EA8-9A77-25E41E04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979983"/>
        <c:axId val="1"/>
      </c:barChart>
      <c:catAx>
        <c:axId val="33097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Hijuelas</a:t>
                </a:r>
              </a:p>
            </c:rich>
          </c:tx>
          <c:layout>
            <c:manualLayout>
              <c:xMode val="edge"/>
              <c:yMode val="edge"/>
              <c:x val="0.47647058823529409"/>
              <c:y val="0.90476412670638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6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1904767459623102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799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9205882352941176"/>
          <c:y val="0.32275215598050244"/>
          <c:w val="0.98823529411764699"/>
          <c:h val="0.42592703689816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Estado de Deuda General</a:t>
            </a:r>
          </a:p>
        </c:rich>
      </c:tx>
      <c:layout>
        <c:manualLayout>
          <c:xMode val="edge"/>
          <c:yMode val="edge"/>
          <c:x val="0.15481171548117154"/>
          <c:y val="3.1662269129287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25523012552302"/>
          <c:y val="0.16886565291274958"/>
          <c:w val="0.35564853556485354"/>
          <c:h val="0.659631456690428"/>
        </c:manualLayout>
      </c:layout>
      <c:barChart>
        <c:barDir val="col"/>
        <c:grouping val="stacked"/>
        <c:varyColors val="0"/>
        <c:ser>
          <c:idx val="0"/>
          <c:order val="0"/>
          <c:tx>
            <c:v>Ha Si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Hijuelas!$G$23</c:f>
              <c:numCache>
                <c:formatCode>[h]</c:formatCode>
                <c:ptCount val="1"/>
                <c:pt idx="0">
                  <c:v>1.6949948351957931</c:v>
                </c:pt>
              </c:numCache>
            </c:numRef>
          </c:cat>
          <c:val>
            <c:numRef>
              <c:f>Hijuelas!$J$23</c:f>
              <c:numCache>
                <c:formatCode>0%</c:formatCode>
                <c:ptCount val="1"/>
                <c:pt idx="0">
                  <c:v>0.79503564483221612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159-A21B-E1B174C2F4F6}"/>
            </c:ext>
          </c:extLst>
        </c:ser>
        <c:ser>
          <c:idx val="1"/>
          <c:order val="1"/>
          <c:tx>
            <c:v>Ha No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Hijuelas!$G$23</c:f>
              <c:numCache>
                <c:formatCode>[h]</c:formatCode>
                <c:ptCount val="1"/>
                <c:pt idx="0">
                  <c:v>1.6949948351957931</c:v>
                </c:pt>
              </c:numCache>
            </c:numRef>
          </c:cat>
          <c:val>
            <c:numRef>
              <c:f>Hijuelas!$K$23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159-A21B-E1B174C2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982479"/>
        <c:axId val="1"/>
      </c:barChart>
      <c:catAx>
        <c:axId val="3309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Canal</a:t>
                </a:r>
              </a:p>
            </c:rich>
          </c:tx>
          <c:layout>
            <c:manualLayout>
              <c:xMode val="edge"/>
              <c:yMode val="edge"/>
              <c:x val="0.39330543933054396"/>
              <c:y val="0.89973725579817032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6.6945606694560664E-2"/>
              <c:y val="0.456464933967686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82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292887029288698"/>
          <c:y val="0.43799527697560231"/>
          <c:w val="0.96652719665271958"/>
          <c:h val="0.56200610807554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28575</xdr:rowOff>
    </xdr:from>
    <xdr:to>
      <xdr:col>9</xdr:col>
      <xdr:colOff>447675</xdr:colOff>
      <xdr:row>3</xdr:row>
      <xdr:rowOff>142875</xdr:rowOff>
    </xdr:to>
    <xdr:sp macro="" textlink="">
      <xdr:nvSpPr>
        <xdr:cNvPr id="2055" name="CommandButton1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B2252A0E-CBA4-448E-A472-3F0070EDE0D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600075</xdr:colOff>
      <xdr:row>3</xdr:row>
      <xdr:rowOff>123825</xdr:rowOff>
    </xdr:to>
    <xdr:pic>
      <xdr:nvPicPr>
        <xdr:cNvPr id="1590908" name="Picture 1" descr="LOGO DGI">
          <a:extLst>
            <a:ext uri="{FF2B5EF4-FFF2-40B4-BE49-F238E27FC236}">
              <a16:creationId xmlns:a16="http://schemas.microsoft.com/office/drawing/2014/main" id="{E81EEC2B-E316-4DDB-ACA8-0D9A87B34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09" name="Picture 20" descr="LOGO DGI">
          <a:extLst>
            <a:ext uri="{FF2B5EF4-FFF2-40B4-BE49-F238E27FC236}">
              <a16:creationId xmlns:a16="http://schemas.microsoft.com/office/drawing/2014/main" id="{AC1284A3-B5FB-4CD7-9A96-64E68F9A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0" name="Picture 21" descr="LOGO DGI">
          <a:extLst>
            <a:ext uri="{FF2B5EF4-FFF2-40B4-BE49-F238E27FC236}">
              <a16:creationId xmlns:a16="http://schemas.microsoft.com/office/drawing/2014/main" id="{40A77471-B177-453D-8A0E-78FDB967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1" name="Picture 22" descr="LOGO DGI">
          <a:extLst>
            <a:ext uri="{FF2B5EF4-FFF2-40B4-BE49-F238E27FC236}">
              <a16:creationId xmlns:a16="http://schemas.microsoft.com/office/drawing/2014/main" id="{6060E072-2F93-454A-9BF5-88777B9CF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2" name="Picture 23" descr="LOGO DGI">
          <a:extLst>
            <a:ext uri="{FF2B5EF4-FFF2-40B4-BE49-F238E27FC236}">
              <a16:creationId xmlns:a16="http://schemas.microsoft.com/office/drawing/2014/main" id="{2DC31AF6-1544-4BB0-9699-8010904C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3" name="Picture 24" descr="LOGO DGI">
          <a:extLst>
            <a:ext uri="{FF2B5EF4-FFF2-40B4-BE49-F238E27FC236}">
              <a16:creationId xmlns:a16="http://schemas.microsoft.com/office/drawing/2014/main" id="{564535AF-9D0D-4256-A7D8-03DB9ACD3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4" name="Picture 25" descr="LOGO DGI">
          <a:extLst>
            <a:ext uri="{FF2B5EF4-FFF2-40B4-BE49-F238E27FC236}">
              <a16:creationId xmlns:a16="http://schemas.microsoft.com/office/drawing/2014/main" id="{AB8DCB47-4BD9-488E-B365-4C93AB55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5" name="Picture 26" descr="LOGO DGI">
          <a:extLst>
            <a:ext uri="{FF2B5EF4-FFF2-40B4-BE49-F238E27FC236}">
              <a16:creationId xmlns:a16="http://schemas.microsoft.com/office/drawing/2014/main" id="{D8AC6A30-BB1D-4368-A49B-14F4462F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6" name="Picture 27" descr="LOGO DGI">
          <a:extLst>
            <a:ext uri="{FF2B5EF4-FFF2-40B4-BE49-F238E27FC236}">
              <a16:creationId xmlns:a16="http://schemas.microsoft.com/office/drawing/2014/main" id="{2858AE99-F1D7-40C8-8A1D-544385C0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7" name="Picture 28" descr="LOGO DGI">
          <a:extLst>
            <a:ext uri="{FF2B5EF4-FFF2-40B4-BE49-F238E27FC236}">
              <a16:creationId xmlns:a16="http://schemas.microsoft.com/office/drawing/2014/main" id="{66693AF4-6268-4470-A3CD-464910A17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8" name="Picture 29" descr="LOGO DGI">
          <a:extLst>
            <a:ext uri="{FF2B5EF4-FFF2-40B4-BE49-F238E27FC236}">
              <a16:creationId xmlns:a16="http://schemas.microsoft.com/office/drawing/2014/main" id="{5E5C8C03-63D3-4922-9BCC-72C7D58A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19" name="Picture 30" descr="LOGO DGI">
          <a:extLst>
            <a:ext uri="{FF2B5EF4-FFF2-40B4-BE49-F238E27FC236}">
              <a16:creationId xmlns:a16="http://schemas.microsoft.com/office/drawing/2014/main" id="{72CC9002-BBB5-49A9-AAA4-4BA3B3534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0" name="Picture 31" descr="LOGO DGI">
          <a:extLst>
            <a:ext uri="{FF2B5EF4-FFF2-40B4-BE49-F238E27FC236}">
              <a16:creationId xmlns:a16="http://schemas.microsoft.com/office/drawing/2014/main" id="{FAD2B35C-DA72-48F0-B185-A2E486F08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1" name="Picture 32" descr="LOGO DGI">
          <a:extLst>
            <a:ext uri="{FF2B5EF4-FFF2-40B4-BE49-F238E27FC236}">
              <a16:creationId xmlns:a16="http://schemas.microsoft.com/office/drawing/2014/main" id="{E64ED385-867D-4F65-93DC-75558CE6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2" name="Picture 33" descr="LOGO DGI">
          <a:extLst>
            <a:ext uri="{FF2B5EF4-FFF2-40B4-BE49-F238E27FC236}">
              <a16:creationId xmlns:a16="http://schemas.microsoft.com/office/drawing/2014/main" id="{92E2B906-7CE0-43E3-B41C-7ECDBF952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3" name="Picture 34" descr="LOGO DGI">
          <a:extLst>
            <a:ext uri="{FF2B5EF4-FFF2-40B4-BE49-F238E27FC236}">
              <a16:creationId xmlns:a16="http://schemas.microsoft.com/office/drawing/2014/main" id="{A8130367-9FEB-497C-8B68-EE48772B0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4" name="Picture 35" descr="LOGO DGI">
          <a:extLst>
            <a:ext uri="{FF2B5EF4-FFF2-40B4-BE49-F238E27FC236}">
              <a16:creationId xmlns:a16="http://schemas.microsoft.com/office/drawing/2014/main" id="{6D2165FD-F3F8-4B16-93CE-17DB07E9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5" name="Picture 36" descr="LOGO DGI">
          <a:extLst>
            <a:ext uri="{FF2B5EF4-FFF2-40B4-BE49-F238E27FC236}">
              <a16:creationId xmlns:a16="http://schemas.microsoft.com/office/drawing/2014/main" id="{600F14D7-696D-467B-BA72-CEE698E5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6" name="Picture 37" descr="LOGO DGI">
          <a:extLst>
            <a:ext uri="{FF2B5EF4-FFF2-40B4-BE49-F238E27FC236}">
              <a16:creationId xmlns:a16="http://schemas.microsoft.com/office/drawing/2014/main" id="{672FA13C-1430-48EA-ADB5-C9910EAE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7" name="Picture 38" descr="LOGO DGI">
          <a:extLst>
            <a:ext uri="{FF2B5EF4-FFF2-40B4-BE49-F238E27FC236}">
              <a16:creationId xmlns:a16="http://schemas.microsoft.com/office/drawing/2014/main" id="{5C2C7CE1-F8BB-49A6-AA8F-1C66D4217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8" name="Picture 39" descr="LOGO DGI">
          <a:extLst>
            <a:ext uri="{FF2B5EF4-FFF2-40B4-BE49-F238E27FC236}">
              <a16:creationId xmlns:a16="http://schemas.microsoft.com/office/drawing/2014/main" id="{C0EFA21C-1FE9-4998-AD48-CB158CB32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29" name="Picture 40" descr="LOGO DGI">
          <a:extLst>
            <a:ext uri="{FF2B5EF4-FFF2-40B4-BE49-F238E27FC236}">
              <a16:creationId xmlns:a16="http://schemas.microsoft.com/office/drawing/2014/main" id="{7903ACF7-7565-42C4-93B7-2C481F0F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0" name="Picture 41" descr="LOGO DGI">
          <a:extLst>
            <a:ext uri="{FF2B5EF4-FFF2-40B4-BE49-F238E27FC236}">
              <a16:creationId xmlns:a16="http://schemas.microsoft.com/office/drawing/2014/main" id="{6A7AEA3E-257B-4B5E-BD02-F002089D9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1" name="Picture 42" descr="LOGO DGI">
          <a:extLst>
            <a:ext uri="{FF2B5EF4-FFF2-40B4-BE49-F238E27FC236}">
              <a16:creationId xmlns:a16="http://schemas.microsoft.com/office/drawing/2014/main" id="{02A855E4-8ED6-41ED-8F7B-DCC82692C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2" name="Picture 43" descr="LOGO DGI">
          <a:extLst>
            <a:ext uri="{FF2B5EF4-FFF2-40B4-BE49-F238E27FC236}">
              <a16:creationId xmlns:a16="http://schemas.microsoft.com/office/drawing/2014/main" id="{AF6ECB75-375A-44C3-8301-7AEA1B89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3" name="Picture 44" descr="LOGO DGI">
          <a:extLst>
            <a:ext uri="{FF2B5EF4-FFF2-40B4-BE49-F238E27FC236}">
              <a16:creationId xmlns:a16="http://schemas.microsoft.com/office/drawing/2014/main" id="{16F597F3-37FF-409C-98CD-6F6723F3F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4" name="Picture 45" descr="LOGO DGI">
          <a:extLst>
            <a:ext uri="{FF2B5EF4-FFF2-40B4-BE49-F238E27FC236}">
              <a16:creationId xmlns:a16="http://schemas.microsoft.com/office/drawing/2014/main" id="{E0245045-C6F0-4CEF-9A06-0939E1EB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35" name="Picture 46" descr="LOGO DGI">
          <a:extLst>
            <a:ext uri="{FF2B5EF4-FFF2-40B4-BE49-F238E27FC236}">
              <a16:creationId xmlns:a16="http://schemas.microsoft.com/office/drawing/2014/main" id="{9C7CBC55-9522-46CD-ABE4-17C594419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36" name="Picture 47" descr="LOGO DGI">
          <a:extLst>
            <a:ext uri="{FF2B5EF4-FFF2-40B4-BE49-F238E27FC236}">
              <a16:creationId xmlns:a16="http://schemas.microsoft.com/office/drawing/2014/main" id="{48BAAB1D-3A00-4376-8DE7-CE673324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37" name="Picture 48" descr="LOGO DGI">
          <a:extLst>
            <a:ext uri="{FF2B5EF4-FFF2-40B4-BE49-F238E27FC236}">
              <a16:creationId xmlns:a16="http://schemas.microsoft.com/office/drawing/2014/main" id="{64E9AF3B-3B10-470D-A01C-238A6466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38" name="Picture 49" descr="LOGO DGI">
          <a:extLst>
            <a:ext uri="{FF2B5EF4-FFF2-40B4-BE49-F238E27FC236}">
              <a16:creationId xmlns:a16="http://schemas.microsoft.com/office/drawing/2014/main" id="{EFEF6E7F-9467-4CD7-A012-630CC5BA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39" name="Picture 50" descr="LOGO DGI">
          <a:extLst>
            <a:ext uri="{FF2B5EF4-FFF2-40B4-BE49-F238E27FC236}">
              <a16:creationId xmlns:a16="http://schemas.microsoft.com/office/drawing/2014/main" id="{4CF0F16C-1655-4D52-B9B4-250644391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0" name="Picture 51" descr="LOGO DGI">
          <a:extLst>
            <a:ext uri="{FF2B5EF4-FFF2-40B4-BE49-F238E27FC236}">
              <a16:creationId xmlns:a16="http://schemas.microsoft.com/office/drawing/2014/main" id="{91774D88-4DA1-4190-A7B1-D4D6D09B5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1" name="Picture 52" descr="LOGO DGI">
          <a:extLst>
            <a:ext uri="{FF2B5EF4-FFF2-40B4-BE49-F238E27FC236}">
              <a16:creationId xmlns:a16="http://schemas.microsoft.com/office/drawing/2014/main" id="{EC7565FE-CC9F-4DD8-A794-082E2E05C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2" name="Picture 53" descr="LOGO DGI">
          <a:extLst>
            <a:ext uri="{FF2B5EF4-FFF2-40B4-BE49-F238E27FC236}">
              <a16:creationId xmlns:a16="http://schemas.microsoft.com/office/drawing/2014/main" id="{36F58CFD-69CC-44E3-B618-B781BE00F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3" name="Picture 54" descr="LOGO DGI">
          <a:extLst>
            <a:ext uri="{FF2B5EF4-FFF2-40B4-BE49-F238E27FC236}">
              <a16:creationId xmlns:a16="http://schemas.microsoft.com/office/drawing/2014/main" id="{6DC69614-BD95-45A0-8A51-491ACE38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4" name="Picture 55" descr="LOGO DGI">
          <a:extLst>
            <a:ext uri="{FF2B5EF4-FFF2-40B4-BE49-F238E27FC236}">
              <a16:creationId xmlns:a16="http://schemas.microsoft.com/office/drawing/2014/main" id="{C4CE2B29-68F6-41C9-BE70-E5420A52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5" name="Picture 56" descr="LOGO DGI">
          <a:extLst>
            <a:ext uri="{FF2B5EF4-FFF2-40B4-BE49-F238E27FC236}">
              <a16:creationId xmlns:a16="http://schemas.microsoft.com/office/drawing/2014/main" id="{118F3200-1EA2-4F12-B299-82E4FF55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6" name="Picture 57" descr="LOGO DGI">
          <a:extLst>
            <a:ext uri="{FF2B5EF4-FFF2-40B4-BE49-F238E27FC236}">
              <a16:creationId xmlns:a16="http://schemas.microsoft.com/office/drawing/2014/main" id="{D239C134-A41B-41AD-B551-EF611CF9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7" name="Picture 58" descr="LOGO DGI">
          <a:extLst>
            <a:ext uri="{FF2B5EF4-FFF2-40B4-BE49-F238E27FC236}">
              <a16:creationId xmlns:a16="http://schemas.microsoft.com/office/drawing/2014/main" id="{DA83560A-F5BB-495B-B7E0-6B2D2909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8" name="Picture 59" descr="LOGO DGI">
          <a:extLst>
            <a:ext uri="{FF2B5EF4-FFF2-40B4-BE49-F238E27FC236}">
              <a16:creationId xmlns:a16="http://schemas.microsoft.com/office/drawing/2014/main" id="{11EFA445-0B29-427F-9980-5706E2C8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49" name="Picture 60" descr="LOGO DGI">
          <a:extLst>
            <a:ext uri="{FF2B5EF4-FFF2-40B4-BE49-F238E27FC236}">
              <a16:creationId xmlns:a16="http://schemas.microsoft.com/office/drawing/2014/main" id="{7174509A-9FBD-42E5-B259-E3690243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0" name="Picture 61" descr="LOGO DGI">
          <a:extLst>
            <a:ext uri="{FF2B5EF4-FFF2-40B4-BE49-F238E27FC236}">
              <a16:creationId xmlns:a16="http://schemas.microsoft.com/office/drawing/2014/main" id="{6FF62E39-E58D-45D1-9E6F-527DE77DD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1" name="Picture 62" descr="LOGO DGI">
          <a:extLst>
            <a:ext uri="{FF2B5EF4-FFF2-40B4-BE49-F238E27FC236}">
              <a16:creationId xmlns:a16="http://schemas.microsoft.com/office/drawing/2014/main" id="{38CDFCDC-6092-4A0B-9085-E6910131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2" name="Picture 63" descr="LOGO DGI">
          <a:extLst>
            <a:ext uri="{FF2B5EF4-FFF2-40B4-BE49-F238E27FC236}">
              <a16:creationId xmlns:a16="http://schemas.microsoft.com/office/drawing/2014/main" id="{834B0C3E-DC83-4173-AF99-472820DA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3" name="Picture 64" descr="LOGO DGI">
          <a:extLst>
            <a:ext uri="{FF2B5EF4-FFF2-40B4-BE49-F238E27FC236}">
              <a16:creationId xmlns:a16="http://schemas.microsoft.com/office/drawing/2014/main" id="{3BA8F8E7-645B-4F2C-BF8A-0E273A04F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4" name="Picture 65" descr="LOGO DGI">
          <a:extLst>
            <a:ext uri="{FF2B5EF4-FFF2-40B4-BE49-F238E27FC236}">
              <a16:creationId xmlns:a16="http://schemas.microsoft.com/office/drawing/2014/main" id="{AF39D32B-711A-47E1-97E0-EFCC888CF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5" name="Picture 66" descr="LOGO DGI">
          <a:extLst>
            <a:ext uri="{FF2B5EF4-FFF2-40B4-BE49-F238E27FC236}">
              <a16:creationId xmlns:a16="http://schemas.microsoft.com/office/drawing/2014/main" id="{687CACC8-1824-4445-BAC0-365125104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6" name="Picture 67" descr="LOGO DGI">
          <a:extLst>
            <a:ext uri="{FF2B5EF4-FFF2-40B4-BE49-F238E27FC236}">
              <a16:creationId xmlns:a16="http://schemas.microsoft.com/office/drawing/2014/main" id="{1A86A25C-6EAA-4131-8DF9-A5C864862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7" name="Picture 68" descr="LOGO DGI">
          <a:extLst>
            <a:ext uri="{FF2B5EF4-FFF2-40B4-BE49-F238E27FC236}">
              <a16:creationId xmlns:a16="http://schemas.microsoft.com/office/drawing/2014/main" id="{15C0C1D0-93A9-47BF-9CD4-0C8B6615A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8" name="Picture 69" descr="LOGO DGI">
          <a:extLst>
            <a:ext uri="{FF2B5EF4-FFF2-40B4-BE49-F238E27FC236}">
              <a16:creationId xmlns:a16="http://schemas.microsoft.com/office/drawing/2014/main" id="{49D37AA1-7F8D-4E25-B1FB-3B34AD409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59" name="Picture 70" descr="LOGO DGI">
          <a:extLst>
            <a:ext uri="{FF2B5EF4-FFF2-40B4-BE49-F238E27FC236}">
              <a16:creationId xmlns:a16="http://schemas.microsoft.com/office/drawing/2014/main" id="{FE365BF7-4D5D-4BC5-8F30-25E2A2841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0" name="Picture 71" descr="LOGO DGI">
          <a:extLst>
            <a:ext uri="{FF2B5EF4-FFF2-40B4-BE49-F238E27FC236}">
              <a16:creationId xmlns:a16="http://schemas.microsoft.com/office/drawing/2014/main" id="{3C67B646-0882-4789-97C7-9215ACD49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1" name="Picture 72" descr="LOGO DGI">
          <a:extLst>
            <a:ext uri="{FF2B5EF4-FFF2-40B4-BE49-F238E27FC236}">
              <a16:creationId xmlns:a16="http://schemas.microsoft.com/office/drawing/2014/main" id="{C4EC7E8C-3E9C-4196-B635-ED4CEA0AD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2" name="Picture 73" descr="LOGO DGI">
          <a:extLst>
            <a:ext uri="{FF2B5EF4-FFF2-40B4-BE49-F238E27FC236}">
              <a16:creationId xmlns:a16="http://schemas.microsoft.com/office/drawing/2014/main" id="{59C2C590-0750-4B74-8DED-6AB61BE4F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3" name="Picture 74" descr="LOGO DGI">
          <a:extLst>
            <a:ext uri="{FF2B5EF4-FFF2-40B4-BE49-F238E27FC236}">
              <a16:creationId xmlns:a16="http://schemas.microsoft.com/office/drawing/2014/main" id="{D1572B67-A1BD-4801-B21B-54A24195C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4" name="Picture 75" descr="LOGO DGI">
          <a:extLst>
            <a:ext uri="{FF2B5EF4-FFF2-40B4-BE49-F238E27FC236}">
              <a16:creationId xmlns:a16="http://schemas.microsoft.com/office/drawing/2014/main" id="{F9383D92-13A5-428D-A95E-E64154167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5" name="Picture 76" descr="LOGO DGI">
          <a:extLst>
            <a:ext uri="{FF2B5EF4-FFF2-40B4-BE49-F238E27FC236}">
              <a16:creationId xmlns:a16="http://schemas.microsoft.com/office/drawing/2014/main" id="{88D575D0-D4F0-4034-8256-044A3E62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6" name="Picture 77" descr="LOGO DGI">
          <a:extLst>
            <a:ext uri="{FF2B5EF4-FFF2-40B4-BE49-F238E27FC236}">
              <a16:creationId xmlns:a16="http://schemas.microsoft.com/office/drawing/2014/main" id="{B6B7C4CC-7690-4304-965D-056FA0814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7" name="Picture 78" descr="LOGO DGI">
          <a:extLst>
            <a:ext uri="{FF2B5EF4-FFF2-40B4-BE49-F238E27FC236}">
              <a16:creationId xmlns:a16="http://schemas.microsoft.com/office/drawing/2014/main" id="{1278DF1E-ED27-4966-9ABA-4C4EC507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8" name="Picture 79" descr="LOGO DGI">
          <a:extLst>
            <a:ext uri="{FF2B5EF4-FFF2-40B4-BE49-F238E27FC236}">
              <a16:creationId xmlns:a16="http://schemas.microsoft.com/office/drawing/2014/main" id="{084336AB-FEC1-427A-A741-58446D44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69" name="Picture 80" descr="LOGO DGI">
          <a:extLst>
            <a:ext uri="{FF2B5EF4-FFF2-40B4-BE49-F238E27FC236}">
              <a16:creationId xmlns:a16="http://schemas.microsoft.com/office/drawing/2014/main" id="{DD214E49-DC42-45EB-89CD-0645FA643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0" name="Picture 81" descr="LOGO DGI">
          <a:extLst>
            <a:ext uri="{FF2B5EF4-FFF2-40B4-BE49-F238E27FC236}">
              <a16:creationId xmlns:a16="http://schemas.microsoft.com/office/drawing/2014/main" id="{F798C017-E25A-4189-AD9D-BC76B2050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1" name="Picture 82" descr="LOGO DGI">
          <a:extLst>
            <a:ext uri="{FF2B5EF4-FFF2-40B4-BE49-F238E27FC236}">
              <a16:creationId xmlns:a16="http://schemas.microsoft.com/office/drawing/2014/main" id="{6C054CF7-3D75-4229-ADF2-477F1D508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2" name="Picture 83" descr="LOGO DGI">
          <a:extLst>
            <a:ext uri="{FF2B5EF4-FFF2-40B4-BE49-F238E27FC236}">
              <a16:creationId xmlns:a16="http://schemas.microsoft.com/office/drawing/2014/main" id="{847B4C2F-5621-4587-A6D5-6A414ABA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3" name="Picture 84" descr="LOGO DGI">
          <a:extLst>
            <a:ext uri="{FF2B5EF4-FFF2-40B4-BE49-F238E27FC236}">
              <a16:creationId xmlns:a16="http://schemas.microsoft.com/office/drawing/2014/main" id="{C2CD8CA9-FD9E-415D-8C45-6BE415EA7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4" name="Picture 85" descr="LOGO DGI">
          <a:extLst>
            <a:ext uri="{FF2B5EF4-FFF2-40B4-BE49-F238E27FC236}">
              <a16:creationId xmlns:a16="http://schemas.microsoft.com/office/drawing/2014/main" id="{CAFD91D3-7DD9-42AF-988D-2A8B44D2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0975" name="Picture 86" descr="LOGO DGI">
          <a:extLst>
            <a:ext uri="{FF2B5EF4-FFF2-40B4-BE49-F238E27FC236}">
              <a16:creationId xmlns:a16="http://schemas.microsoft.com/office/drawing/2014/main" id="{E4F4BF00-D262-4A2C-9346-DC259F0EC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76" name="Picture 87" descr="LOGO DGI">
          <a:extLst>
            <a:ext uri="{FF2B5EF4-FFF2-40B4-BE49-F238E27FC236}">
              <a16:creationId xmlns:a16="http://schemas.microsoft.com/office/drawing/2014/main" id="{4D5C5D79-A41E-4725-BA2D-5FECD3AE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77" name="Picture 88" descr="LOGO DGI">
          <a:extLst>
            <a:ext uri="{FF2B5EF4-FFF2-40B4-BE49-F238E27FC236}">
              <a16:creationId xmlns:a16="http://schemas.microsoft.com/office/drawing/2014/main" id="{697B42EF-9075-430C-9C46-49BF5323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78" name="Picture 89" descr="LOGO DGI">
          <a:extLst>
            <a:ext uri="{FF2B5EF4-FFF2-40B4-BE49-F238E27FC236}">
              <a16:creationId xmlns:a16="http://schemas.microsoft.com/office/drawing/2014/main" id="{6196DD2B-3083-4CEC-A105-B780C7761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79" name="Picture 90" descr="LOGO DGI">
          <a:extLst>
            <a:ext uri="{FF2B5EF4-FFF2-40B4-BE49-F238E27FC236}">
              <a16:creationId xmlns:a16="http://schemas.microsoft.com/office/drawing/2014/main" id="{CB027F80-AF36-4DF1-B21C-C7A838633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0" name="Picture 91" descr="LOGO DGI">
          <a:extLst>
            <a:ext uri="{FF2B5EF4-FFF2-40B4-BE49-F238E27FC236}">
              <a16:creationId xmlns:a16="http://schemas.microsoft.com/office/drawing/2014/main" id="{82176E07-9B6D-4943-944C-CBEC85505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1" name="Picture 92" descr="LOGO DGI">
          <a:extLst>
            <a:ext uri="{FF2B5EF4-FFF2-40B4-BE49-F238E27FC236}">
              <a16:creationId xmlns:a16="http://schemas.microsoft.com/office/drawing/2014/main" id="{7D85C1AE-D1D0-41EA-BAB7-4A1F1235E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2" name="Picture 93" descr="LOGO DGI">
          <a:extLst>
            <a:ext uri="{FF2B5EF4-FFF2-40B4-BE49-F238E27FC236}">
              <a16:creationId xmlns:a16="http://schemas.microsoft.com/office/drawing/2014/main" id="{09333C36-6CCB-43E2-AB05-4969B41B5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3" name="Picture 94" descr="LOGO DGI">
          <a:extLst>
            <a:ext uri="{FF2B5EF4-FFF2-40B4-BE49-F238E27FC236}">
              <a16:creationId xmlns:a16="http://schemas.microsoft.com/office/drawing/2014/main" id="{69CD63AB-EFB5-4C04-93FE-72AF3DAB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4" name="Picture 95" descr="LOGO DGI">
          <a:extLst>
            <a:ext uri="{FF2B5EF4-FFF2-40B4-BE49-F238E27FC236}">
              <a16:creationId xmlns:a16="http://schemas.microsoft.com/office/drawing/2014/main" id="{3519A84C-D365-4067-8D3F-C2916B246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5" name="Picture 96" descr="LOGO DGI">
          <a:extLst>
            <a:ext uri="{FF2B5EF4-FFF2-40B4-BE49-F238E27FC236}">
              <a16:creationId xmlns:a16="http://schemas.microsoft.com/office/drawing/2014/main" id="{7F2C6A57-960D-42A6-B627-AAE96E0A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6" name="Picture 97" descr="LOGO DGI">
          <a:extLst>
            <a:ext uri="{FF2B5EF4-FFF2-40B4-BE49-F238E27FC236}">
              <a16:creationId xmlns:a16="http://schemas.microsoft.com/office/drawing/2014/main" id="{CEDEB2F4-2A27-4D08-964A-04A267CE2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7" name="Picture 98" descr="LOGO DGI">
          <a:extLst>
            <a:ext uri="{FF2B5EF4-FFF2-40B4-BE49-F238E27FC236}">
              <a16:creationId xmlns:a16="http://schemas.microsoft.com/office/drawing/2014/main" id="{79D99852-D9A0-47F5-8245-968B81822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8" name="Picture 99" descr="LOGO DGI">
          <a:extLst>
            <a:ext uri="{FF2B5EF4-FFF2-40B4-BE49-F238E27FC236}">
              <a16:creationId xmlns:a16="http://schemas.microsoft.com/office/drawing/2014/main" id="{DF2CA46B-4A4A-4A0D-AEE9-5FE075630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89" name="Picture 100" descr="LOGO DGI">
          <a:extLst>
            <a:ext uri="{FF2B5EF4-FFF2-40B4-BE49-F238E27FC236}">
              <a16:creationId xmlns:a16="http://schemas.microsoft.com/office/drawing/2014/main" id="{DFA9F678-8614-4FAF-96E2-92C4D82E9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0" name="Picture 101" descr="LOGO DGI">
          <a:extLst>
            <a:ext uri="{FF2B5EF4-FFF2-40B4-BE49-F238E27FC236}">
              <a16:creationId xmlns:a16="http://schemas.microsoft.com/office/drawing/2014/main" id="{A3F368A6-F36D-4043-A1DB-82174B3F8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1" name="Picture 102" descr="LOGO DGI">
          <a:extLst>
            <a:ext uri="{FF2B5EF4-FFF2-40B4-BE49-F238E27FC236}">
              <a16:creationId xmlns:a16="http://schemas.microsoft.com/office/drawing/2014/main" id="{0271638F-B5F6-4744-9D18-0551A022A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2" name="Picture 103" descr="LOGO DGI">
          <a:extLst>
            <a:ext uri="{FF2B5EF4-FFF2-40B4-BE49-F238E27FC236}">
              <a16:creationId xmlns:a16="http://schemas.microsoft.com/office/drawing/2014/main" id="{FFFF6CF9-1204-4E1B-B54D-9B39D8AAF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3" name="Picture 104" descr="LOGO DGI">
          <a:extLst>
            <a:ext uri="{FF2B5EF4-FFF2-40B4-BE49-F238E27FC236}">
              <a16:creationId xmlns:a16="http://schemas.microsoft.com/office/drawing/2014/main" id="{E89F18A4-399C-4617-ADFE-58DCFCDF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4" name="Picture 105" descr="LOGO DGI">
          <a:extLst>
            <a:ext uri="{FF2B5EF4-FFF2-40B4-BE49-F238E27FC236}">
              <a16:creationId xmlns:a16="http://schemas.microsoft.com/office/drawing/2014/main" id="{7BDFF672-01A0-4BB5-B1E4-C1FAB33F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5" name="Picture 106" descr="LOGO DGI">
          <a:extLst>
            <a:ext uri="{FF2B5EF4-FFF2-40B4-BE49-F238E27FC236}">
              <a16:creationId xmlns:a16="http://schemas.microsoft.com/office/drawing/2014/main" id="{0B41B498-B7E6-4B97-80CF-89D758B7F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6" name="Picture 107" descr="LOGO DGI">
          <a:extLst>
            <a:ext uri="{FF2B5EF4-FFF2-40B4-BE49-F238E27FC236}">
              <a16:creationId xmlns:a16="http://schemas.microsoft.com/office/drawing/2014/main" id="{AAEB2DBA-F66D-421D-A7E8-4C53A56C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7" name="Picture 108" descr="LOGO DGI">
          <a:extLst>
            <a:ext uri="{FF2B5EF4-FFF2-40B4-BE49-F238E27FC236}">
              <a16:creationId xmlns:a16="http://schemas.microsoft.com/office/drawing/2014/main" id="{0B71F923-2151-4C9F-8444-2CD755D91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8" name="Picture 109" descr="LOGO DGI">
          <a:extLst>
            <a:ext uri="{FF2B5EF4-FFF2-40B4-BE49-F238E27FC236}">
              <a16:creationId xmlns:a16="http://schemas.microsoft.com/office/drawing/2014/main" id="{36D255C4-142D-4E5B-819A-A9F3FAD0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0999" name="Picture 110" descr="LOGO DGI">
          <a:extLst>
            <a:ext uri="{FF2B5EF4-FFF2-40B4-BE49-F238E27FC236}">
              <a16:creationId xmlns:a16="http://schemas.microsoft.com/office/drawing/2014/main" id="{C7371EE5-D97C-47FA-A06C-DE872799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0" name="Picture 111" descr="LOGO DGI">
          <a:extLst>
            <a:ext uri="{FF2B5EF4-FFF2-40B4-BE49-F238E27FC236}">
              <a16:creationId xmlns:a16="http://schemas.microsoft.com/office/drawing/2014/main" id="{97A9A1F2-203C-4B61-A468-08921887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1" name="Picture 112" descr="LOGO DGI">
          <a:extLst>
            <a:ext uri="{FF2B5EF4-FFF2-40B4-BE49-F238E27FC236}">
              <a16:creationId xmlns:a16="http://schemas.microsoft.com/office/drawing/2014/main" id="{75639241-4895-443A-AB23-7B71F9527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2" name="Picture 113" descr="LOGO DGI">
          <a:extLst>
            <a:ext uri="{FF2B5EF4-FFF2-40B4-BE49-F238E27FC236}">
              <a16:creationId xmlns:a16="http://schemas.microsoft.com/office/drawing/2014/main" id="{500D8F32-2894-437F-8AAF-F0840925D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3" name="Picture 114" descr="LOGO DGI">
          <a:extLst>
            <a:ext uri="{FF2B5EF4-FFF2-40B4-BE49-F238E27FC236}">
              <a16:creationId xmlns:a16="http://schemas.microsoft.com/office/drawing/2014/main" id="{CC5358DC-2D40-4EE7-B1C6-A2A1B66C0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4" name="Picture 115" descr="LOGO DGI">
          <a:extLst>
            <a:ext uri="{FF2B5EF4-FFF2-40B4-BE49-F238E27FC236}">
              <a16:creationId xmlns:a16="http://schemas.microsoft.com/office/drawing/2014/main" id="{972582BD-4370-4E3C-A17C-1CA1C398C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5" name="Picture 116" descr="LOGO DGI">
          <a:extLst>
            <a:ext uri="{FF2B5EF4-FFF2-40B4-BE49-F238E27FC236}">
              <a16:creationId xmlns:a16="http://schemas.microsoft.com/office/drawing/2014/main" id="{E39F547A-84F8-4908-BCB8-FC1187A58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6" name="Picture 117" descr="LOGO DGI">
          <a:extLst>
            <a:ext uri="{FF2B5EF4-FFF2-40B4-BE49-F238E27FC236}">
              <a16:creationId xmlns:a16="http://schemas.microsoft.com/office/drawing/2014/main" id="{5893212B-7C1C-4A55-9042-3C4B3F72A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7" name="Picture 118" descr="LOGO DGI">
          <a:extLst>
            <a:ext uri="{FF2B5EF4-FFF2-40B4-BE49-F238E27FC236}">
              <a16:creationId xmlns:a16="http://schemas.microsoft.com/office/drawing/2014/main" id="{1F156A1A-8B82-41AB-B0CC-CAA6D4A93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8" name="Picture 119" descr="LOGO DGI">
          <a:extLst>
            <a:ext uri="{FF2B5EF4-FFF2-40B4-BE49-F238E27FC236}">
              <a16:creationId xmlns:a16="http://schemas.microsoft.com/office/drawing/2014/main" id="{D1D3C73D-4FD6-46B0-AB99-B270406E0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09" name="Picture 120" descr="LOGO DGI">
          <a:extLst>
            <a:ext uri="{FF2B5EF4-FFF2-40B4-BE49-F238E27FC236}">
              <a16:creationId xmlns:a16="http://schemas.microsoft.com/office/drawing/2014/main" id="{2A36D319-6E21-4676-A2D8-61E7CE7A1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0" name="Picture 121" descr="LOGO DGI">
          <a:extLst>
            <a:ext uri="{FF2B5EF4-FFF2-40B4-BE49-F238E27FC236}">
              <a16:creationId xmlns:a16="http://schemas.microsoft.com/office/drawing/2014/main" id="{C71483B5-3484-4B42-BD93-32CEB9A5C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1" name="Picture 122" descr="LOGO DGI">
          <a:extLst>
            <a:ext uri="{FF2B5EF4-FFF2-40B4-BE49-F238E27FC236}">
              <a16:creationId xmlns:a16="http://schemas.microsoft.com/office/drawing/2014/main" id="{A71323C5-CDB2-463F-8BBA-4D2F00E23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2" name="Picture 123" descr="LOGO DGI">
          <a:extLst>
            <a:ext uri="{FF2B5EF4-FFF2-40B4-BE49-F238E27FC236}">
              <a16:creationId xmlns:a16="http://schemas.microsoft.com/office/drawing/2014/main" id="{DE27B829-DCD8-4D67-9949-9FB24C94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3" name="Picture 124" descr="LOGO DGI">
          <a:extLst>
            <a:ext uri="{FF2B5EF4-FFF2-40B4-BE49-F238E27FC236}">
              <a16:creationId xmlns:a16="http://schemas.microsoft.com/office/drawing/2014/main" id="{8DE843BC-B047-4EEE-88AB-0818A2782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4" name="Picture 125" descr="LOGO DGI">
          <a:extLst>
            <a:ext uri="{FF2B5EF4-FFF2-40B4-BE49-F238E27FC236}">
              <a16:creationId xmlns:a16="http://schemas.microsoft.com/office/drawing/2014/main" id="{8ED2460B-A0C5-46E8-B654-6A072DD17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5" name="Picture 126" descr="LOGO DGI">
          <a:extLst>
            <a:ext uri="{FF2B5EF4-FFF2-40B4-BE49-F238E27FC236}">
              <a16:creationId xmlns:a16="http://schemas.microsoft.com/office/drawing/2014/main" id="{F833578D-F3A1-4B7B-A5BC-B1C2B6E2F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6" name="Picture 127" descr="LOGO DGI">
          <a:extLst>
            <a:ext uri="{FF2B5EF4-FFF2-40B4-BE49-F238E27FC236}">
              <a16:creationId xmlns:a16="http://schemas.microsoft.com/office/drawing/2014/main" id="{B9EAFA7B-6958-45E8-BB86-50884BA81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7" name="Picture 128" descr="LOGO DGI">
          <a:extLst>
            <a:ext uri="{FF2B5EF4-FFF2-40B4-BE49-F238E27FC236}">
              <a16:creationId xmlns:a16="http://schemas.microsoft.com/office/drawing/2014/main" id="{27054B92-F257-4D3B-844C-6B194674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8" name="Picture 129" descr="LOGO DGI">
          <a:extLst>
            <a:ext uri="{FF2B5EF4-FFF2-40B4-BE49-F238E27FC236}">
              <a16:creationId xmlns:a16="http://schemas.microsoft.com/office/drawing/2014/main" id="{73383C0F-0426-434F-BBF0-11F8DD48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19" name="Picture 130" descr="LOGO DGI">
          <a:extLst>
            <a:ext uri="{FF2B5EF4-FFF2-40B4-BE49-F238E27FC236}">
              <a16:creationId xmlns:a16="http://schemas.microsoft.com/office/drawing/2014/main" id="{1BF808E1-D012-4638-98FA-5E3C7278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0" name="Picture 131" descr="LOGO DGI">
          <a:extLst>
            <a:ext uri="{FF2B5EF4-FFF2-40B4-BE49-F238E27FC236}">
              <a16:creationId xmlns:a16="http://schemas.microsoft.com/office/drawing/2014/main" id="{932ACC1F-B469-4D15-8928-62345DFAD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1" name="Picture 132" descr="LOGO DGI">
          <a:extLst>
            <a:ext uri="{FF2B5EF4-FFF2-40B4-BE49-F238E27FC236}">
              <a16:creationId xmlns:a16="http://schemas.microsoft.com/office/drawing/2014/main" id="{92DD8FAF-D2DE-4D22-BB4B-63A89F5E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2" name="Picture 133" descr="LOGO DGI">
          <a:extLst>
            <a:ext uri="{FF2B5EF4-FFF2-40B4-BE49-F238E27FC236}">
              <a16:creationId xmlns:a16="http://schemas.microsoft.com/office/drawing/2014/main" id="{A0151B50-DFF0-46F0-AC70-5187C33E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3" name="Picture 134" descr="LOGO DGI">
          <a:extLst>
            <a:ext uri="{FF2B5EF4-FFF2-40B4-BE49-F238E27FC236}">
              <a16:creationId xmlns:a16="http://schemas.microsoft.com/office/drawing/2014/main" id="{B9FDB2A6-1900-40BA-8E57-4F751E9C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4" name="Picture 135" descr="LOGO DGI">
          <a:extLst>
            <a:ext uri="{FF2B5EF4-FFF2-40B4-BE49-F238E27FC236}">
              <a16:creationId xmlns:a16="http://schemas.microsoft.com/office/drawing/2014/main" id="{57815A2E-5DEB-458A-9A70-186713F3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5" name="Picture 136" descr="LOGO DGI">
          <a:extLst>
            <a:ext uri="{FF2B5EF4-FFF2-40B4-BE49-F238E27FC236}">
              <a16:creationId xmlns:a16="http://schemas.microsoft.com/office/drawing/2014/main" id="{4E99F903-1522-48AF-BDF5-4E63F739C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6" name="Picture 137" descr="LOGO DGI">
          <a:extLst>
            <a:ext uri="{FF2B5EF4-FFF2-40B4-BE49-F238E27FC236}">
              <a16:creationId xmlns:a16="http://schemas.microsoft.com/office/drawing/2014/main" id="{B6FAE822-BAA2-475F-8BDB-2561B0DC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7" name="Picture 138" descr="LOGO DGI">
          <a:extLst>
            <a:ext uri="{FF2B5EF4-FFF2-40B4-BE49-F238E27FC236}">
              <a16:creationId xmlns:a16="http://schemas.microsoft.com/office/drawing/2014/main" id="{6AE92726-55E1-42F7-9F50-481E91A5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8" name="Picture 139" descr="LOGO DGI">
          <a:extLst>
            <a:ext uri="{FF2B5EF4-FFF2-40B4-BE49-F238E27FC236}">
              <a16:creationId xmlns:a16="http://schemas.microsoft.com/office/drawing/2014/main" id="{D973031E-1ABC-4316-B079-791C4D5DB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29" name="Picture 140" descr="LOGO DGI">
          <a:extLst>
            <a:ext uri="{FF2B5EF4-FFF2-40B4-BE49-F238E27FC236}">
              <a16:creationId xmlns:a16="http://schemas.microsoft.com/office/drawing/2014/main" id="{12258AD1-C3B7-4AAE-9779-C27574DD4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0" name="Picture 141" descr="LOGO DGI">
          <a:extLst>
            <a:ext uri="{FF2B5EF4-FFF2-40B4-BE49-F238E27FC236}">
              <a16:creationId xmlns:a16="http://schemas.microsoft.com/office/drawing/2014/main" id="{F35FF62B-E342-4E30-9CA9-05554395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1" name="Picture 142" descr="LOGO DGI">
          <a:extLst>
            <a:ext uri="{FF2B5EF4-FFF2-40B4-BE49-F238E27FC236}">
              <a16:creationId xmlns:a16="http://schemas.microsoft.com/office/drawing/2014/main" id="{194B6AB8-369F-45D6-8398-C8F9AE113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2" name="Picture 143" descr="LOGO DGI">
          <a:extLst>
            <a:ext uri="{FF2B5EF4-FFF2-40B4-BE49-F238E27FC236}">
              <a16:creationId xmlns:a16="http://schemas.microsoft.com/office/drawing/2014/main" id="{661F14C8-3E71-4904-A06D-577B58C30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3" name="Picture 144" descr="LOGO DGI">
          <a:extLst>
            <a:ext uri="{FF2B5EF4-FFF2-40B4-BE49-F238E27FC236}">
              <a16:creationId xmlns:a16="http://schemas.microsoft.com/office/drawing/2014/main" id="{3645F976-D4C6-4BC8-9870-97DA081D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4" name="Picture 145" descr="LOGO DGI">
          <a:extLst>
            <a:ext uri="{FF2B5EF4-FFF2-40B4-BE49-F238E27FC236}">
              <a16:creationId xmlns:a16="http://schemas.microsoft.com/office/drawing/2014/main" id="{B0217E83-6573-4886-B7A7-66EFA535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5" name="Picture 146" descr="LOGO DGI">
          <a:extLst>
            <a:ext uri="{FF2B5EF4-FFF2-40B4-BE49-F238E27FC236}">
              <a16:creationId xmlns:a16="http://schemas.microsoft.com/office/drawing/2014/main" id="{67480F4C-F574-42FC-A5FF-3676FB9AE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6" name="Picture 147" descr="LOGO DGI">
          <a:extLst>
            <a:ext uri="{FF2B5EF4-FFF2-40B4-BE49-F238E27FC236}">
              <a16:creationId xmlns:a16="http://schemas.microsoft.com/office/drawing/2014/main" id="{AFEFEEC5-FC31-4D24-A294-B7F840D8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7" name="Picture 148" descr="LOGO DGI">
          <a:extLst>
            <a:ext uri="{FF2B5EF4-FFF2-40B4-BE49-F238E27FC236}">
              <a16:creationId xmlns:a16="http://schemas.microsoft.com/office/drawing/2014/main" id="{AFCC4CCD-A772-449A-A4B9-F533E36A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8" name="Picture 149" descr="LOGO DGI">
          <a:extLst>
            <a:ext uri="{FF2B5EF4-FFF2-40B4-BE49-F238E27FC236}">
              <a16:creationId xmlns:a16="http://schemas.microsoft.com/office/drawing/2014/main" id="{E7F79766-7E6F-47C1-993B-3EA12B414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39" name="Picture 150" descr="LOGO DGI">
          <a:extLst>
            <a:ext uri="{FF2B5EF4-FFF2-40B4-BE49-F238E27FC236}">
              <a16:creationId xmlns:a16="http://schemas.microsoft.com/office/drawing/2014/main" id="{CEE7D034-EE88-4D36-918D-E6BF2B74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0" name="Picture 151" descr="LOGO DGI">
          <a:extLst>
            <a:ext uri="{FF2B5EF4-FFF2-40B4-BE49-F238E27FC236}">
              <a16:creationId xmlns:a16="http://schemas.microsoft.com/office/drawing/2014/main" id="{F9D85F8A-EEE4-4098-9074-4E695CEB0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1" name="Picture 152" descr="LOGO DGI">
          <a:extLst>
            <a:ext uri="{FF2B5EF4-FFF2-40B4-BE49-F238E27FC236}">
              <a16:creationId xmlns:a16="http://schemas.microsoft.com/office/drawing/2014/main" id="{7CC57386-69A9-404B-90C9-43FCB1920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2" name="Picture 153" descr="LOGO DGI">
          <a:extLst>
            <a:ext uri="{FF2B5EF4-FFF2-40B4-BE49-F238E27FC236}">
              <a16:creationId xmlns:a16="http://schemas.microsoft.com/office/drawing/2014/main" id="{F30AF5BC-64AB-49CB-93C3-4B3C1B88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3" name="Picture 154" descr="LOGO DGI">
          <a:extLst>
            <a:ext uri="{FF2B5EF4-FFF2-40B4-BE49-F238E27FC236}">
              <a16:creationId xmlns:a16="http://schemas.microsoft.com/office/drawing/2014/main" id="{88563DB7-254A-479F-89B8-AAD8C390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4" name="Picture 155" descr="LOGO DGI">
          <a:extLst>
            <a:ext uri="{FF2B5EF4-FFF2-40B4-BE49-F238E27FC236}">
              <a16:creationId xmlns:a16="http://schemas.microsoft.com/office/drawing/2014/main" id="{FB2C809A-3523-4380-BE51-E75E928F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5" name="Picture 156" descr="LOGO DGI">
          <a:extLst>
            <a:ext uri="{FF2B5EF4-FFF2-40B4-BE49-F238E27FC236}">
              <a16:creationId xmlns:a16="http://schemas.microsoft.com/office/drawing/2014/main" id="{58AA3951-A17C-4227-B9C0-1E8C9D50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6" name="Picture 157" descr="LOGO DGI">
          <a:extLst>
            <a:ext uri="{FF2B5EF4-FFF2-40B4-BE49-F238E27FC236}">
              <a16:creationId xmlns:a16="http://schemas.microsoft.com/office/drawing/2014/main" id="{B075D179-6BA3-4FEF-80DA-7C9DC4F0A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7" name="Picture 158" descr="LOGO DGI">
          <a:extLst>
            <a:ext uri="{FF2B5EF4-FFF2-40B4-BE49-F238E27FC236}">
              <a16:creationId xmlns:a16="http://schemas.microsoft.com/office/drawing/2014/main" id="{5AFDAF80-71E1-4F11-83A8-649E4E58B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8" name="Picture 159" descr="LOGO DGI">
          <a:extLst>
            <a:ext uri="{FF2B5EF4-FFF2-40B4-BE49-F238E27FC236}">
              <a16:creationId xmlns:a16="http://schemas.microsoft.com/office/drawing/2014/main" id="{6CA88831-2820-47B8-83D4-84C86148E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49" name="Picture 160" descr="LOGO DGI">
          <a:extLst>
            <a:ext uri="{FF2B5EF4-FFF2-40B4-BE49-F238E27FC236}">
              <a16:creationId xmlns:a16="http://schemas.microsoft.com/office/drawing/2014/main" id="{4869D254-CD9B-4C00-947D-8F9E7FEF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0" name="Picture 161" descr="LOGO DGI">
          <a:extLst>
            <a:ext uri="{FF2B5EF4-FFF2-40B4-BE49-F238E27FC236}">
              <a16:creationId xmlns:a16="http://schemas.microsoft.com/office/drawing/2014/main" id="{865EF48F-10EB-41CB-A49B-8A2789549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1" name="Picture 162" descr="LOGO DGI">
          <a:extLst>
            <a:ext uri="{FF2B5EF4-FFF2-40B4-BE49-F238E27FC236}">
              <a16:creationId xmlns:a16="http://schemas.microsoft.com/office/drawing/2014/main" id="{BC5CA59A-A5B2-4975-AA3B-F546D48A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2" name="Picture 163" descr="LOGO DGI">
          <a:extLst>
            <a:ext uri="{FF2B5EF4-FFF2-40B4-BE49-F238E27FC236}">
              <a16:creationId xmlns:a16="http://schemas.microsoft.com/office/drawing/2014/main" id="{6108F9E6-2472-4C9B-B58A-D629ED5B5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3" name="Picture 164" descr="LOGO DGI">
          <a:extLst>
            <a:ext uri="{FF2B5EF4-FFF2-40B4-BE49-F238E27FC236}">
              <a16:creationId xmlns:a16="http://schemas.microsoft.com/office/drawing/2014/main" id="{20C4F423-2FE6-47CF-827D-F78C10AD4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4" name="Picture 165" descr="LOGO DGI">
          <a:extLst>
            <a:ext uri="{FF2B5EF4-FFF2-40B4-BE49-F238E27FC236}">
              <a16:creationId xmlns:a16="http://schemas.microsoft.com/office/drawing/2014/main" id="{70A5FDD5-0519-4528-A3C6-D85BC0C7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5" name="Picture 166" descr="LOGO DGI">
          <a:extLst>
            <a:ext uri="{FF2B5EF4-FFF2-40B4-BE49-F238E27FC236}">
              <a16:creationId xmlns:a16="http://schemas.microsoft.com/office/drawing/2014/main" id="{B1B7BE5A-8EB3-4043-867D-5CC22310E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6" name="Picture 167" descr="LOGO DGI">
          <a:extLst>
            <a:ext uri="{FF2B5EF4-FFF2-40B4-BE49-F238E27FC236}">
              <a16:creationId xmlns:a16="http://schemas.microsoft.com/office/drawing/2014/main" id="{6F86E14E-B225-44D9-9983-9DDB93CF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9234" name="CommandButton1" hidden="1">
          <a:extLst>
            <a:ext uri="{63B3BB69-23CF-44E3-9099-C40C66FF867C}">
              <a14:compatExt xmlns:a14="http://schemas.microsoft.com/office/drawing/2010/main" spid="_x0000_s9234"/>
            </a:ext>
            <a:ext uri="{FF2B5EF4-FFF2-40B4-BE49-F238E27FC236}">
              <a16:creationId xmlns:a16="http://schemas.microsoft.com/office/drawing/2014/main" id="{082AF581-8B6E-47C9-9B1D-ECB6C0BF3CF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38100</xdr:colOff>
      <xdr:row>4</xdr:row>
      <xdr:rowOff>76200</xdr:rowOff>
    </xdr:from>
    <xdr:to>
      <xdr:col>10</xdr:col>
      <xdr:colOff>676275</xdr:colOff>
      <xdr:row>6</xdr:row>
      <xdr:rowOff>133350</xdr:rowOff>
    </xdr:to>
    <xdr:sp macro="" textlink="">
      <xdr:nvSpPr>
        <xdr:cNvPr id="9235" name="CommandButton2" hidden="1">
          <a:extLst>
            <a:ext uri="{63B3BB69-23CF-44E3-9099-C40C66FF867C}">
              <a14:compatExt xmlns:a14="http://schemas.microsoft.com/office/drawing/2010/main" spid="_x0000_s9235"/>
            </a:ext>
            <a:ext uri="{FF2B5EF4-FFF2-40B4-BE49-F238E27FC236}">
              <a16:creationId xmlns:a16="http://schemas.microsoft.com/office/drawing/2014/main" id="{EB06E722-56D0-460E-B993-0EBAE292B9B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7" name="Picture 1" descr="LOGO DGI">
          <a:extLst>
            <a:ext uri="{FF2B5EF4-FFF2-40B4-BE49-F238E27FC236}">
              <a16:creationId xmlns:a16="http://schemas.microsoft.com/office/drawing/2014/main" id="{985BAEDF-E283-42B9-8C99-8D62AC6F8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8" name="Picture 1" descr="LOGO DGI">
          <a:extLst>
            <a:ext uri="{FF2B5EF4-FFF2-40B4-BE49-F238E27FC236}">
              <a16:creationId xmlns:a16="http://schemas.microsoft.com/office/drawing/2014/main" id="{09626E6C-FAB2-44EC-A5A7-244FD7C7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59" name="Picture 1" descr="LOGO DGI">
          <a:extLst>
            <a:ext uri="{FF2B5EF4-FFF2-40B4-BE49-F238E27FC236}">
              <a16:creationId xmlns:a16="http://schemas.microsoft.com/office/drawing/2014/main" id="{CE15AB6C-07E2-491C-B3B8-314FB4C61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0" name="Picture 1" descr="LOGO DGI">
          <a:extLst>
            <a:ext uri="{FF2B5EF4-FFF2-40B4-BE49-F238E27FC236}">
              <a16:creationId xmlns:a16="http://schemas.microsoft.com/office/drawing/2014/main" id="{365A5DE5-AD36-41BD-B8A8-8FE7CA86A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1" name="Picture 1" descr="LOGO DGI">
          <a:extLst>
            <a:ext uri="{FF2B5EF4-FFF2-40B4-BE49-F238E27FC236}">
              <a16:creationId xmlns:a16="http://schemas.microsoft.com/office/drawing/2014/main" id="{D2C4B102-DCE2-41CF-A03A-A1606228F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2" name="Picture 1" descr="LOGO DGI">
          <a:extLst>
            <a:ext uri="{FF2B5EF4-FFF2-40B4-BE49-F238E27FC236}">
              <a16:creationId xmlns:a16="http://schemas.microsoft.com/office/drawing/2014/main" id="{AF8FDF11-A947-4E58-9DBF-2E5C1B301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3" name="Picture 1" descr="LOGO DGI">
          <a:extLst>
            <a:ext uri="{FF2B5EF4-FFF2-40B4-BE49-F238E27FC236}">
              <a16:creationId xmlns:a16="http://schemas.microsoft.com/office/drawing/2014/main" id="{6F39794F-EEC5-4167-9E4C-08F1754B5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4" name="Picture 1" descr="LOGO DGI">
          <a:extLst>
            <a:ext uri="{FF2B5EF4-FFF2-40B4-BE49-F238E27FC236}">
              <a16:creationId xmlns:a16="http://schemas.microsoft.com/office/drawing/2014/main" id="{48BEC104-A6EE-4053-B8C6-0A2D3CC6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5" name="Picture 1" descr="LOGO DGI">
          <a:extLst>
            <a:ext uri="{FF2B5EF4-FFF2-40B4-BE49-F238E27FC236}">
              <a16:creationId xmlns:a16="http://schemas.microsoft.com/office/drawing/2014/main" id="{3CAF79C5-F4F1-4002-B5F1-AA71A9AC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6" name="Picture 1" descr="LOGO DGI">
          <a:extLst>
            <a:ext uri="{FF2B5EF4-FFF2-40B4-BE49-F238E27FC236}">
              <a16:creationId xmlns:a16="http://schemas.microsoft.com/office/drawing/2014/main" id="{AF2EEA8D-D534-41F6-ADC1-10B9734EB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7" name="Picture 1" descr="LOGO DGI">
          <a:extLst>
            <a:ext uri="{FF2B5EF4-FFF2-40B4-BE49-F238E27FC236}">
              <a16:creationId xmlns:a16="http://schemas.microsoft.com/office/drawing/2014/main" id="{3368993E-E1C2-4067-9DE0-C9D6A3EB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8" name="Picture 1" descr="LOGO DGI">
          <a:extLst>
            <a:ext uri="{FF2B5EF4-FFF2-40B4-BE49-F238E27FC236}">
              <a16:creationId xmlns:a16="http://schemas.microsoft.com/office/drawing/2014/main" id="{CA67BCB4-4E68-4FC0-9BAE-22C223773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69" name="Picture 1" descr="LOGO DGI">
          <a:extLst>
            <a:ext uri="{FF2B5EF4-FFF2-40B4-BE49-F238E27FC236}">
              <a16:creationId xmlns:a16="http://schemas.microsoft.com/office/drawing/2014/main" id="{D6FA49E1-FEE5-4529-8E11-B470D593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0" name="Picture 1" descr="LOGO DGI">
          <a:extLst>
            <a:ext uri="{FF2B5EF4-FFF2-40B4-BE49-F238E27FC236}">
              <a16:creationId xmlns:a16="http://schemas.microsoft.com/office/drawing/2014/main" id="{D1E22A69-DAAA-4415-8197-8D453526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1" name="Picture 1" descr="LOGO DGI">
          <a:extLst>
            <a:ext uri="{FF2B5EF4-FFF2-40B4-BE49-F238E27FC236}">
              <a16:creationId xmlns:a16="http://schemas.microsoft.com/office/drawing/2014/main" id="{AB159AA0-8304-4DD1-B270-EB19C381D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2" name="Picture 1" descr="LOGO DGI">
          <a:extLst>
            <a:ext uri="{FF2B5EF4-FFF2-40B4-BE49-F238E27FC236}">
              <a16:creationId xmlns:a16="http://schemas.microsoft.com/office/drawing/2014/main" id="{F2F19F60-4644-4773-AE84-2B690D07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3" name="Picture 1" descr="LOGO DGI">
          <a:extLst>
            <a:ext uri="{FF2B5EF4-FFF2-40B4-BE49-F238E27FC236}">
              <a16:creationId xmlns:a16="http://schemas.microsoft.com/office/drawing/2014/main" id="{5A3B5679-D977-4494-B3ED-081D5B2D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4" name="Picture 1" descr="LOGO DGI">
          <a:extLst>
            <a:ext uri="{FF2B5EF4-FFF2-40B4-BE49-F238E27FC236}">
              <a16:creationId xmlns:a16="http://schemas.microsoft.com/office/drawing/2014/main" id="{D2DC6EEA-28DA-464B-BF9E-BF21637B3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5" name="Picture 1" descr="LOGO DGI">
          <a:extLst>
            <a:ext uri="{FF2B5EF4-FFF2-40B4-BE49-F238E27FC236}">
              <a16:creationId xmlns:a16="http://schemas.microsoft.com/office/drawing/2014/main" id="{6B251484-8277-417D-872F-ED108FDAC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6" name="Picture 1" descr="LOGO DGI">
          <a:extLst>
            <a:ext uri="{FF2B5EF4-FFF2-40B4-BE49-F238E27FC236}">
              <a16:creationId xmlns:a16="http://schemas.microsoft.com/office/drawing/2014/main" id="{4D289484-6937-49F8-BF20-FAB21D83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7" name="Picture 1" descr="LOGO DGI">
          <a:extLst>
            <a:ext uri="{FF2B5EF4-FFF2-40B4-BE49-F238E27FC236}">
              <a16:creationId xmlns:a16="http://schemas.microsoft.com/office/drawing/2014/main" id="{65592600-18EE-43BF-BD3B-BE01FE707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8" name="Picture 1" descr="LOGO DGI">
          <a:extLst>
            <a:ext uri="{FF2B5EF4-FFF2-40B4-BE49-F238E27FC236}">
              <a16:creationId xmlns:a16="http://schemas.microsoft.com/office/drawing/2014/main" id="{61B53316-EAEB-4AEE-A71A-00E49D3E9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79" name="Picture 1" descr="LOGO DGI">
          <a:extLst>
            <a:ext uri="{FF2B5EF4-FFF2-40B4-BE49-F238E27FC236}">
              <a16:creationId xmlns:a16="http://schemas.microsoft.com/office/drawing/2014/main" id="{8644E161-140E-4700-BF53-9C66DF33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80" name="Picture 1" descr="LOGO DGI">
          <a:extLst>
            <a:ext uri="{FF2B5EF4-FFF2-40B4-BE49-F238E27FC236}">
              <a16:creationId xmlns:a16="http://schemas.microsoft.com/office/drawing/2014/main" id="{334DDBB1-69C8-4A76-AFFA-C2583D9D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81" name="Picture 1" descr="LOGO DGI">
          <a:extLst>
            <a:ext uri="{FF2B5EF4-FFF2-40B4-BE49-F238E27FC236}">
              <a16:creationId xmlns:a16="http://schemas.microsoft.com/office/drawing/2014/main" id="{13236BDD-FDCD-4E30-8848-ED631C1F7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82" name="Picture 1" descr="LOGO DGI">
          <a:extLst>
            <a:ext uri="{FF2B5EF4-FFF2-40B4-BE49-F238E27FC236}">
              <a16:creationId xmlns:a16="http://schemas.microsoft.com/office/drawing/2014/main" id="{5E221E72-6DBC-45B3-9B32-8DA0D263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83" name="Picture 1" descr="LOGO DGI">
          <a:extLst>
            <a:ext uri="{FF2B5EF4-FFF2-40B4-BE49-F238E27FC236}">
              <a16:creationId xmlns:a16="http://schemas.microsoft.com/office/drawing/2014/main" id="{BD758A7F-80B1-4FC6-B294-90A02B99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1084" name="Picture 1" descr="LOGO DGI">
          <a:extLst>
            <a:ext uri="{FF2B5EF4-FFF2-40B4-BE49-F238E27FC236}">
              <a16:creationId xmlns:a16="http://schemas.microsoft.com/office/drawing/2014/main" id="{1082BF7F-62DA-4CBD-BB5D-924D9EE27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85" name="Picture 1" descr="LOGO DGI">
          <a:extLst>
            <a:ext uri="{FF2B5EF4-FFF2-40B4-BE49-F238E27FC236}">
              <a16:creationId xmlns:a16="http://schemas.microsoft.com/office/drawing/2014/main" id="{98CEE25C-8DEC-488C-94DC-5D08DD0A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86" name="Picture 1" descr="LOGO DGI">
          <a:extLst>
            <a:ext uri="{FF2B5EF4-FFF2-40B4-BE49-F238E27FC236}">
              <a16:creationId xmlns:a16="http://schemas.microsoft.com/office/drawing/2014/main" id="{AE063723-7E3D-4475-A335-2B12677EE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87" name="Picture 1" descr="LOGO DGI">
          <a:extLst>
            <a:ext uri="{FF2B5EF4-FFF2-40B4-BE49-F238E27FC236}">
              <a16:creationId xmlns:a16="http://schemas.microsoft.com/office/drawing/2014/main" id="{F0FDDC70-87F0-496A-8FAC-9B93E78B5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88" name="Picture 1" descr="LOGO DGI">
          <a:extLst>
            <a:ext uri="{FF2B5EF4-FFF2-40B4-BE49-F238E27FC236}">
              <a16:creationId xmlns:a16="http://schemas.microsoft.com/office/drawing/2014/main" id="{9176078A-2B9E-454B-9C80-DF6A170F3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89" name="Picture 1" descr="LOGO DGI">
          <a:extLst>
            <a:ext uri="{FF2B5EF4-FFF2-40B4-BE49-F238E27FC236}">
              <a16:creationId xmlns:a16="http://schemas.microsoft.com/office/drawing/2014/main" id="{FE343078-6FDA-4A10-9649-49F556B4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0" name="Picture 1" descr="LOGO DGI">
          <a:extLst>
            <a:ext uri="{FF2B5EF4-FFF2-40B4-BE49-F238E27FC236}">
              <a16:creationId xmlns:a16="http://schemas.microsoft.com/office/drawing/2014/main" id="{68F65C82-40AE-4655-A474-504C0D3F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1" name="Picture 1" descr="LOGO DGI">
          <a:extLst>
            <a:ext uri="{FF2B5EF4-FFF2-40B4-BE49-F238E27FC236}">
              <a16:creationId xmlns:a16="http://schemas.microsoft.com/office/drawing/2014/main" id="{982AFD45-3E5E-4E48-B751-6428E446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2" name="Picture 1" descr="LOGO DGI">
          <a:extLst>
            <a:ext uri="{FF2B5EF4-FFF2-40B4-BE49-F238E27FC236}">
              <a16:creationId xmlns:a16="http://schemas.microsoft.com/office/drawing/2014/main" id="{9085D5F6-5B00-4C06-A559-0CFC5ABD4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3" name="Picture 1" descr="LOGO DGI">
          <a:extLst>
            <a:ext uri="{FF2B5EF4-FFF2-40B4-BE49-F238E27FC236}">
              <a16:creationId xmlns:a16="http://schemas.microsoft.com/office/drawing/2014/main" id="{E20292C5-D2FA-442E-96A8-559510DE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4" name="Picture 1" descr="LOGO DGI">
          <a:extLst>
            <a:ext uri="{FF2B5EF4-FFF2-40B4-BE49-F238E27FC236}">
              <a16:creationId xmlns:a16="http://schemas.microsoft.com/office/drawing/2014/main" id="{E4D4AA84-78F6-4F9F-82C6-7F1C8EDCA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5" name="Picture 1" descr="LOGO DGI">
          <a:extLst>
            <a:ext uri="{FF2B5EF4-FFF2-40B4-BE49-F238E27FC236}">
              <a16:creationId xmlns:a16="http://schemas.microsoft.com/office/drawing/2014/main" id="{EB00DE09-3145-481D-8E88-B7FE2CF7A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6" name="Picture 1" descr="LOGO DGI">
          <a:extLst>
            <a:ext uri="{FF2B5EF4-FFF2-40B4-BE49-F238E27FC236}">
              <a16:creationId xmlns:a16="http://schemas.microsoft.com/office/drawing/2014/main" id="{FDD7F443-FE68-4CF7-92FE-8533236D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7" name="Picture 1" descr="LOGO DGI">
          <a:extLst>
            <a:ext uri="{FF2B5EF4-FFF2-40B4-BE49-F238E27FC236}">
              <a16:creationId xmlns:a16="http://schemas.microsoft.com/office/drawing/2014/main" id="{FEF7F3C0-B652-4F5D-B3A2-F9768FFD9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8" name="Picture 1" descr="LOGO DGI">
          <a:extLst>
            <a:ext uri="{FF2B5EF4-FFF2-40B4-BE49-F238E27FC236}">
              <a16:creationId xmlns:a16="http://schemas.microsoft.com/office/drawing/2014/main" id="{B8635D73-B220-4FDC-8803-59E88CAC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099" name="Picture 1" descr="LOGO DGI">
          <a:extLst>
            <a:ext uri="{FF2B5EF4-FFF2-40B4-BE49-F238E27FC236}">
              <a16:creationId xmlns:a16="http://schemas.microsoft.com/office/drawing/2014/main" id="{CCB44974-F0C8-426A-B9D7-5AFFACB5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0" name="Picture 1" descr="LOGO DGI">
          <a:extLst>
            <a:ext uri="{FF2B5EF4-FFF2-40B4-BE49-F238E27FC236}">
              <a16:creationId xmlns:a16="http://schemas.microsoft.com/office/drawing/2014/main" id="{51020968-7B32-426E-BEFE-036FA2A1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1" name="Picture 1" descr="LOGO DGI">
          <a:extLst>
            <a:ext uri="{FF2B5EF4-FFF2-40B4-BE49-F238E27FC236}">
              <a16:creationId xmlns:a16="http://schemas.microsoft.com/office/drawing/2014/main" id="{FEF74403-A340-429C-B216-950636A62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2" name="Picture 1" descr="LOGO DGI">
          <a:extLst>
            <a:ext uri="{FF2B5EF4-FFF2-40B4-BE49-F238E27FC236}">
              <a16:creationId xmlns:a16="http://schemas.microsoft.com/office/drawing/2014/main" id="{1B105062-1353-4043-815F-1BB85F6C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3" name="Picture 1" descr="LOGO DGI">
          <a:extLst>
            <a:ext uri="{FF2B5EF4-FFF2-40B4-BE49-F238E27FC236}">
              <a16:creationId xmlns:a16="http://schemas.microsoft.com/office/drawing/2014/main" id="{8E1E6390-02B1-48E8-9950-09D9869A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4" name="Picture 1" descr="LOGO DGI">
          <a:extLst>
            <a:ext uri="{FF2B5EF4-FFF2-40B4-BE49-F238E27FC236}">
              <a16:creationId xmlns:a16="http://schemas.microsoft.com/office/drawing/2014/main" id="{3BB30C0B-5FFC-4AFF-96B9-024F7DFE9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5" name="Picture 1" descr="LOGO DGI">
          <a:extLst>
            <a:ext uri="{FF2B5EF4-FFF2-40B4-BE49-F238E27FC236}">
              <a16:creationId xmlns:a16="http://schemas.microsoft.com/office/drawing/2014/main" id="{E5E3BA52-E628-4877-8EEC-42656BA5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6" name="Picture 1" descr="LOGO DGI">
          <a:extLst>
            <a:ext uri="{FF2B5EF4-FFF2-40B4-BE49-F238E27FC236}">
              <a16:creationId xmlns:a16="http://schemas.microsoft.com/office/drawing/2014/main" id="{0468DCEB-DF7C-4329-B99E-DDF9E22D7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7" name="Picture 1" descr="LOGO DGI">
          <a:extLst>
            <a:ext uri="{FF2B5EF4-FFF2-40B4-BE49-F238E27FC236}">
              <a16:creationId xmlns:a16="http://schemas.microsoft.com/office/drawing/2014/main" id="{51CF448D-CB91-425E-9273-D68729B0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8" name="Picture 1" descr="LOGO DGI">
          <a:extLst>
            <a:ext uri="{FF2B5EF4-FFF2-40B4-BE49-F238E27FC236}">
              <a16:creationId xmlns:a16="http://schemas.microsoft.com/office/drawing/2014/main" id="{FA9D8B7C-29F9-4229-8C4F-1B1B7B30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09" name="Picture 1" descr="LOGO DGI">
          <a:extLst>
            <a:ext uri="{FF2B5EF4-FFF2-40B4-BE49-F238E27FC236}">
              <a16:creationId xmlns:a16="http://schemas.microsoft.com/office/drawing/2014/main" id="{523AC29C-A3F5-4452-9F9E-8F6C6411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10" name="Picture 1" descr="LOGO DGI">
          <a:extLst>
            <a:ext uri="{FF2B5EF4-FFF2-40B4-BE49-F238E27FC236}">
              <a16:creationId xmlns:a16="http://schemas.microsoft.com/office/drawing/2014/main" id="{6A7E0C2A-FF32-4729-8174-55AF19E31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11" name="Picture 1" descr="LOGO DGI">
          <a:extLst>
            <a:ext uri="{FF2B5EF4-FFF2-40B4-BE49-F238E27FC236}">
              <a16:creationId xmlns:a16="http://schemas.microsoft.com/office/drawing/2014/main" id="{7112DC8D-34B7-4663-80A8-6944CB25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12" name="Picture 1" descr="LOGO DGI">
          <a:extLst>
            <a:ext uri="{FF2B5EF4-FFF2-40B4-BE49-F238E27FC236}">
              <a16:creationId xmlns:a16="http://schemas.microsoft.com/office/drawing/2014/main" id="{92063B52-1B42-406B-9252-28F0FE64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1113" name="Picture 1" descr="LOGO DGI">
          <a:extLst>
            <a:ext uri="{FF2B5EF4-FFF2-40B4-BE49-F238E27FC236}">
              <a16:creationId xmlns:a16="http://schemas.microsoft.com/office/drawing/2014/main" id="{ACB6C0E2-16AC-43EA-A008-7A3AE7633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123825</xdr:rowOff>
    </xdr:from>
    <xdr:to>
      <xdr:col>0</xdr:col>
      <xdr:colOff>600075</xdr:colOff>
      <xdr:row>20</xdr:row>
      <xdr:rowOff>123825</xdr:rowOff>
    </xdr:to>
    <xdr:pic>
      <xdr:nvPicPr>
        <xdr:cNvPr id="1591114" name="Picture 1" descr="LOGO DGI">
          <a:extLst>
            <a:ext uri="{FF2B5EF4-FFF2-40B4-BE49-F238E27FC236}">
              <a16:creationId xmlns:a16="http://schemas.microsoft.com/office/drawing/2014/main" id="{C32186BA-6D7E-49FF-A71A-BE889BEE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9718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34</xdr:row>
      <xdr:rowOff>123825</xdr:rowOff>
    </xdr:from>
    <xdr:to>
      <xdr:col>0</xdr:col>
      <xdr:colOff>600075</xdr:colOff>
      <xdr:row>37</xdr:row>
      <xdr:rowOff>123825</xdr:rowOff>
    </xdr:to>
    <xdr:pic>
      <xdr:nvPicPr>
        <xdr:cNvPr id="1591115" name="Picture 1" descr="LOGO DGI">
          <a:extLst>
            <a:ext uri="{FF2B5EF4-FFF2-40B4-BE49-F238E27FC236}">
              <a16:creationId xmlns:a16="http://schemas.microsoft.com/office/drawing/2014/main" id="{7AECC944-4E01-4FE3-A29B-CB2001EC0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8197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51</xdr:row>
      <xdr:rowOff>123825</xdr:rowOff>
    </xdr:from>
    <xdr:to>
      <xdr:col>0</xdr:col>
      <xdr:colOff>600075</xdr:colOff>
      <xdr:row>54</xdr:row>
      <xdr:rowOff>123825</xdr:rowOff>
    </xdr:to>
    <xdr:pic>
      <xdr:nvPicPr>
        <xdr:cNvPr id="1591116" name="Picture 1" descr="LOGO DGI">
          <a:extLst>
            <a:ext uri="{FF2B5EF4-FFF2-40B4-BE49-F238E27FC236}">
              <a16:creationId xmlns:a16="http://schemas.microsoft.com/office/drawing/2014/main" id="{51701899-3760-42EA-9487-9B7444034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6677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68</xdr:row>
      <xdr:rowOff>123825</xdr:rowOff>
    </xdr:from>
    <xdr:to>
      <xdr:col>0</xdr:col>
      <xdr:colOff>600075</xdr:colOff>
      <xdr:row>71</xdr:row>
      <xdr:rowOff>123825</xdr:rowOff>
    </xdr:to>
    <xdr:pic>
      <xdr:nvPicPr>
        <xdr:cNvPr id="1591117" name="Picture 1" descr="LOGO DGI">
          <a:extLst>
            <a:ext uri="{FF2B5EF4-FFF2-40B4-BE49-F238E27FC236}">
              <a16:creationId xmlns:a16="http://schemas.microsoft.com/office/drawing/2014/main" id="{7238F597-5A38-42D0-9BAD-2AD68BE2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5157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85</xdr:row>
      <xdr:rowOff>123825</xdr:rowOff>
    </xdr:from>
    <xdr:to>
      <xdr:col>0</xdr:col>
      <xdr:colOff>600075</xdr:colOff>
      <xdr:row>88</xdr:row>
      <xdr:rowOff>123825</xdr:rowOff>
    </xdr:to>
    <xdr:pic>
      <xdr:nvPicPr>
        <xdr:cNvPr id="1591118" name="Picture 1" descr="LOGO DGI">
          <a:extLst>
            <a:ext uri="{FF2B5EF4-FFF2-40B4-BE49-F238E27FC236}">
              <a16:creationId xmlns:a16="http://schemas.microsoft.com/office/drawing/2014/main" id="{E0F064DF-9DB2-4896-B5A9-05CDCD43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43637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102</xdr:row>
      <xdr:rowOff>123825</xdr:rowOff>
    </xdr:from>
    <xdr:to>
      <xdr:col>0</xdr:col>
      <xdr:colOff>600075</xdr:colOff>
      <xdr:row>105</xdr:row>
      <xdr:rowOff>123825</xdr:rowOff>
    </xdr:to>
    <xdr:pic>
      <xdr:nvPicPr>
        <xdr:cNvPr id="1591119" name="Picture 1" descr="LOGO DGI">
          <a:extLst>
            <a:ext uri="{FF2B5EF4-FFF2-40B4-BE49-F238E27FC236}">
              <a16:creationId xmlns:a16="http://schemas.microsoft.com/office/drawing/2014/main" id="{E0B919AF-4A34-4984-9EF9-5289DA469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7211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119</xdr:row>
      <xdr:rowOff>123825</xdr:rowOff>
    </xdr:from>
    <xdr:to>
      <xdr:col>0</xdr:col>
      <xdr:colOff>600075</xdr:colOff>
      <xdr:row>122</xdr:row>
      <xdr:rowOff>123825</xdr:rowOff>
    </xdr:to>
    <xdr:pic>
      <xdr:nvPicPr>
        <xdr:cNvPr id="1591120" name="Picture 1" descr="LOGO DGI">
          <a:extLst>
            <a:ext uri="{FF2B5EF4-FFF2-40B4-BE49-F238E27FC236}">
              <a16:creationId xmlns:a16="http://schemas.microsoft.com/office/drawing/2014/main" id="{63DE5039-81C5-44FF-835A-5AD812364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0596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136</xdr:row>
      <xdr:rowOff>123825</xdr:rowOff>
    </xdr:from>
    <xdr:to>
      <xdr:col>0</xdr:col>
      <xdr:colOff>600075</xdr:colOff>
      <xdr:row>139</xdr:row>
      <xdr:rowOff>123825</xdr:rowOff>
    </xdr:to>
    <xdr:pic>
      <xdr:nvPicPr>
        <xdr:cNvPr id="1591121" name="Picture 1" descr="LOGO DGI">
          <a:extLst>
            <a:ext uri="{FF2B5EF4-FFF2-40B4-BE49-F238E27FC236}">
              <a16:creationId xmlns:a16="http://schemas.microsoft.com/office/drawing/2014/main" id="{3D5D5C34-BB70-4092-ADE2-43497D91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29076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153</xdr:row>
      <xdr:rowOff>123825</xdr:rowOff>
    </xdr:from>
    <xdr:to>
      <xdr:col>0</xdr:col>
      <xdr:colOff>600075</xdr:colOff>
      <xdr:row>156</xdr:row>
      <xdr:rowOff>123825</xdr:rowOff>
    </xdr:to>
    <xdr:pic>
      <xdr:nvPicPr>
        <xdr:cNvPr id="1591122" name="Picture 1" descr="LOGO DGI">
          <a:extLst>
            <a:ext uri="{FF2B5EF4-FFF2-40B4-BE49-F238E27FC236}">
              <a16:creationId xmlns:a16="http://schemas.microsoft.com/office/drawing/2014/main" id="{93104F31-139B-4A26-83A2-46534F6E7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7556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170</xdr:row>
      <xdr:rowOff>123825</xdr:rowOff>
    </xdr:from>
    <xdr:to>
      <xdr:col>0</xdr:col>
      <xdr:colOff>600075</xdr:colOff>
      <xdr:row>173</xdr:row>
      <xdr:rowOff>123825</xdr:rowOff>
    </xdr:to>
    <xdr:pic>
      <xdr:nvPicPr>
        <xdr:cNvPr id="1591123" name="Picture 1" descr="LOGO DGI">
          <a:extLst>
            <a:ext uri="{FF2B5EF4-FFF2-40B4-BE49-F238E27FC236}">
              <a16:creationId xmlns:a16="http://schemas.microsoft.com/office/drawing/2014/main" id="{EF210F3C-18CA-427C-9149-3FAE32D66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603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187</xdr:row>
      <xdr:rowOff>123825</xdr:rowOff>
    </xdr:from>
    <xdr:to>
      <xdr:col>0</xdr:col>
      <xdr:colOff>600075</xdr:colOff>
      <xdr:row>190</xdr:row>
      <xdr:rowOff>123825</xdr:rowOff>
    </xdr:to>
    <xdr:pic>
      <xdr:nvPicPr>
        <xdr:cNvPr id="1591124" name="Picture 1" descr="LOGO DGI">
          <a:extLst>
            <a:ext uri="{FF2B5EF4-FFF2-40B4-BE49-F238E27FC236}">
              <a16:creationId xmlns:a16="http://schemas.microsoft.com/office/drawing/2014/main" id="{C302C36A-A5A7-40A4-816A-514C172F3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4515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204</xdr:row>
      <xdr:rowOff>123825</xdr:rowOff>
    </xdr:from>
    <xdr:to>
      <xdr:col>0</xdr:col>
      <xdr:colOff>600075</xdr:colOff>
      <xdr:row>207</xdr:row>
      <xdr:rowOff>123825</xdr:rowOff>
    </xdr:to>
    <xdr:pic>
      <xdr:nvPicPr>
        <xdr:cNvPr id="1591125" name="Picture 1" descr="LOGO DGI">
          <a:extLst>
            <a:ext uri="{FF2B5EF4-FFF2-40B4-BE49-F238E27FC236}">
              <a16:creationId xmlns:a16="http://schemas.microsoft.com/office/drawing/2014/main" id="{0ABEC710-6BD3-42EC-927B-68B5BAB9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4299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221</xdr:row>
      <xdr:rowOff>123825</xdr:rowOff>
    </xdr:from>
    <xdr:to>
      <xdr:col>0</xdr:col>
      <xdr:colOff>600075</xdr:colOff>
      <xdr:row>224</xdr:row>
      <xdr:rowOff>123825</xdr:rowOff>
    </xdr:to>
    <xdr:pic>
      <xdr:nvPicPr>
        <xdr:cNvPr id="1591126" name="Picture 1" descr="LOGO DGI">
          <a:extLst>
            <a:ext uri="{FF2B5EF4-FFF2-40B4-BE49-F238E27FC236}">
              <a16:creationId xmlns:a16="http://schemas.microsoft.com/office/drawing/2014/main" id="{EBECDA77-02E9-4903-AB57-6975F97D6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71475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238</xdr:row>
      <xdr:rowOff>123825</xdr:rowOff>
    </xdr:from>
    <xdr:to>
      <xdr:col>0</xdr:col>
      <xdr:colOff>600075</xdr:colOff>
      <xdr:row>241</xdr:row>
      <xdr:rowOff>123825</xdr:rowOff>
    </xdr:to>
    <xdr:pic>
      <xdr:nvPicPr>
        <xdr:cNvPr id="1591127" name="Picture 1" descr="LOGO DGI">
          <a:extLst>
            <a:ext uri="{FF2B5EF4-FFF2-40B4-BE49-F238E27FC236}">
              <a16:creationId xmlns:a16="http://schemas.microsoft.com/office/drawing/2014/main" id="{ED6882A1-5830-4D06-BAB1-9FEEFC58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99954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255</xdr:row>
      <xdr:rowOff>123825</xdr:rowOff>
    </xdr:from>
    <xdr:to>
      <xdr:col>0</xdr:col>
      <xdr:colOff>600075</xdr:colOff>
      <xdr:row>258</xdr:row>
      <xdr:rowOff>123825</xdr:rowOff>
    </xdr:to>
    <xdr:pic>
      <xdr:nvPicPr>
        <xdr:cNvPr id="1591128" name="Picture 1" descr="LOGO DGI">
          <a:extLst>
            <a:ext uri="{FF2B5EF4-FFF2-40B4-BE49-F238E27FC236}">
              <a16:creationId xmlns:a16="http://schemas.microsoft.com/office/drawing/2014/main" id="{CD7AC935-03BC-4FC6-AFD5-85D0475D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28434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272</xdr:row>
      <xdr:rowOff>123825</xdr:rowOff>
    </xdr:from>
    <xdr:to>
      <xdr:col>0</xdr:col>
      <xdr:colOff>600075</xdr:colOff>
      <xdr:row>275</xdr:row>
      <xdr:rowOff>123825</xdr:rowOff>
    </xdr:to>
    <xdr:pic>
      <xdr:nvPicPr>
        <xdr:cNvPr id="1591129" name="Picture 1" descr="LOGO DGI">
          <a:extLst>
            <a:ext uri="{FF2B5EF4-FFF2-40B4-BE49-F238E27FC236}">
              <a16:creationId xmlns:a16="http://schemas.microsoft.com/office/drawing/2014/main" id="{822C7C11-22DD-4AEA-A7BB-702B35BAF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56914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289</xdr:row>
      <xdr:rowOff>123825</xdr:rowOff>
    </xdr:from>
    <xdr:to>
      <xdr:col>0</xdr:col>
      <xdr:colOff>600075</xdr:colOff>
      <xdr:row>292</xdr:row>
      <xdr:rowOff>123825</xdr:rowOff>
    </xdr:to>
    <xdr:pic>
      <xdr:nvPicPr>
        <xdr:cNvPr id="1591130" name="Picture 1" descr="LOGO DGI">
          <a:extLst>
            <a:ext uri="{FF2B5EF4-FFF2-40B4-BE49-F238E27FC236}">
              <a16:creationId xmlns:a16="http://schemas.microsoft.com/office/drawing/2014/main" id="{89EA3C7C-DBCC-4F27-BE8C-E66F41CC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85394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306</xdr:row>
      <xdr:rowOff>123825</xdr:rowOff>
    </xdr:from>
    <xdr:to>
      <xdr:col>0</xdr:col>
      <xdr:colOff>600075</xdr:colOff>
      <xdr:row>309</xdr:row>
      <xdr:rowOff>123825</xdr:rowOff>
    </xdr:to>
    <xdr:pic>
      <xdr:nvPicPr>
        <xdr:cNvPr id="1591131" name="Picture 1" descr="LOGO DGI">
          <a:extLst>
            <a:ext uri="{FF2B5EF4-FFF2-40B4-BE49-F238E27FC236}">
              <a16:creationId xmlns:a16="http://schemas.microsoft.com/office/drawing/2014/main" id="{F6B038CF-52AA-4F2F-B9DD-FEDB38AC8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13873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323</xdr:row>
      <xdr:rowOff>123825</xdr:rowOff>
    </xdr:from>
    <xdr:to>
      <xdr:col>0</xdr:col>
      <xdr:colOff>600075</xdr:colOff>
      <xdr:row>326</xdr:row>
      <xdr:rowOff>123825</xdr:rowOff>
    </xdr:to>
    <xdr:pic>
      <xdr:nvPicPr>
        <xdr:cNvPr id="1591132" name="Picture 1" descr="LOGO DGI">
          <a:extLst>
            <a:ext uri="{FF2B5EF4-FFF2-40B4-BE49-F238E27FC236}">
              <a16:creationId xmlns:a16="http://schemas.microsoft.com/office/drawing/2014/main" id="{46719592-9088-4207-850D-36509521D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42353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340</xdr:row>
      <xdr:rowOff>123825</xdr:rowOff>
    </xdr:from>
    <xdr:to>
      <xdr:col>0</xdr:col>
      <xdr:colOff>600075</xdr:colOff>
      <xdr:row>343</xdr:row>
      <xdr:rowOff>123825</xdr:rowOff>
    </xdr:to>
    <xdr:pic>
      <xdr:nvPicPr>
        <xdr:cNvPr id="1591133" name="Picture 1" descr="LOGO DGI">
          <a:extLst>
            <a:ext uri="{FF2B5EF4-FFF2-40B4-BE49-F238E27FC236}">
              <a16:creationId xmlns:a16="http://schemas.microsoft.com/office/drawing/2014/main" id="{1BD8A44E-4080-4F97-8F51-2B4166689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70833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357</xdr:row>
      <xdr:rowOff>123825</xdr:rowOff>
    </xdr:from>
    <xdr:to>
      <xdr:col>0</xdr:col>
      <xdr:colOff>600075</xdr:colOff>
      <xdr:row>360</xdr:row>
      <xdr:rowOff>123825</xdr:rowOff>
    </xdr:to>
    <xdr:pic>
      <xdr:nvPicPr>
        <xdr:cNvPr id="1591134" name="Picture 1" descr="LOGO DGI">
          <a:extLst>
            <a:ext uri="{FF2B5EF4-FFF2-40B4-BE49-F238E27FC236}">
              <a16:creationId xmlns:a16="http://schemas.microsoft.com/office/drawing/2014/main" id="{55A60DAC-2F6D-4964-A205-787C7451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9931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374</xdr:row>
      <xdr:rowOff>123825</xdr:rowOff>
    </xdr:from>
    <xdr:to>
      <xdr:col>0</xdr:col>
      <xdr:colOff>600075</xdr:colOff>
      <xdr:row>377</xdr:row>
      <xdr:rowOff>123825</xdr:rowOff>
    </xdr:to>
    <xdr:pic>
      <xdr:nvPicPr>
        <xdr:cNvPr id="1591135" name="Picture 1" descr="LOGO DGI">
          <a:extLst>
            <a:ext uri="{FF2B5EF4-FFF2-40B4-BE49-F238E27FC236}">
              <a16:creationId xmlns:a16="http://schemas.microsoft.com/office/drawing/2014/main" id="{08F2D3EB-A4F3-4EED-9DE6-43694FDB4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2779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391</xdr:row>
      <xdr:rowOff>123825</xdr:rowOff>
    </xdr:from>
    <xdr:to>
      <xdr:col>0</xdr:col>
      <xdr:colOff>600075</xdr:colOff>
      <xdr:row>394</xdr:row>
      <xdr:rowOff>123825</xdr:rowOff>
    </xdr:to>
    <xdr:pic>
      <xdr:nvPicPr>
        <xdr:cNvPr id="1591136" name="Picture 1" descr="LOGO DGI">
          <a:extLst>
            <a:ext uri="{FF2B5EF4-FFF2-40B4-BE49-F238E27FC236}">
              <a16:creationId xmlns:a16="http://schemas.microsoft.com/office/drawing/2014/main" id="{1D97F3A4-27AF-48FD-8418-C0CA5AF20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56272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408</xdr:row>
      <xdr:rowOff>123825</xdr:rowOff>
    </xdr:from>
    <xdr:to>
      <xdr:col>0</xdr:col>
      <xdr:colOff>600075</xdr:colOff>
      <xdr:row>411</xdr:row>
      <xdr:rowOff>123825</xdr:rowOff>
    </xdr:to>
    <xdr:pic>
      <xdr:nvPicPr>
        <xdr:cNvPr id="1591137" name="Picture 1" descr="LOGO DGI">
          <a:extLst>
            <a:ext uri="{FF2B5EF4-FFF2-40B4-BE49-F238E27FC236}">
              <a16:creationId xmlns:a16="http://schemas.microsoft.com/office/drawing/2014/main" id="{D08EB38F-431E-4B83-A023-3F029AE27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8475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425</xdr:row>
      <xdr:rowOff>123825</xdr:rowOff>
    </xdr:from>
    <xdr:to>
      <xdr:col>0</xdr:col>
      <xdr:colOff>600075</xdr:colOff>
      <xdr:row>428</xdr:row>
      <xdr:rowOff>123825</xdr:rowOff>
    </xdr:to>
    <xdr:pic>
      <xdr:nvPicPr>
        <xdr:cNvPr id="1591138" name="Picture 1" descr="LOGO DGI">
          <a:extLst>
            <a:ext uri="{FF2B5EF4-FFF2-40B4-BE49-F238E27FC236}">
              <a16:creationId xmlns:a16="http://schemas.microsoft.com/office/drawing/2014/main" id="{9B7FEDE1-6158-4192-8637-A57D9A525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13232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442</xdr:row>
      <xdr:rowOff>123825</xdr:rowOff>
    </xdr:from>
    <xdr:to>
      <xdr:col>0</xdr:col>
      <xdr:colOff>600075</xdr:colOff>
      <xdr:row>445</xdr:row>
      <xdr:rowOff>123825</xdr:rowOff>
    </xdr:to>
    <xdr:pic>
      <xdr:nvPicPr>
        <xdr:cNvPr id="1591139" name="Picture 1" descr="LOGO DGI">
          <a:extLst>
            <a:ext uri="{FF2B5EF4-FFF2-40B4-BE49-F238E27FC236}">
              <a16:creationId xmlns:a16="http://schemas.microsoft.com/office/drawing/2014/main" id="{41F13116-8959-4D57-9BD9-77F33AEFA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41711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459</xdr:row>
      <xdr:rowOff>123825</xdr:rowOff>
    </xdr:from>
    <xdr:to>
      <xdr:col>0</xdr:col>
      <xdr:colOff>600075</xdr:colOff>
      <xdr:row>462</xdr:row>
      <xdr:rowOff>123825</xdr:rowOff>
    </xdr:to>
    <xdr:pic>
      <xdr:nvPicPr>
        <xdr:cNvPr id="1591140" name="Picture 1" descr="LOGO DGI">
          <a:extLst>
            <a:ext uri="{FF2B5EF4-FFF2-40B4-BE49-F238E27FC236}">
              <a16:creationId xmlns:a16="http://schemas.microsoft.com/office/drawing/2014/main" id="{BD858E6C-2B11-4D86-87C5-AD9271AEA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70191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476</xdr:row>
      <xdr:rowOff>123825</xdr:rowOff>
    </xdr:from>
    <xdr:to>
      <xdr:col>0</xdr:col>
      <xdr:colOff>600075</xdr:colOff>
      <xdr:row>479</xdr:row>
      <xdr:rowOff>123825</xdr:rowOff>
    </xdr:to>
    <xdr:pic>
      <xdr:nvPicPr>
        <xdr:cNvPr id="1591141" name="Picture 1" descr="LOGO DGI">
          <a:extLst>
            <a:ext uri="{FF2B5EF4-FFF2-40B4-BE49-F238E27FC236}">
              <a16:creationId xmlns:a16="http://schemas.microsoft.com/office/drawing/2014/main" id="{E69FB8A3-7051-42BD-988E-CAFBA364F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9867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493</xdr:row>
      <xdr:rowOff>123825</xdr:rowOff>
    </xdr:from>
    <xdr:to>
      <xdr:col>0</xdr:col>
      <xdr:colOff>600075</xdr:colOff>
      <xdr:row>496</xdr:row>
      <xdr:rowOff>123825</xdr:rowOff>
    </xdr:to>
    <xdr:pic>
      <xdr:nvPicPr>
        <xdr:cNvPr id="1591142" name="Picture 1" descr="LOGO DGI">
          <a:extLst>
            <a:ext uri="{FF2B5EF4-FFF2-40B4-BE49-F238E27FC236}">
              <a16:creationId xmlns:a16="http://schemas.microsoft.com/office/drawing/2014/main" id="{1644B2E3-1DDE-4693-A214-6D435B98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27151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510</xdr:row>
      <xdr:rowOff>123825</xdr:rowOff>
    </xdr:from>
    <xdr:to>
      <xdr:col>0</xdr:col>
      <xdr:colOff>600075</xdr:colOff>
      <xdr:row>513</xdr:row>
      <xdr:rowOff>123825</xdr:rowOff>
    </xdr:to>
    <xdr:pic>
      <xdr:nvPicPr>
        <xdr:cNvPr id="1591143" name="Picture 1" descr="LOGO DGI">
          <a:extLst>
            <a:ext uri="{FF2B5EF4-FFF2-40B4-BE49-F238E27FC236}">
              <a16:creationId xmlns:a16="http://schemas.microsoft.com/office/drawing/2014/main" id="{534736D1-5C05-4086-9CFD-F620F956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55630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527</xdr:row>
      <xdr:rowOff>123825</xdr:rowOff>
    </xdr:from>
    <xdr:to>
      <xdr:col>0</xdr:col>
      <xdr:colOff>600075</xdr:colOff>
      <xdr:row>530</xdr:row>
      <xdr:rowOff>123825</xdr:rowOff>
    </xdr:to>
    <xdr:pic>
      <xdr:nvPicPr>
        <xdr:cNvPr id="1591144" name="Picture 1" descr="LOGO DGI">
          <a:extLst>
            <a:ext uri="{FF2B5EF4-FFF2-40B4-BE49-F238E27FC236}">
              <a16:creationId xmlns:a16="http://schemas.microsoft.com/office/drawing/2014/main" id="{66773227-5F6C-4A13-B400-62E53A117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84110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544</xdr:row>
      <xdr:rowOff>0</xdr:rowOff>
    </xdr:from>
    <xdr:to>
      <xdr:col>0</xdr:col>
      <xdr:colOff>600075</xdr:colOff>
      <xdr:row>547</xdr:row>
      <xdr:rowOff>0</xdr:rowOff>
    </xdr:to>
    <xdr:pic>
      <xdr:nvPicPr>
        <xdr:cNvPr id="1591145" name="Picture 1" descr="LOGO DGI">
          <a:extLst>
            <a:ext uri="{FF2B5EF4-FFF2-40B4-BE49-F238E27FC236}">
              <a16:creationId xmlns:a16="http://schemas.microsoft.com/office/drawing/2014/main" id="{699D3B2B-2A2A-4346-8738-4FB53B6F2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12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544</xdr:row>
      <xdr:rowOff>0</xdr:rowOff>
    </xdr:from>
    <xdr:to>
      <xdr:col>0</xdr:col>
      <xdr:colOff>600075</xdr:colOff>
      <xdr:row>547</xdr:row>
      <xdr:rowOff>0</xdr:rowOff>
    </xdr:to>
    <xdr:pic>
      <xdr:nvPicPr>
        <xdr:cNvPr id="1591146" name="Picture 1" descr="LOGO DGI">
          <a:extLst>
            <a:ext uri="{FF2B5EF4-FFF2-40B4-BE49-F238E27FC236}">
              <a16:creationId xmlns:a16="http://schemas.microsoft.com/office/drawing/2014/main" id="{72E3ACA6-4C68-4C4C-B099-76090C6A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12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544</xdr:row>
      <xdr:rowOff>0</xdr:rowOff>
    </xdr:from>
    <xdr:to>
      <xdr:col>0</xdr:col>
      <xdr:colOff>600075</xdr:colOff>
      <xdr:row>547</xdr:row>
      <xdr:rowOff>0</xdr:rowOff>
    </xdr:to>
    <xdr:pic>
      <xdr:nvPicPr>
        <xdr:cNvPr id="1591147" name="Picture 1" descr="LOGO DGI">
          <a:extLst>
            <a:ext uri="{FF2B5EF4-FFF2-40B4-BE49-F238E27FC236}">
              <a16:creationId xmlns:a16="http://schemas.microsoft.com/office/drawing/2014/main" id="{226DB168-7520-4EEF-A2CB-B3FB9D48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12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544</xdr:row>
      <xdr:rowOff>0</xdr:rowOff>
    </xdr:from>
    <xdr:to>
      <xdr:col>0</xdr:col>
      <xdr:colOff>600075</xdr:colOff>
      <xdr:row>547</xdr:row>
      <xdr:rowOff>0</xdr:rowOff>
    </xdr:to>
    <xdr:pic>
      <xdr:nvPicPr>
        <xdr:cNvPr id="1591148" name="Picture 1" descr="LOGO DGI">
          <a:extLst>
            <a:ext uri="{FF2B5EF4-FFF2-40B4-BE49-F238E27FC236}">
              <a16:creationId xmlns:a16="http://schemas.microsoft.com/office/drawing/2014/main" id="{07E99F94-C7C7-495F-A9CC-8EAB7754C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12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544</xdr:row>
      <xdr:rowOff>0</xdr:rowOff>
    </xdr:from>
    <xdr:to>
      <xdr:col>0</xdr:col>
      <xdr:colOff>600075</xdr:colOff>
      <xdr:row>547</xdr:row>
      <xdr:rowOff>0</xdr:rowOff>
    </xdr:to>
    <xdr:pic>
      <xdr:nvPicPr>
        <xdr:cNvPr id="1591149" name="Picture 1" descr="LOGO DGI">
          <a:extLst>
            <a:ext uri="{FF2B5EF4-FFF2-40B4-BE49-F238E27FC236}">
              <a16:creationId xmlns:a16="http://schemas.microsoft.com/office/drawing/2014/main" id="{E1F33BB6-395D-4A01-BD9E-B99092248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12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10</xdr:col>
      <xdr:colOff>590550</xdr:colOff>
      <xdr:row>3</xdr:row>
      <xdr:rowOff>114300</xdr:rowOff>
    </xdr:to>
    <xdr:sp macro="" textlink="">
      <xdr:nvSpPr>
        <xdr:cNvPr id="28673" name="CommandButton2" hidden="1">
          <a:extLst>
            <a:ext uri="{63B3BB69-23CF-44E3-9099-C40C66FF867C}">
              <a14:compatExt xmlns:a14="http://schemas.microsoft.com/office/drawing/2010/main" spid="_x0000_s28673"/>
            </a:ext>
            <a:ext uri="{FF2B5EF4-FFF2-40B4-BE49-F238E27FC236}">
              <a16:creationId xmlns:a16="http://schemas.microsoft.com/office/drawing/2014/main" id="{9AFF204F-38B6-4447-9FEF-58D0838E232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923925</xdr:colOff>
      <xdr:row>0</xdr:row>
      <xdr:rowOff>38100</xdr:rowOff>
    </xdr:from>
    <xdr:to>
      <xdr:col>11</xdr:col>
      <xdr:colOff>762000</xdr:colOff>
      <xdr:row>4</xdr:row>
      <xdr:rowOff>19050</xdr:rowOff>
    </xdr:to>
    <xdr:sp macro="" textlink="">
      <xdr:nvSpPr>
        <xdr:cNvPr id="28674" name="CommandButton1" hidden="1">
          <a:extLst>
            <a:ext uri="{63B3BB69-23CF-44E3-9099-C40C66FF867C}">
              <a14:compatExt xmlns:a14="http://schemas.microsoft.com/office/drawing/2010/main" spid="_x0000_s28674"/>
            </a:ext>
            <a:ext uri="{FF2B5EF4-FFF2-40B4-BE49-F238E27FC236}">
              <a16:creationId xmlns:a16="http://schemas.microsoft.com/office/drawing/2014/main" id="{721BB711-3AAC-4313-9B77-4E66B2652F0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38100</xdr:colOff>
      <xdr:row>4</xdr:row>
      <xdr:rowOff>152400</xdr:rowOff>
    </xdr:from>
    <xdr:to>
      <xdr:col>10</xdr:col>
      <xdr:colOff>571500</xdr:colOff>
      <xdr:row>8</xdr:row>
      <xdr:rowOff>85725</xdr:rowOff>
    </xdr:to>
    <xdr:sp macro="" textlink="">
      <xdr:nvSpPr>
        <xdr:cNvPr id="28675" name="CommandButton3" hidden="1">
          <a:extLst>
            <a:ext uri="{63B3BB69-23CF-44E3-9099-C40C66FF867C}">
              <a14:compatExt xmlns:a14="http://schemas.microsoft.com/office/drawing/2010/main" spid="_x0000_s28675"/>
            </a:ext>
            <a:ext uri="{FF2B5EF4-FFF2-40B4-BE49-F238E27FC236}">
              <a16:creationId xmlns:a16="http://schemas.microsoft.com/office/drawing/2014/main" id="{95EDDDFB-1F78-4250-BAED-4C00F15037D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904875</xdr:colOff>
      <xdr:row>5</xdr:row>
      <xdr:rowOff>9525</xdr:rowOff>
    </xdr:from>
    <xdr:to>
      <xdr:col>11</xdr:col>
      <xdr:colOff>752475</xdr:colOff>
      <xdr:row>8</xdr:row>
      <xdr:rowOff>95250</xdr:rowOff>
    </xdr:to>
    <xdr:sp macro="" textlink="">
      <xdr:nvSpPr>
        <xdr:cNvPr id="28676" name="CommandButton4" hidden="1">
          <a:extLst>
            <a:ext uri="{63B3BB69-23CF-44E3-9099-C40C66FF867C}">
              <a14:compatExt xmlns:a14="http://schemas.microsoft.com/office/drawing/2010/main" spid="_x0000_s28676"/>
            </a:ext>
            <a:ext uri="{FF2B5EF4-FFF2-40B4-BE49-F238E27FC236}">
              <a16:creationId xmlns:a16="http://schemas.microsoft.com/office/drawing/2014/main" id="{7FD83574-47A9-4D97-87C8-61B2310729C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482622" name="Picture 1" descr="LOGO DGI">
          <a:extLst>
            <a:ext uri="{FF2B5EF4-FFF2-40B4-BE49-F238E27FC236}">
              <a16:creationId xmlns:a16="http://schemas.microsoft.com/office/drawing/2014/main" id="{2EEB61EE-18D7-4BA4-BF74-C53DEA8C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3" name="Picture 63" descr="LOGO DGI">
          <a:extLst>
            <a:ext uri="{FF2B5EF4-FFF2-40B4-BE49-F238E27FC236}">
              <a16:creationId xmlns:a16="http://schemas.microsoft.com/office/drawing/2014/main" id="{EB95BC08-EE1A-4708-8561-6C79E07B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4" name="Picture 64" descr="LOGO DGI">
          <a:extLst>
            <a:ext uri="{FF2B5EF4-FFF2-40B4-BE49-F238E27FC236}">
              <a16:creationId xmlns:a16="http://schemas.microsoft.com/office/drawing/2014/main" id="{E171B4B7-DD44-4C4E-9FF3-59A88674A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5" name="Picture 65" descr="LOGO DGI">
          <a:extLst>
            <a:ext uri="{FF2B5EF4-FFF2-40B4-BE49-F238E27FC236}">
              <a16:creationId xmlns:a16="http://schemas.microsoft.com/office/drawing/2014/main" id="{AB007AAF-BE22-47FF-AF80-47277A551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6" name="Picture 66" descr="LOGO DGI">
          <a:extLst>
            <a:ext uri="{FF2B5EF4-FFF2-40B4-BE49-F238E27FC236}">
              <a16:creationId xmlns:a16="http://schemas.microsoft.com/office/drawing/2014/main" id="{B9A4A001-E632-4B14-A381-4DDFD2A53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7" name="Picture 67" descr="LOGO DGI">
          <a:extLst>
            <a:ext uri="{FF2B5EF4-FFF2-40B4-BE49-F238E27FC236}">
              <a16:creationId xmlns:a16="http://schemas.microsoft.com/office/drawing/2014/main" id="{FF7C904A-EABF-47B9-A60F-B35CE861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8" name="Picture 68" descr="LOGO DGI">
          <a:extLst>
            <a:ext uri="{FF2B5EF4-FFF2-40B4-BE49-F238E27FC236}">
              <a16:creationId xmlns:a16="http://schemas.microsoft.com/office/drawing/2014/main" id="{0173ED04-18D2-4272-A642-B6D6318B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29" name="Picture 69" descr="LOGO DGI">
          <a:extLst>
            <a:ext uri="{FF2B5EF4-FFF2-40B4-BE49-F238E27FC236}">
              <a16:creationId xmlns:a16="http://schemas.microsoft.com/office/drawing/2014/main" id="{F0C27ABD-10BC-4A40-A03C-65DC4350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0" name="Picture 70" descr="LOGO DGI">
          <a:extLst>
            <a:ext uri="{FF2B5EF4-FFF2-40B4-BE49-F238E27FC236}">
              <a16:creationId xmlns:a16="http://schemas.microsoft.com/office/drawing/2014/main" id="{8EBF85F8-8138-410E-B070-08B2FC01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1" name="Picture 71" descr="LOGO DGI">
          <a:extLst>
            <a:ext uri="{FF2B5EF4-FFF2-40B4-BE49-F238E27FC236}">
              <a16:creationId xmlns:a16="http://schemas.microsoft.com/office/drawing/2014/main" id="{18CD999C-AEC8-4D2A-99BC-1F305372A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2" name="Picture 72" descr="LOGO DGI">
          <a:extLst>
            <a:ext uri="{FF2B5EF4-FFF2-40B4-BE49-F238E27FC236}">
              <a16:creationId xmlns:a16="http://schemas.microsoft.com/office/drawing/2014/main" id="{F01926D6-DE48-4AB2-AA2E-82A258B85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3" name="Picture 73" descr="LOGO DGI">
          <a:extLst>
            <a:ext uri="{FF2B5EF4-FFF2-40B4-BE49-F238E27FC236}">
              <a16:creationId xmlns:a16="http://schemas.microsoft.com/office/drawing/2014/main" id="{A1C3197B-CDCF-407B-BCF7-19B46FB88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4" name="Picture 74" descr="LOGO DGI">
          <a:extLst>
            <a:ext uri="{FF2B5EF4-FFF2-40B4-BE49-F238E27FC236}">
              <a16:creationId xmlns:a16="http://schemas.microsoft.com/office/drawing/2014/main" id="{11AF0066-60A7-43BB-94D7-22B4FB76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482635" name="Picture 75" descr="LOGO DGI">
          <a:extLst>
            <a:ext uri="{FF2B5EF4-FFF2-40B4-BE49-F238E27FC236}">
              <a16:creationId xmlns:a16="http://schemas.microsoft.com/office/drawing/2014/main" id="{D245EA96-4CED-4E8F-B2C4-B61C2CDC2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114300</xdr:rowOff>
    </xdr:from>
    <xdr:to>
      <xdr:col>0</xdr:col>
      <xdr:colOff>561975</xdr:colOff>
      <xdr:row>20</xdr:row>
      <xdr:rowOff>114300</xdr:rowOff>
    </xdr:to>
    <xdr:pic>
      <xdr:nvPicPr>
        <xdr:cNvPr id="1482636" name="Picture 76" descr="LOGO DGI">
          <a:extLst>
            <a:ext uri="{FF2B5EF4-FFF2-40B4-BE49-F238E27FC236}">
              <a16:creationId xmlns:a16="http://schemas.microsoft.com/office/drawing/2014/main" id="{98E92111-6EA8-40ED-8315-963F077A8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622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114300</xdr:rowOff>
    </xdr:from>
    <xdr:to>
      <xdr:col>0</xdr:col>
      <xdr:colOff>561975</xdr:colOff>
      <xdr:row>37</xdr:row>
      <xdr:rowOff>114300</xdr:rowOff>
    </xdr:to>
    <xdr:pic>
      <xdr:nvPicPr>
        <xdr:cNvPr id="1482637" name="Picture 77" descr="LOGO DGI">
          <a:extLst>
            <a:ext uri="{FF2B5EF4-FFF2-40B4-BE49-F238E27FC236}">
              <a16:creationId xmlns:a16="http://schemas.microsoft.com/office/drawing/2014/main" id="{B724E5FA-73B8-4BFE-AAF9-544F5328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8102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114300</xdr:rowOff>
    </xdr:from>
    <xdr:to>
      <xdr:col>0</xdr:col>
      <xdr:colOff>561975</xdr:colOff>
      <xdr:row>54</xdr:row>
      <xdr:rowOff>114300</xdr:rowOff>
    </xdr:to>
    <xdr:pic>
      <xdr:nvPicPr>
        <xdr:cNvPr id="1482638" name="Picture 78" descr="LOGO DGI">
          <a:extLst>
            <a:ext uri="{FF2B5EF4-FFF2-40B4-BE49-F238E27FC236}">
              <a16:creationId xmlns:a16="http://schemas.microsoft.com/office/drawing/2014/main" id="{2B63CAAE-F0A7-4E4A-9F33-A987B6CE2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582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114300</xdr:rowOff>
    </xdr:from>
    <xdr:to>
      <xdr:col>0</xdr:col>
      <xdr:colOff>561975</xdr:colOff>
      <xdr:row>71</xdr:row>
      <xdr:rowOff>114300</xdr:rowOff>
    </xdr:to>
    <xdr:pic>
      <xdr:nvPicPr>
        <xdr:cNvPr id="1482639" name="Picture 79" descr="LOGO DGI">
          <a:extLst>
            <a:ext uri="{FF2B5EF4-FFF2-40B4-BE49-F238E27FC236}">
              <a16:creationId xmlns:a16="http://schemas.microsoft.com/office/drawing/2014/main" id="{B3C7E214-90BD-43B2-8B81-1FB2EAFE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5062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85</xdr:row>
      <xdr:rowOff>114300</xdr:rowOff>
    </xdr:from>
    <xdr:to>
      <xdr:col>0</xdr:col>
      <xdr:colOff>561975</xdr:colOff>
      <xdr:row>88</xdr:row>
      <xdr:rowOff>114300</xdr:rowOff>
    </xdr:to>
    <xdr:pic>
      <xdr:nvPicPr>
        <xdr:cNvPr id="1482640" name="Picture 80" descr="LOGO DGI">
          <a:extLst>
            <a:ext uri="{FF2B5EF4-FFF2-40B4-BE49-F238E27FC236}">
              <a16:creationId xmlns:a16="http://schemas.microsoft.com/office/drawing/2014/main" id="{8C8E8F50-08EC-4244-9B81-8330CB18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541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114300</xdr:rowOff>
    </xdr:from>
    <xdr:to>
      <xdr:col>0</xdr:col>
      <xdr:colOff>561975</xdr:colOff>
      <xdr:row>105</xdr:row>
      <xdr:rowOff>114300</xdr:rowOff>
    </xdr:to>
    <xdr:pic>
      <xdr:nvPicPr>
        <xdr:cNvPr id="1482641" name="Picture 81" descr="LOGO DGI">
          <a:extLst>
            <a:ext uri="{FF2B5EF4-FFF2-40B4-BE49-F238E27FC236}">
              <a16:creationId xmlns:a16="http://schemas.microsoft.com/office/drawing/2014/main" id="{722D74DF-65B3-4A94-B781-57CCAA1AE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2021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119</xdr:row>
      <xdr:rowOff>114300</xdr:rowOff>
    </xdr:from>
    <xdr:to>
      <xdr:col>0</xdr:col>
      <xdr:colOff>561975</xdr:colOff>
      <xdr:row>122</xdr:row>
      <xdr:rowOff>114300</xdr:rowOff>
    </xdr:to>
    <xdr:pic>
      <xdr:nvPicPr>
        <xdr:cNvPr id="1482642" name="Picture 82" descr="LOGO DGI">
          <a:extLst>
            <a:ext uri="{FF2B5EF4-FFF2-40B4-BE49-F238E27FC236}">
              <a16:creationId xmlns:a16="http://schemas.microsoft.com/office/drawing/2014/main" id="{A8B52A32-BE31-42B9-9493-89257865B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0501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136</xdr:row>
      <xdr:rowOff>114300</xdr:rowOff>
    </xdr:from>
    <xdr:to>
      <xdr:col>0</xdr:col>
      <xdr:colOff>561975</xdr:colOff>
      <xdr:row>139</xdr:row>
      <xdr:rowOff>114300</xdr:rowOff>
    </xdr:to>
    <xdr:pic>
      <xdr:nvPicPr>
        <xdr:cNvPr id="1482643" name="Picture 83" descr="LOGO DGI">
          <a:extLst>
            <a:ext uri="{FF2B5EF4-FFF2-40B4-BE49-F238E27FC236}">
              <a16:creationId xmlns:a16="http://schemas.microsoft.com/office/drawing/2014/main" id="{3D1E4C74-1AC4-4B33-B7F3-49E474564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8981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153</xdr:row>
      <xdr:rowOff>114300</xdr:rowOff>
    </xdr:from>
    <xdr:to>
      <xdr:col>0</xdr:col>
      <xdr:colOff>561975</xdr:colOff>
      <xdr:row>156</xdr:row>
      <xdr:rowOff>114300</xdr:rowOff>
    </xdr:to>
    <xdr:pic>
      <xdr:nvPicPr>
        <xdr:cNvPr id="1482644" name="Picture 84" descr="LOGO DGI">
          <a:extLst>
            <a:ext uri="{FF2B5EF4-FFF2-40B4-BE49-F238E27FC236}">
              <a16:creationId xmlns:a16="http://schemas.microsoft.com/office/drawing/2014/main" id="{3663C263-79F5-4746-BD10-330757B0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7460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170</xdr:row>
      <xdr:rowOff>114300</xdr:rowOff>
    </xdr:from>
    <xdr:to>
      <xdr:col>0</xdr:col>
      <xdr:colOff>561975</xdr:colOff>
      <xdr:row>173</xdr:row>
      <xdr:rowOff>114300</xdr:rowOff>
    </xdr:to>
    <xdr:pic>
      <xdr:nvPicPr>
        <xdr:cNvPr id="1482645" name="Picture 85" descr="LOGO DGI">
          <a:extLst>
            <a:ext uri="{FF2B5EF4-FFF2-40B4-BE49-F238E27FC236}">
              <a16:creationId xmlns:a16="http://schemas.microsoft.com/office/drawing/2014/main" id="{EB8EA235-8CC7-42B5-B6AF-7CC3B94A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940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187</xdr:row>
      <xdr:rowOff>114300</xdr:rowOff>
    </xdr:from>
    <xdr:to>
      <xdr:col>0</xdr:col>
      <xdr:colOff>561975</xdr:colOff>
      <xdr:row>190</xdr:row>
      <xdr:rowOff>114300</xdr:rowOff>
    </xdr:to>
    <xdr:pic>
      <xdr:nvPicPr>
        <xdr:cNvPr id="1482646" name="Picture 86" descr="LOGO DGI">
          <a:extLst>
            <a:ext uri="{FF2B5EF4-FFF2-40B4-BE49-F238E27FC236}">
              <a16:creationId xmlns:a16="http://schemas.microsoft.com/office/drawing/2014/main" id="{E2922D9C-DA39-480A-9A3F-BF2271CF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14420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204</xdr:row>
      <xdr:rowOff>114300</xdr:rowOff>
    </xdr:from>
    <xdr:to>
      <xdr:col>0</xdr:col>
      <xdr:colOff>561975</xdr:colOff>
      <xdr:row>207</xdr:row>
      <xdr:rowOff>114300</xdr:rowOff>
    </xdr:to>
    <xdr:pic>
      <xdr:nvPicPr>
        <xdr:cNvPr id="1482647" name="Picture 87" descr="LOGO DGI">
          <a:extLst>
            <a:ext uri="{FF2B5EF4-FFF2-40B4-BE49-F238E27FC236}">
              <a16:creationId xmlns:a16="http://schemas.microsoft.com/office/drawing/2014/main" id="{B825F1CA-D25B-4835-BEAD-93A85959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221</xdr:row>
      <xdr:rowOff>114300</xdr:rowOff>
    </xdr:from>
    <xdr:to>
      <xdr:col>0</xdr:col>
      <xdr:colOff>561975</xdr:colOff>
      <xdr:row>224</xdr:row>
      <xdr:rowOff>114300</xdr:rowOff>
    </xdr:to>
    <xdr:pic>
      <xdr:nvPicPr>
        <xdr:cNvPr id="1482648" name="Picture 88" descr="LOGO DGI">
          <a:extLst>
            <a:ext uri="{FF2B5EF4-FFF2-40B4-BE49-F238E27FC236}">
              <a16:creationId xmlns:a16="http://schemas.microsoft.com/office/drawing/2014/main" id="{5B502DA3-9D1B-4539-A688-E4ED6C0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13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0252" name="CommandButton1" hidden="1">
          <a:extLst>
            <a:ext uri="{63B3BB69-23CF-44E3-9099-C40C66FF867C}">
              <a14:compatExt xmlns:a14="http://schemas.microsoft.com/office/drawing/2010/main" spid="_x0000_s10252"/>
            </a:ext>
            <a:ext uri="{FF2B5EF4-FFF2-40B4-BE49-F238E27FC236}">
              <a16:creationId xmlns:a16="http://schemas.microsoft.com/office/drawing/2014/main" id="{E0720FA6-CDED-4D6A-BA0B-EDA57FAEF59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0253" name="CommandButton2" hidden="1">
          <a:extLst>
            <a:ext uri="{63B3BB69-23CF-44E3-9099-C40C66FF867C}">
              <a14:compatExt xmlns:a14="http://schemas.microsoft.com/office/drawing/2010/main" spid="_x0000_s10253"/>
            </a:ext>
            <a:ext uri="{FF2B5EF4-FFF2-40B4-BE49-F238E27FC236}">
              <a16:creationId xmlns:a16="http://schemas.microsoft.com/office/drawing/2014/main" id="{91553325-3D85-4875-B647-AC45487CADA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10</xdr:col>
      <xdr:colOff>323850</xdr:colOff>
      <xdr:row>5</xdr:row>
      <xdr:rowOff>104775</xdr:rowOff>
    </xdr:to>
    <xdr:sp macro="" textlink="">
      <xdr:nvSpPr>
        <xdr:cNvPr id="29697" name="CommandButton2" hidden="1">
          <a:extLst>
            <a:ext uri="{63B3BB69-23CF-44E3-9099-C40C66FF867C}">
              <a14:compatExt xmlns:a14="http://schemas.microsoft.com/office/drawing/2010/main" spid="_x0000_s29697"/>
            </a:ext>
            <a:ext uri="{FF2B5EF4-FFF2-40B4-BE49-F238E27FC236}">
              <a16:creationId xmlns:a16="http://schemas.microsoft.com/office/drawing/2014/main" id="{98C076D8-6226-4D32-AD1F-F4E1E56409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428625</xdr:colOff>
      <xdr:row>1</xdr:row>
      <xdr:rowOff>114300</xdr:rowOff>
    </xdr:from>
    <xdr:to>
      <xdr:col>11</xdr:col>
      <xdr:colOff>247650</xdr:colOff>
      <xdr:row>5</xdr:row>
      <xdr:rowOff>85725</xdr:rowOff>
    </xdr:to>
    <xdr:sp macro="" textlink="">
      <xdr:nvSpPr>
        <xdr:cNvPr id="29698" name="CommandButton1" hidden="1">
          <a:extLst>
            <a:ext uri="{63B3BB69-23CF-44E3-9099-C40C66FF867C}">
              <a14:compatExt xmlns:a14="http://schemas.microsoft.com/office/drawing/2010/main" spid="_x0000_s29698"/>
            </a:ext>
            <a:ext uri="{FF2B5EF4-FFF2-40B4-BE49-F238E27FC236}">
              <a16:creationId xmlns:a16="http://schemas.microsoft.com/office/drawing/2014/main" id="{19B7DF0A-CE2D-4526-B06E-FBDACAE27F3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6</xdr:row>
      <xdr:rowOff>66675</xdr:rowOff>
    </xdr:from>
    <xdr:to>
      <xdr:col>10</xdr:col>
      <xdr:colOff>342900</xdr:colOff>
      <xdr:row>10</xdr:row>
      <xdr:rowOff>0</xdr:rowOff>
    </xdr:to>
    <xdr:sp macro="" textlink="">
      <xdr:nvSpPr>
        <xdr:cNvPr id="29699" name="CommandButton3" hidden="1">
          <a:extLst>
            <a:ext uri="{63B3BB69-23CF-44E3-9099-C40C66FF867C}">
              <a14:compatExt xmlns:a14="http://schemas.microsoft.com/office/drawing/2010/main" spid="_x0000_s29699"/>
            </a:ext>
            <a:ext uri="{FF2B5EF4-FFF2-40B4-BE49-F238E27FC236}">
              <a16:creationId xmlns:a16="http://schemas.microsoft.com/office/drawing/2014/main" id="{D4DF55B3-39AF-4220-AE06-889C4349523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419100</xdr:colOff>
      <xdr:row>6</xdr:row>
      <xdr:rowOff>76200</xdr:rowOff>
    </xdr:from>
    <xdr:to>
      <xdr:col>11</xdr:col>
      <xdr:colOff>247650</xdr:colOff>
      <xdr:row>9</xdr:row>
      <xdr:rowOff>152400</xdr:rowOff>
    </xdr:to>
    <xdr:sp macro="" textlink="">
      <xdr:nvSpPr>
        <xdr:cNvPr id="29700" name="CommandButton4" hidden="1">
          <a:extLst>
            <a:ext uri="{63B3BB69-23CF-44E3-9099-C40C66FF867C}">
              <a14:compatExt xmlns:a14="http://schemas.microsoft.com/office/drawing/2010/main" spid="_x0000_s29700"/>
            </a:ext>
            <a:ext uri="{FF2B5EF4-FFF2-40B4-BE49-F238E27FC236}">
              <a16:creationId xmlns:a16="http://schemas.microsoft.com/office/drawing/2014/main" id="{BB805EAC-1AAD-4BED-9C11-8AE438FD25B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353254" name="Picture 1" descr="LOGO DGI">
          <a:extLst>
            <a:ext uri="{FF2B5EF4-FFF2-40B4-BE49-F238E27FC236}">
              <a16:creationId xmlns:a16="http://schemas.microsoft.com/office/drawing/2014/main" id="{76A92AA1-942A-417D-BECE-AD59B4BB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114300</xdr:rowOff>
    </xdr:from>
    <xdr:to>
      <xdr:col>0</xdr:col>
      <xdr:colOff>552450</xdr:colOff>
      <xdr:row>20</xdr:row>
      <xdr:rowOff>114300</xdr:rowOff>
    </xdr:to>
    <xdr:pic>
      <xdr:nvPicPr>
        <xdr:cNvPr id="1353255" name="Picture 39" descr="LOGO DGI">
          <a:extLst>
            <a:ext uri="{FF2B5EF4-FFF2-40B4-BE49-F238E27FC236}">
              <a16:creationId xmlns:a16="http://schemas.microsoft.com/office/drawing/2014/main" id="{CF91884B-C020-4651-87DC-6DDB8720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62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114300</xdr:rowOff>
    </xdr:from>
    <xdr:to>
      <xdr:col>0</xdr:col>
      <xdr:colOff>552450</xdr:colOff>
      <xdr:row>37</xdr:row>
      <xdr:rowOff>114300</xdr:rowOff>
    </xdr:to>
    <xdr:pic>
      <xdr:nvPicPr>
        <xdr:cNvPr id="1353256" name="Picture 40" descr="LOGO DGI">
          <a:extLst>
            <a:ext uri="{FF2B5EF4-FFF2-40B4-BE49-F238E27FC236}">
              <a16:creationId xmlns:a16="http://schemas.microsoft.com/office/drawing/2014/main" id="{109F1B95-DAB1-42B6-A1F1-7E093753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8102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114300</xdr:rowOff>
    </xdr:from>
    <xdr:to>
      <xdr:col>0</xdr:col>
      <xdr:colOff>552450</xdr:colOff>
      <xdr:row>54</xdr:row>
      <xdr:rowOff>114300</xdr:rowOff>
    </xdr:to>
    <xdr:pic>
      <xdr:nvPicPr>
        <xdr:cNvPr id="1353257" name="Picture 41" descr="LOGO DGI">
          <a:extLst>
            <a:ext uri="{FF2B5EF4-FFF2-40B4-BE49-F238E27FC236}">
              <a16:creationId xmlns:a16="http://schemas.microsoft.com/office/drawing/2014/main" id="{3ED170B9-F1C2-4E0D-9331-56171244D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58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114300</xdr:rowOff>
    </xdr:from>
    <xdr:to>
      <xdr:col>0</xdr:col>
      <xdr:colOff>552450</xdr:colOff>
      <xdr:row>71</xdr:row>
      <xdr:rowOff>114300</xdr:rowOff>
    </xdr:to>
    <xdr:pic>
      <xdr:nvPicPr>
        <xdr:cNvPr id="1353258" name="Picture 42" descr="LOGO DGI">
          <a:extLst>
            <a:ext uri="{FF2B5EF4-FFF2-40B4-BE49-F238E27FC236}">
              <a16:creationId xmlns:a16="http://schemas.microsoft.com/office/drawing/2014/main" id="{B7D582DB-A6F1-4D0C-AC77-F49222DF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5062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85</xdr:row>
      <xdr:rowOff>114300</xdr:rowOff>
    </xdr:from>
    <xdr:to>
      <xdr:col>0</xdr:col>
      <xdr:colOff>552450</xdr:colOff>
      <xdr:row>88</xdr:row>
      <xdr:rowOff>114300</xdr:rowOff>
    </xdr:to>
    <xdr:pic>
      <xdr:nvPicPr>
        <xdr:cNvPr id="1353259" name="Picture 43" descr="LOGO DGI">
          <a:extLst>
            <a:ext uri="{FF2B5EF4-FFF2-40B4-BE49-F238E27FC236}">
              <a16:creationId xmlns:a16="http://schemas.microsoft.com/office/drawing/2014/main" id="{DD50CB2A-FD98-4F8D-A0BC-65097C53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541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114300</xdr:rowOff>
    </xdr:from>
    <xdr:to>
      <xdr:col>0</xdr:col>
      <xdr:colOff>552450</xdr:colOff>
      <xdr:row>105</xdr:row>
      <xdr:rowOff>114300</xdr:rowOff>
    </xdr:to>
    <xdr:pic>
      <xdr:nvPicPr>
        <xdr:cNvPr id="1353260" name="Picture 44" descr="LOGO DGI">
          <a:extLst>
            <a:ext uri="{FF2B5EF4-FFF2-40B4-BE49-F238E27FC236}">
              <a16:creationId xmlns:a16="http://schemas.microsoft.com/office/drawing/2014/main" id="{1133333B-57F7-47F6-A3D6-096D8142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2021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119</xdr:row>
      <xdr:rowOff>114300</xdr:rowOff>
    </xdr:from>
    <xdr:to>
      <xdr:col>0</xdr:col>
      <xdr:colOff>552450</xdr:colOff>
      <xdr:row>122</xdr:row>
      <xdr:rowOff>114300</xdr:rowOff>
    </xdr:to>
    <xdr:pic>
      <xdr:nvPicPr>
        <xdr:cNvPr id="1353261" name="Picture 45" descr="LOGO DGI">
          <a:extLst>
            <a:ext uri="{FF2B5EF4-FFF2-40B4-BE49-F238E27FC236}">
              <a16:creationId xmlns:a16="http://schemas.microsoft.com/office/drawing/2014/main" id="{07563EDC-5FC3-467C-9B1A-4ED5AC8C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050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1284" name="CommandButton1" hidden="1">
          <a:extLst>
            <a:ext uri="{63B3BB69-23CF-44E3-9099-C40C66FF867C}">
              <a14:compatExt xmlns:a14="http://schemas.microsoft.com/office/drawing/2010/main" spid="_x0000_s11284"/>
            </a:ext>
            <a:ext uri="{FF2B5EF4-FFF2-40B4-BE49-F238E27FC236}">
              <a16:creationId xmlns:a16="http://schemas.microsoft.com/office/drawing/2014/main" id="{260950D9-86C8-4DF7-9600-794E9729BF0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1285" name="CommandButton2" hidden="1">
          <a:extLst>
            <a:ext uri="{63B3BB69-23CF-44E3-9099-C40C66FF867C}">
              <a14:compatExt xmlns:a14="http://schemas.microsoft.com/office/drawing/2010/main" spid="_x0000_s11285"/>
            </a:ext>
            <a:ext uri="{FF2B5EF4-FFF2-40B4-BE49-F238E27FC236}">
              <a16:creationId xmlns:a16="http://schemas.microsoft.com/office/drawing/2014/main" id="{DCF0CF3C-3ECD-41ED-8717-040C6877B67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104775</xdr:rowOff>
    </xdr:from>
    <xdr:to>
      <xdr:col>10</xdr:col>
      <xdr:colOff>533400</xdr:colOff>
      <xdr:row>4</xdr:row>
      <xdr:rowOff>47625</xdr:rowOff>
    </xdr:to>
    <xdr:sp macro="" textlink="">
      <xdr:nvSpPr>
        <xdr:cNvPr id="30721" name="CommandButton2" hidden="1">
          <a:extLst>
            <a:ext uri="{63B3BB69-23CF-44E3-9099-C40C66FF867C}">
              <a14:compatExt xmlns:a14="http://schemas.microsoft.com/office/drawing/2010/main" spid="_x0000_s30721"/>
            </a:ext>
            <a:ext uri="{FF2B5EF4-FFF2-40B4-BE49-F238E27FC236}">
              <a16:creationId xmlns:a16="http://schemas.microsoft.com/office/drawing/2014/main" id="{EE9044FA-A838-4C98-A045-1F195DC8040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752475</xdr:colOff>
      <xdr:row>0</xdr:row>
      <xdr:rowOff>66675</xdr:rowOff>
    </xdr:from>
    <xdr:to>
      <xdr:col>11</xdr:col>
      <xdr:colOff>714375</xdr:colOff>
      <xdr:row>4</xdr:row>
      <xdr:rowOff>38100</xdr:rowOff>
    </xdr:to>
    <xdr:sp macro="" textlink="">
      <xdr:nvSpPr>
        <xdr:cNvPr id="30722" name="CommandButton1" hidden="1">
          <a:extLst>
            <a:ext uri="{63B3BB69-23CF-44E3-9099-C40C66FF867C}">
              <a14:compatExt xmlns:a14="http://schemas.microsoft.com/office/drawing/2010/main" spid="_x0000_s30722"/>
            </a:ext>
            <a:ext uri="{FF2B5EF4-FFF2-40B4-BE49-F238E27FC236}">
              <a16:creationId xmlns:a16="http://schemas.microsoft.com/office/drawing/2014/main" id="{A103A438-F47A-4D16-B108-D44BBF89C7C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5</xdr:row>
      <xdr:rowOff>19050</xdr:rowOff>
    </xdr:from>
    <xdr:to>
      <xdr:col>10</xdr:col>
      <xdr:colOff>552450</xdr:colOff>
      <xdr:row>8</xdr:row>
      <xdr:rowOff>114300</xdr:rowOff>
    </xdr:to>
    <xdr:sp macro="" textlink="">
      <xdr:nvSpPr>
        <xdr:cNvPr id="30723" name="CommandButton3" hidden="1">
          <a:extLst>
            <a:ext uri="{63B3BB69-23CF-44E3-9099-C40C66FF867C}">
              <a14:compatExt xmlns:a14="http://schemas.microsoft.com/office/drawing/2010/main" spid="_x0000_s30723"/>
            </a:ext>
            <a:ext uri="{FF2B5EF4-FFF2-40B4-BE49-F238E27FC236}">
              <a16:creationId xmlns:a16="http://schemas.microsoft.com/office/drawing/2014/main" id="{40D85FC0-C87C-437E-8806-6F9DB5537D2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762000</xdr:colOff>
      <xdr:row>5</xdr:row>
      <xdr:rowOff>19050</xdr:rowOff>
    </xdr:from>
    <xdr:to>
      <xdr:col>11</xdr:col>
      <xdr:colOff>733425</xdr:colOff>
      <xdr:row>8</xdr:row>
      <xdr:rowOff>95250</xdr:rowOff>
    </xdr:to>
    <xdr:sp macro="" textlink="">
      <xdr:nvSpPr>
        <xdr:cNvPr id="30724" name="CommandButton4" hidden="1">
          <a:extLst>
            <a:ext uri="{63B3BB69-23CF-44E3-9099-C40C66FF867C}">
              <a14:compatExt xmlns:a14="http://schemas.microsoft.com/office/drawing/2010/main" spid="_x0000_s30724"/>
            </a:ext>
            <a:ext uri="{FF2B5EF4-FFF2-40B4-BE49-F238E27FC236}">
              <a16:creationId xmlns:a16="http://schemas.microsoft.com/office/drawing/2014/main" id="{162941B9-82D6-4310-BEB5-39D6947A2F2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453675" name="Picture 1" descr="LOGO DGI">
          <a:extLst>
            <a:ext uri="{FF2B5EF4-FFF2-40B4-BE49-F238E27FC236}">
              <a16:creationId xmlns:a16="http://schemas.microsoft.com/office/drawing/2014/main" id="{3BE4F5C3-5478-4B56-B11A-468764C97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453676" name="Picture 44" descr="LOGO DGI">
          <a:extLst>
            <a:ext uri="{FF2B5EF4-FFF2-40B4-BE49-F238E27FC236}">
              <a16:creationId xmlns:a16="http://schemas.microsoft.com/office/drawing/2014/main" id="{3EE73C42-CCD3-4B46-8BBC-B9DF82EE6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453677" name="Picture 45" descr="LOGO DGI">
          <a:extLst>
            <a:ext uri="{FF2B5EF4-FFF2-40B4-BE49-F238E27FC236}">
              <a16:creationId xmlns:a16="http://schemas.microsoft.com/office/drawing/2014/main" id="{CED2B8CC-94B2-41CE-858F-0EA9F7E91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453678" name="Picture 46" descr="LOGO DGI">
          <a:extLst>
            <a:ext uri="{FF2B5EF4-FFF2-40B4-BE49-F238E27FC236}">
              <a16:creationId xmlns:a16="http://schemas.microsoft.com/office/drawing/2014/main" id="{EBA30564-40F4-4ECE-B866-25E09636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453679" name="Picture 47" descr="LOGO DGI">
          <a:extLst>
            <a:ext uri="{FF2B5EF4-FFF2-40B4-BE49-F238E27FC236}">
              <a16:creationId xmlns:a16="http://schemas.microsoft.com/office/drawing/2014/main" id="{5095C9F2-9075-4D13-B2EA-E71CC9A5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453680" name="Picture 48" descr="LOGO DGI">
          <a:extLst>
            <a:ext uri="{FF2B5EF4-FFF2-40B4-BE49-F238E27FC236}">
              <a16:creationId xmlns:a16="http://schemas.microsoft.com/office/drawing/2014/main" id="{EEB93D01-9034-4F69-95E2-1CC01CF6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1" name="Picture 49" descr="LOGO DGI">
          <a:extLst>
            <a:ext uri="{FF2B5EF4-FFF2-40B4-BE49-F238E27FC236}">
              <a16:creationId xmlns:a16="http://schemas.microsoft.com/office/drawing/2014/main" id="{B5F915B7-C52B-45BB-BBE3-A1737A320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2" name="Picture 50" descr="LOGO DGI">
          <a:extLst>
            <a:ext uri="{FF2B5EF4-FFF2-40B4-BE49-F238E27FC236}">
              <a16:creationId xmlns:a16="http://schemas.microsoft.com/office/drawing/2014/main" id="{B8023F07-6FD3-49A6-949F-95589AAE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3" name="Picture 51" descr="LOGO DGI">
          <a:extLst>
            <a:ext uri="{FF2B5EF4-FFF2-40B4-BE49-F238E27FC236}">
              <a16:creationId xmlns:a16="http://schemas.microsoft.com/office/drawing/2014/main" id="{FC50CD0D-222F-4FBB-AFDD-54601827C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4" name="Picture 52" descr="LOGO DGI">
          <a:extLst>
            <a:ext uri="{FF2B5EF4-FFF2-40B4-BE49-F238E27FC236}">
              <a16:creationId xmlns:a16="http://schemas.microsoft.com/office/drawing/2014/main" id="{F0DEFFD4-3082-45BC-8BA1-565C901F7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5" name="Picture 53" descr="LOGO DGI">
          <a:extLst>
            <a:ext uri="{FF2B5EF4-FFF2-40B4-BE49-F238E27FC236}">
              <a16:creationId xmlns:a16="http://schemas.microsoft.com/office/drawing/2014/main" id="{C0942D5E-9B1E-4098-B2FC-63A59213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6" name="Picture 54" descr="LOGO DGI">
          <a:extLst>
            <a:ext uri="{FF2B5EF4-FFF2-40B4-BE49-F238E27FC236}">
              <a16:creationId xmlns:a16="http://schemas.microsoft.com/office/drawing/2014/main" id="{5A0654E1-91A0-447B-941D-2B3BFE87B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7" name="Picture 55" descr="LOGO DGI">
          <a:extLst>
            <a:ext uri="{FF2B5EF4-FFF2-40B4-BE49-F238E27FC236}">
              <a16:creationId xmlns:a16="http://schemas.microsoft.com/office/drawing/2014/main" id="{421FE623-046D-48FE-8074-476D87B8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8" name="Picture 56" descr="LOGO DGI">
          <a:extLst>
            <a:ext uri="{FF2B5EF4-FFF2-40B4-BE49-F238E27FC236}">
              <a16:creationId xmlns:a16="http://schemas.microsoft.com/office/drawing/2014/main" id="{CEAEC288-045C-4BA2-9C0E-11AC760C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453689" name="Picture 57" descr="LOGO DGI">
          <a:extLst>
            <a:ext uri="{FF2B5EF4-FFF2-40B4-BE49-F238E27FC236}">
              <a16:creationId xmlns:a16="http://schemas.microsoft.com/office/drawing/2014/main" id="{6A8CA244-6A1D-4309-A807-A50C6659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2319" name="CommandButton1" hidden="1">
          <a:extLst>
            <a:ext uri="{63B3BB69-23CF-44E3-9099-C40C66FF867C}">
              <a14:compatExt xmlns:a14="http://schemas.microsoft.com/office/drawing/2010/main" spid="_x0000_s12319"/>
            </a:ext>
            <a:ext uri="{FF2B5EF4-FFF2-40B4-BE49-F238E27FC236}">
              <a16:creationId xmlns:a16="http://schemas.microsoft.com/office/drawing/2014/main" id="{BF4A4495-E812-4645-B645-A699350F737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2320" name="CommandButton2" hidden="1">
          <a:extLst>
            <a:ext uri="{63B3BB69-23CF-44E3-9099-C40C66FF867C}">
              <a14:compatExt xmlns:a14="http://schemas.microsoft.com/office/drawing/2010/main" spid="_x0000_s12320"/>
            </a:ext>
            <a:ext uri="{FF2B5EF4-FFF2-40B4-BE49-F238E27FC236}">
              <a16:creationId xmlns:a16="http://schemas.microsoft.com/office/drawing/2014/main" id="{8D4D4882-B615-4890-94D8-CD98214AAD0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1</xdr:row>
      <xdr:rowOff>47625</xdr:rowOff>
    </xdr:from>
    <xdr:to>
      <xdr:col>10</xdr:col>
      <xdr:colOff>923925</xdr:colOff>
      <xdr:row>4</xdr:row>
      <xdr:rowOff>152400</xdr:rowOff>
    </xdr:to>
    <xdr:sp macro="" textlink="">
      <xdr:nvSpPr>
        <xdr:cNvPr id="31745" name="CommandButton2" hidden="1">
          <a:extLst>
            <a:ext uri="{63B3BB69-23CF-44E3-9099-C40C66FF867C}">
              <a14:compatExt xmlns:a14="http://schemas.microsoft.com/office/drawing/2010/main" spid="_x0000_s31745"/>
            </a:ext>
            <a:ext uri="{FF2B5EF4-FFF2-40B4-BE49-F238E27FC236}">
              <a16:creationId xmlns:a16="http://schemas.microsoft.com/office/drawing/2014/main" id="{EF262FD5-C25F-4392-A645-3E6EAE34F90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1076325</xdr:colOff>
      <xdr:row>1</xdr:row>
      <xdr:rowOff>47625</xdr:rowOff>
    </xdr:from>
    <xdr:to>
      <xdr:col>11</xdr:col>
      <xdr:colOff>923925</xdr:colOff>
      <xdr:row>5</xdr:row>
      <xdr:rowOff>19050</xdr:rowOff>
    </xdr:to>
    <xdr:sp macro="" textlink="">
      <xdr:nvSpPr>
        <xdr:cNvPr id="31746" name="CommandButton1" hidden="1">
          <a:extLst>
            <a:ext uri="{63B3BB69-23CF-44E3-9099-C40C66FF867C}">
              <a14:compatExt xmlns:a14="http://schemas.microsoft.com/office/drawing/2010/main" spid="_x0000_s31746"/>
            </a:ext>
            <a:ext uri="{FF2B5EF4-FFF2-40B4-BE49-F238E27FC236}">
              <a16:creationId xmlns:a16="http://schemas.microsoft.com/office/drawing/2014/main" id="{3B89A38C-972A-4C23-AC93-1866F354AFD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466725</xdr:colOff>
      <xdr:row>5</xdr:row>
      <xdr:rowOff>47625</xdr:rowOff>
    </xdr:from>
    <xdr:to>
      <xdr:col>10</xdr:col>
      <xdr:colOff>952500</xdr:colOff>
      <xdr:row>8</xdr:row>
      <xdr:rowOff>152400</xdr:rowOff>
    </xdr:to>
    <xdr:sp macro="" textlink="">
      <xdr:nvSpPr>
        <xdr:cNvPr id="31747" name="CommandButton3" hidden="1">
          <a:extLst>
            <a:ext uri="{63B3BB69-23CF-44E3-9099-C40C66FF867C}">
              <a14:compatExt xmlns:a14="http://schemas.microsoft.com/office/drawing/2010/main" spid="_x0000_s31747"/>
            </a:ext>
            <a:ext uri="{FF2B5EF4-FFF2-40B4-BE49-F238E27FC236}">
              <a16:creationId xmlns:a16="http://schemas.microsoft.com/office/drawing/2014/main" id="{F0C643CD-5B9E-4DBE-8024-1EA864FEAAE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1066800</xdr:colOff>
      <xdr:row>5</xdr:row>
      <xdr:rowOff>66675</xdr:rowOff>
    </xdr:from>
    <xdr:to>
      <xdr:col>11</xdr:col>
      <xdr:colOff>923925</xdr:colOff>
      <xdr:row>8</xdr:row>
      <xdr:rowOff>152400</xdr:rowOff>
    </xdr:to>
    <xdr:sp macro="" textlink="">
      <xdr:nvSpPr>
        <xdr:cNvPr id="31748" name="CommandButton4" hidden="1">
          <a:extLst>
            <a:ext uri="{63B3BB69-23CF-44E3-9099-C40C66FF867C}">
              <a14:compatExt xmlns:a14="http://schemas.microsoft.com/office/drawing/2010/main" spid="_x0000_s31748"/>
            </a:ext>
            <a:ext uri="{FF2B5EF4-FFF2-40B4-BE49-F238E27FC236}">
              <a16:creationId xmlns:a16="http://schemas.microsoft.com/office/drawing/2014/main" id="{EFC13617-F929-4FFE-9B56-963D1840966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142875</xdr:rowOff>
    </xdr:from>
    <xdr:to>
      <xdr:col>0</xdr:col>
      <xdr:colOff>695325</xdr:colOff>
      <xdr:row>3</xdr:row>
      <xdr:rowOff>142875</xdr:rowOff>
    </xdr:to>
    <xdr:pic>
      <xdr:nvPicPr>
        <xdr:cNvPr id="1552174" name="Picture 1" descr="LOGO DGI">
          <a:extLst>
            <a:ext uri="{FF2B5EF4-FFF2-40B4-BE49-F238E27FC236}">
              <a16:creationId xmlns:a16="http://schemas.microsoft.com/office/drawing/2014/main" id="{71BBB6EA-0643-4981-9D5B-8C38B283A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75" name="Picture 111" descr="LOGO DGI">
          <a:extLst>
            <a:ext uri="{FF2B5EF4-FFF2-40B4-BE49-F238E27FC236}">
              <a16:creationId xmlns:a16="http://schemas.microsoft.com/office/drawing/2014/main" id="{2FA4A2F8-BC1D-444F-9189-405180FF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76" name="Picture 112" descr="LOGO DGI">
          <a:extLst>
            <a:ext uri="{FF2B5EF4-FFF2-40B4-BE49-F238E27FC236}">
              <a16:creationId xmlns:a16="http://schemas.microsoft.com/office/drawing/2014/main" id="{1F9B106A-7E5D-4FDB-8C41-6BF973AC2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77" name="Picture 113" descr="LOGO DGI">
          <a:extLst>
            <a:ext uri="{FF2B5EF4-FFF2-40B4-BE49-F238E27FC236}">
              <a16:creationId xmlns:a16="http://schemas.microsoft.com/office/drawing/2014/main" id="{7CF8DA61-607B-442A-AA4A-02047C8B4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19050</xdr:rowOff>
    </xdr:to>
    <xdr:pic>
      <xdr:nvPicPr>
        <xdr:cNvPr id="1552178" name="Picture 114" descr="LOGO DGI">
          <a:extLst>
            <a:ext uri="{FF2B5EF4-FFF2-40B4-BE49-F238E27FC236}">
              <a16:creationId xmlns:a16="http://schemas.microsoft.com/office/drawing/2014/main" id="{ACA3B870-B55C-4549-8127-917E4ED8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79" name="Picture 115" descr="LOGO DGI">
          <a:extLst>
            <a:ext uri="{FF2B5EF4-FFF2-40B4-BE49-F238E27FC236}">
              <a16:creationId xmlns:a16="http://schemas.microsoft.com/office/drawing/2014/main" id="{51745C3D-6C7D-47C9-9CCA-4644D5F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80" name="Picture 116" descr="LOGO DGI">
          <a:extLst>
            <a:ext uri="{FF2B5EF4-FFF2-40B4-BE49-F238E27FC236}">
              <a16:creationId xmlns:a16="http://schemas.microsoft.com/office/drawing/2014/main" id="{ED8D4DEE-A280-4EDD-8A0C-B2D06BE69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81" name="Picture 117" descr="LOGO DGI">
          <a:extLst>
            <a:ext uri="{FF2B5EF4-FFF2-40B4-BE49-F238E27FC236}">
              <a16:creationId xmlns:a16="http://schemas.microsoft.com/office/drawing/2014/main" id="{B679EDC0-97E7-41BA-A4BA-AB62A5377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19050</xdr:rowOff>
    </xdr:to>
    <xdr:pic>
      <xdr:nvPicPr>
        <xdr:cNvPr id="1552182" name="Picture 118" descr="LOGO DGI">
          <a:extLst>
            <a:ext uri="{FF2B5EF4-FFF2-40B4-BE49-F238E27FC236}">
              <a16:creationId xmlns:a16="http://schemas.microsoft.com/office/drawing/2014/main" id="{FA171B47-D993-4B7B-8E66-B0DCFFA1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83" name="Picture 119" descr="LOGO DGI">
          <a:extLst>
            <a:ext uri="{FF2B5EF4-FFF2-40B4-BE49-F238E27FC236}">
              <a16:creationId xmlns:a16="http://schemas.microsoft.com/office/drawing/2014/main" id="{07471442-D02A-4ACC-9485-E4A0A8C2F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17</xdr:row>
      <xdr:rowOff>0</xdr:rowOff>
    </xdr:from>
    <xdr:to>
      <xdr:col>0</xdr:col>
      <xdr:colOff>638175</xdr:colOff>
      <xdr:row>20</xdr:row>
      <xdr:rowOff>9525</xdr:rowOff>
    </xdr:to>
    <xdr:pic>
      <xdr:nvPicPr>
        <xdr:cNvPr id="1552184" name="Picture 120" descr="LOGO DGI">
          <a:extLst>
            <a:ext uri="{FF2B5EF4-FFF2-40B4-BE49-F238E27FC236}">
              <a16:creationId xmlns:a16="http://schemas.microsoft.com/office/drawing/2014/main" id="{19043D81-5318-4DB8-BD96-467C90216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85" name="Picture 121" descr="LOGO DGI">
          <a:extLst>
            <a:ext uri="{FF2B5EF4-FFF2-40B4-BE49-F238E27FC236}">
              <a16:creationId xmlns:a16="http://schemas.microsoft.com/office/drawing/2014/main" id="{324CF4FC-A42B-43FF-953F-5BBB6D40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86" name="Picture 122" descr="LOGO DGI">
          <a:extLst>
            <a:ext uri="{FF2B5EF4-FFF2-40B4-BE49-F238E27FC236}">
              <a16:creationId xmlns:a16="http://schemas.microsoft.com/office/drawing/2014/main" id="{655BF134-38F7-461E-9D6F-998B77EF1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87" name="Picture 123" descr="LOGO DGI">
          <a:extLst>
            <a:ext uri="{FF2B5EF4-FFF2-40B4-BE49-F238E27FC236}">
              <a16:creationId xmlns:a16="http://schemas.microsoft.com/office/drawing/2014/main" id="{0BC4BA74-A39F-453E-B25A-BC520B994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88" name="Picture 124" descr="LOGO DGI">
          <a:extLst>
            <a:ext uri="{FF2B5EF4-FFF2-40B4-BE49-F238E27FC236}">
              <a16:creationId xmlns:a16="http://schemas.microsoft.com/office/drawing/2014/main" id="{A57AF43B-D01A-4984-9403-08C240F37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89" name="Picture 125" descr="LOGO DGI">
          <a:extLst>
            <a:ext uri="{FF2B5EF4-FFF2-40B4-BE49-F238E27FC236}">
              <a16:creationId xmlns:a16="http://schemas.microsoft.com/office/drawing/2014/main" id="{92D77E36-209A-4566-85EF-DD92E7D94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0" name="Picture 126" descr="LOGO DGI">
          <a:extLst>
            <a:ext uri="{FF2B5EF4-FFF2-40B4-BE49-F238E27FC236}">
              <a16:creationId xmlns:a16="http://schemas.microsoft.com/office/drawing/2014/main" id="{8964D7DE-9D09-46C7-B0AF-BB3B32516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1" name="Picture 127" descr="LOGO DGI">
          <a:extLst>
            <a:ext uri="{FF2B5EF4-FFF2-40B4-BE49-F238E27FC236}">
              <a16:creationId xmlns:a16="http://schemas.microsoft.com/office/drawing/2014/main" id="{8E8733AC-9E5D-4C3B-86DB-3CF1E8D1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2" name="Picture 128" descr="LOGO DGI">
          <a:extLst>
            <a:ext uri="{FF2B5EF4-FFF2-40B4-BE49-F238E27FC236}">
              <a16:creationId xmlns:a16="http://schemas.microsoft.com/office/drawing/2014/main" id="{BB1E644A-4802-4AE4-A6EB-4F3BEFD34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3" name="Picture 129" descr="LOGO DGI">
          <a:extLst>
            <a:ext uri="{FF2B5EF4-FFF2-40B4-BE49-F238E27FC236}">
              <a16:creationId xmlns:a16="http://schemas.microsoft.com/office/drawing/2014/main" id="{6D5BF9DC-A0F4-46CE-80B6-D823B14DA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4" name="Picture 130" descr="LOGO DGI">
          <a:extLst>
            <a:ext uri="{FF2B5EF4-FFF2-40B4-BE49-F238E27FC236}">
              <a16:creationId xmlns:a16="http://schemas.microsoft.com/office/drawing/2014/main" id="{1E58F959-127C-46FB-853F-B792A8F2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5" name="Picture 131" descr="LOGO DGI">
          <a:extLst>
            <a:ext uri="{FF2B5EF4-FFF2-40B4-BE49-F238E27FC236}">
              <a16:creationId xmlns:a16="http://schemas.microsoft.com/office/drawing/2014/main" id="{6369102B-BB53-4D6D-AFF4-B94EEEE98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6" name="Picture 132" descr="LOGO DGI">
          <a:extLst>
            <a:ext uri="{FF2B5EF4-FFF2-40B4-BE49-F238E27FC236}">
              <a16:creationId xmlns:a16="http://schemas.microsoft.com/office/drawing/2014/main" id="{18A36376-BF17-4A97-ADFF-DE46919D2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7" name="Picture 133" descr="LOGO DGI">
          <a:extLst>
            <a:ext uri="{FF2B5EF4-FFF2-40B4-BE49-F238E27FC236}">
              <a16:creationId xmlns:a16="http://schemas.microsoft.com/office/drawing/2014/main" id="{2BEF1A7D-E17C-4C2B-A595-05D8F61B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8" name="Picture 134" descr="LOGO DGI">
          <a:extLst>
            <a:ext uri="{FF2B5EF4-FFF2-40B4-BE49-F238E27FC236}">
              <a16:creationId xmlns:a16="http://schemas.microsoft.com/office/drawing/2014/main" id="{C4EBA4FB-F14D-456E-A1E1-89CE7777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199" name="Picture 135" descr="LOGO DGI">
          <a:extLst>
            <a:ext uri="{FF2B5EF4-FFF2-40B4-BE49-F238E27FC236}">
              <a16:creationId xmlns:a16="http://schemas.microsoft.com/office/drawing/2014/main" id="{C4A1FC4D-EA86-482E-8064-79B0E13E5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0" name="Picture 136" descr="LOGO DGI">
          <a:extLst>
            <a:ext uri="{FF2B5EF4-FFF2-40B4-BE49-F238E27FC236}">
              <a16:creationId xmlns:a16="http://schemas.microsoft.com/office/drawing/2014/main" id="{D5611163-6B55-4A0C-B28C-2784B8D57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1" name="Picture 137" descr="LOGO DGI">
          <a:extLst>
            <a:ext uri="{FF2B5EF4-FFF2-40B4-BE49-F238E27FC236}">
              <a16:creationId xmlns:a16="http://schemas.microsoft.com/office/drawing/2014/main" id="{DC5E79EF-E02D-44AE-8944-9AB2D6CA6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2" name="Picture 138" descr="LOGO DGI">
          <a:extLst>
            <a:ext uri="{FF2B5EF4-FFF2-40B4-BE49-F238E27FC236}">
              <a16:creationId xmlns:a16="http://schemas.microsoft.com/office/drawing/2014/main" id="{3B2977BE-7434-4EFB-BD60-40A817F00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3" name="Picture 139" descr="LOGO DGI">
          <a:extLst>
            <a:ext uri="{FF2B5EF4-FFF2-40B4-BE49-F238E27FC236}">
              <a16:creationId xmlns:a16="http://schemas.microsoft.com/office/drawing/2014/main" id="{830482ED-40ED-40DF-ACB5-C089019B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4" name="Picture 140" descr="LOGO DGI">
          <a:extLst>
            <a:ext uri="{FF2B5EF4-FFF2-40B4-BE49-F238E27FC236}">
              <a16:creationId xmlns:a16="http://schemas.microsoft.com/office/drawing/2014/main" id="{370A2B88-5FB9-4F44-801F-5675A09E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5" name="Picture 141" descr="LOGO DGI">
          <a:extLst>
            <a:ext uri="{FF2B5EF4-FFF2-40B4-BE49-F238E27FC236}">
              <a16:creationId xmlns:a16="http://schemas.microsoft.com/office/drawing/2014/main" id="{2D6A3717-6BE0-4948-86D9-284B7FCC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6" name="Picture 142" descr="LOGO DGI">
          <a:extLst>
            <a:ext uri="{FF2B5EF4-FFF2-40B4-BE49-F238E27FC236}">
              <a16:creationId xmlns:a16="http://schemas.microsoft.com/office/drawing/2014/main" id="{50080230-F4C6-4612-97F2-2E18FFFF3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7" name="Picture 143" descr="LOGO DGI">
          <a:extLst>
            <a:ext uri="{FF2B5EF4-FFF2-40B4-BE49-F238E27FC236}">
              <a16:creationId xmlns:a16="http://schemas.microsoft.com/office/drawing/2014/main" id="{73BF6985-2A15-4C18-A582-1C90D40C9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8" name="Picture 144" descr="LOGO DGI">
          <a:extLst>
            <a:ext uri="{FF2B5EF4-FFF2-40B4-BE49-F238E27FC236}">
              <a16:creationId xmlns:a16="http://schemas.microsoft.com/office/drawing/2014/main" id="{D55BC5BF-22A9-47AD-8C1D-BD335F11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09" name="Picture 145" descr="LOGO DGI">
          <a:extLst>
            <a:ext uri="{FF2B5EF4-FFF2-40B4-BE49-F238E27FC236}">
              <a16:creationId xmlns:a16="http://schemas.microsoft.com/office/drawing/2014/main" id="{D51BE617-425C-4A38-9F03-DE57B54F8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0" name="Picture 146" descr="LOGO DGI">
          <a:extLst>
            <a:ext uri="{FF2B5EF4-FFF2-40B4-BE49-F238E27FC236}">
              <a16:creationId xmlns:a16="http://schemas.microsoft.com/office/drawing/2014/main" id="{EFBDCC2C-9219-45EF-8243-12AEF3C0D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1" name="Picture 147" descr="LOGO DGI">
          <a:extLst>
            <a:ext uri="{FF2B5EF4-FFF2-40B4-BE49-F238E27FC236}">
              <a16:creationId xmlns:a16="http://schemas.microsoft.com/office/drawing/2014/main" id="{C94EF0B6-7098-4FAA-9DC7-B60C1DD7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2" name="Picture 148" descr="LOGO DGI">
          <a:extLst>
            <a:ext uri="{FF2B5EF4-FFF2-40B4-BE49-F238E27FC236}">
              <a16:creationId xmlns:a16="http://schemas.microsoft.com/office/drawing/2014/main" id="{9BB60ED3-26C0-45E7-86AF-991B4DE89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3" name="Picture 149" descr="LOGO DGI">
          <a:extLst>
            <a:ext uri="{FF2B5EF4-FFF2-40B4-BE49-F238E27FC236}">
              <a16:creationId xmlns:a16="http://schemas.microsoft.com/office/drawing/2014/main" id="{0DB1EB14-4CB2-41C5-8FFB-7A579E5D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4" name="Picture 150" descr="LOGO DGI">
          <a:extLst>
            <a:ext uri="{FF2B5EF4-FFF2-40B4-BE49-F238E27FC236}">
              <a16:creationId xmlns:a16="http://schemas.microsoft.com/office/drawing/2014/main" id="{AFE78633-2D34-45B1-B79F-B4D4BE350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5" name="Picture 151" descr="LOGO DGI">
          <a:extLst>
            <a:ext uri="{FF2B5EF4-FFF2-40B4-BE49-F238E27FC236}">
              <a16:creationId xmlns:a16="http://schemas.microsoft.com/office/drawing/2014/main" id="{76827F74-281D-4368-A246-6301B2DAE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6" name="Picture 152" descr="LOGO DGI">
          <a:extLst>
            <a:ext uri="{FF2B5EF4-FFF2-40B4-BE49-F238E27FC236}">
              <a16:creationId xmlns:a16="http://schemas.microsoft.com/office/drawing/2014/main" id="{A2F0E36F-59EE-4311-82FC-9131D3C95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7" name="Picture 153" descr="LOGO DGI">
          <a:extLst>
            <a:ext uri="{FF2B5EF4-FFF2-40B4-BE49-F238E27FC236}">
              <a16:creationId xmlns:a16="http://schemas.microsoft.com/office/drawing/2014/main" id="{A0D7513D-E600-4428-8ECE-8D9BC37E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8" name="Picture 154" descr="LOGO DGI">
          <a:extLst>
            <a:ext uri="{FF2B5EF4-FFF2-40B4-BE49-F238E27FC236}">
              <a16:creationId xmlns:a16="http://schemas.microsoft.com/office/drawing/2014/main" id="{D53735BA-30B4-423C-8283-390F709E9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19" name="Picture 155" descr="LOGO DGI">
          <a:extLst>
            <a:ext uri="{FF2B5EF4-FFF2-40B4-BE49-F238E27FC236}">
              <a16:creationId xmlns:a16="http://schemas.microsoft.com/office/drawing/2014/main" id="{AF72E5A7-F8DC-4B4E-BBD0-7821A01B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0" name="Picture 156" descr="LOGO DGI">
          <a:extLst>
            <a:ext uri="{FF2B5EF4-FFF2-40B4-BE49-F238E27FC236}">
              <a16:creationId xmlns:a16="http://schemas.microsoft.com/office/drawing/2014/main" id="{99C73AA0-5822-4B51-943A-B34DCDD7C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1" name="Picture 157" descr="LOGO DGI">
          <a:extLst>
            <a:ext uri="{FF2B5EF4-FFF2-40B4-BE49-F238E27FC236}">
              <a16:creationId xmlns:a16="http://schemas.microsoft.com/office/drawing/2014/main" id="{3D74E395-9472-4178-8A1B-2E40EBE6F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2" name="Picture 158" descr="LOGO DGI">
          <a:extLst>
            <a:ext uri="{FF2B5EF4-FFF2-40B4-BE49-F238E27FC236}">
              <a16:creationId xmlns:a16="http://schemas.microsoft.com/office/drawing/2014/main" id="{829CC153-568E-44DC-A010-0A05D1E80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3" name="Picture 159" descr="LOGO DGI">
          <a:extLst>
            <a:ext uri="{FF2B5EF4-FFF2-40B4-BE49-F238E27FC236}">
              <a16:creationId xmlns:a16="http://schemas.microsoft.com/office/drawing/2014/main" id="{F2C26796-0258-4247-B172-E0EA5B9F2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4" name="Picture 160" descr="LOGO DGI">
          <a:extLst>
            <a:ext uri="{FF2B5EF4-FFF2-40B4-BE49-F238E27FC236}">
              <a16:creationId xmlns:a16="http://schemas.microsoft.com/office/drawing/2014/main" id="{77B92CD8-43C1-45F4-9E07-B6ED68C4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5" name="Picture 161" descr="LOGO DGI">
          <a:extLst>
            <a:ext uri="{FF2B5EF4-FFF2-40B4-BE49-F238E27FC236}">
              <a16:creationId xmlns:a16="http://schemas.microsoft.com/office/drawing/2014/main" id="{AEE99FFA-8F46-4497-9107-155885DF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6" name="Picture 162" descr="LOGO DGI">
          <a:extLst>
            <a:ext uri="{FF2B5EF4-FFF2-40B4-BE49-F238E27FC236}">
              <a16:creationId xmlns:a16="http://schemas.microsoft.com/office/drawing/2014/main" id="{9FB5218B-84D9-4A47-BF5E-4B0B450C8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7" name="Picture 163" descr="LOGO DGI">
          <a:extLst>
            <a:ext uri="{FF2B5EF4-FFF2-40B4-BE49-F238E27FC236}">
              <a16:creationId xmlns:a16="http://schemas.microsoft.com/office/drawing/2014/main" id="{6E65217D-A507-4EEB-B579-19774A211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8" name="Picture 164" descr="LOGO DGI">
          <a:extLst>
            <a:ext uri="{FF2B5EF4-FFF2-40B4-BE49-F238E27FC236}">
              <a16:creationId xmlns:a16="http://schemas.microsoft.com/office/drawing/2014/main" id="{103A4711-8B9F-4380-84B9-D6640843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29" name="Picture 165" descr="LOGO DGI">
          <a:extLst>
            <a:ext uri="{FF2B5EF4-FFF2-40B4-BE49-F238E27FC236}">
              <a16:creationId xmlns:a16="http://schemas.microsoft.com/office/drawing/2014/main" id="{5C7D9FDB-06F2-4E30-B545-E279B72EC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30" name="Picture 166" descr="LOGO DGI">
          <a:extLst>
            <a:ext uri="{FF2B5EF4-FFF2-40B4-BE49-F238E27FC236}">
              <a16:creationId xmlns:a16="http://schemas.microsoft.com/office/drawing/2014/main" id="{C6BA8C25-28F7-4965-B219-785B21D9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31" name="Picture 167" descr="LOGO DGI">
          <a:extLst>
            <a:ext uri="{FF2B5EF4-FFF2-40B4-BE49-F238E27FC236}">
              <a16:creationId xmlns:a16="http://schemas.microsoft.com/office/drawing/2014/main" id="{A413D866-1E87-4693-A1DB-AD87620C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32" name="Picture 168" descr="LOGO DGI">
          <a:extLst>
            <a:ext uri="{FF2B5EF4-FFF2-40B4-BE49-F238E27FC236}">
              <a16:creationId xmlns:a16="http://schemas.microsoft.com/office/drawing/2014/main" id="{C65CB5BA-5097-4227-9F94-527FEA918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33" name="Picture 169" descr="LOGO DGI">
          <a:extLst>
            <a:ext uri="{FF2B5EF4-FFF2-40B4-BE49-F238E27FC236}">
              <a16:creationId xmlns:a16="http://schemas.microsoft.com/office/drawing/2014/main" id="{52D03031-49CF-4424-B48A-E5E63182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52234" name="Picture 170" descr="LOGO DGI">
          <a:extLst>
            <a:ext uri="{FF2B5EF4-FFF2-40B4-BE49-F238E27FC236}">
              <a16:creationId xmlns:a16="http://schemas.microsoft.com/office/drawing/2014/main" id="{78756EFF-21B8-4987-B821-286148A6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3347" name="CommandButton1" hidden="1">
          <a:extLst>
            <a:ext uri="{63B3BB69-23CF-44E3-9099-C40C66FF867C}">
              <a14:compatExt xmlns:a14="http://schemas.microsoft.com/office/drawing/2010/main" spid="_x0000_s13347"/>
            </a:ext>
            <a:ext uri="{FF2B5EF4-FFF2-40B4-BE49-F238E27FC236}">
              <a16:creationId xmlns:a16="http://schemas.microsoft.com/office/drawing/2014/main" id="{A7C52399-8C2C-44B6-9BFC-E7C977C0013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3348" name="CommandButton2" hidden="1">
          <a:extLst>
            <a:ext uri="{63B3BB69-23CF-44E3-9099-C40C66FF867C}">
              <a14:compatExt xmlns:a14="http://schemas.microsoft.com/office/drawing/2010/main" spid="_x0000_s13348"/>
            </a:ext>
            <a:ext uri="{FF2B5EF4-FFF2-40B4-BE49-F238E27FC236}">
              <a16:creationId xmlns:a16="http://schemas.microsoft.com/office/drawing/2014/main" id="{1BFBB560-9574-4CD3-8005-8C128439F95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800100</xdr:colOff>
      <xdr:row>0</xdr:row>
      <xdr:rowOff>0</xdr:rowOff>
    </xdr:from>
    <xdr:to>
      <xdr:col>12</xdr:col>
      <xdr:colOff>819150</xdr:colOff>
      <xdr:row>3</xdr:row>
      <xdr:rowOff>104775</xdr:rowOff>
    </xdr:to>
    <xdr:sp macro="" textlink="">
      <xdr:nvSpPr>
        <xdr:cNvPr id="32769" name="CommandButton2" hidden="1">
          <a:extLst>
            <a:ext uri="{63B3BB69-23CF-44E3-9099-C40C66FF867C}">
              <a14:compatExt xmlns:a14="http://schemas.microsoft.com/office/drawing/2010/main" spid="_x0000_s32769"/>
            </a:ext>
            <a:ext uri="{FF2B5EF4-FFF2-40B4-BE49-F238E27FC236}">
              <a16:creationId xmlns:a16="http://schemas.microsoft.com/office/drawing/2014/main" id="{CF77392A-02EC-4925-871F-409F021CE64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838200</xdr:colOff>
      <xdr:row>0</xdr:row>
      <xdr:rowOff>0</xdr:rowOff>
    </xdr:from>
    <xdr:to>
      <xdr:col>11</xdr:col>
      <xdr:colOff>800100</xdr:colOff>
      <xdr:row>3</xdr:row>
      <xdr:rowOff>133350</xdr:rowOff>
    </xdr:to>
    <xdr:sp macro="" textlink="">
      <xdr:nvSpPr>
        <xdr:cNvPr id="32770" name="CommandButton1" hidden="1">
          <a:extLst>
            <a:ext uri="{63B3BB69-23CF-44E3-9099-C40C66FF867C}">
              <a14:compatExt xmlns:a14="http://schemas.microsoft.com/office/drawing/2010/main" spid="_x0000_s32770"/>
            </a:ext>
            <a:ext uri="{FF2B5EF4-FFF2-40B4-BE49-F238E27FC236}">
              <a16:creationId xmlns:a16="http://schemas.microsoft.com/office/drawing/2014/main" id="{B1F628AC-1157-4102-9414-198A208B00B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714375</xdr:colOff>
      <xdr:row>3</xdr:row>
      <xdr:rowOff>9525</xdr:rowOff>
    </xdr:from>
    <xdr:to>
      <xdr:col>12</xdr:col>
      <xdr:colOff>752475</xdr:colOff>
      <xdr:row>6</xdr:row>
      <xdr:rowOff>104775</xdr:rowOff>
    </xdr:to>
    <xdr:sp macro="" textlink="">
      <xdr:nvSpPr>
        <xdr:cNvPr id="32771" name="CommandButton3" hidden="1">
          <a:extLst>
            <a:ext uri="{63B3BB69-23CF-44E3-9099-C40C66FF867C}">
              <a14:compatExt xmlns:a14="http://schemas.microsoft.com/office/drawing/2010/main" spid="_x0000_s32771"/>
            </a:ext>
            <a:ext uri="{FF2B5EF4-FFF2-40B4-BE49-F238E27FC236}">
              <a16:creationId xmlns:a16="http://schemas.microsoft.com/office/drawing/2014/main" id="{35C95331-C808-48DE-AD0C-6ABFBBB71E2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819150</xdr:colOff>
      <xdr:row>3</xdr:row>
      <xdr:rowOff>0</xdr:rowOff>
    </xdr:from>
    <xdr:to>
      <xdr:col>11</xdr:col>
      <xdr:colOff>790575</xdr:colOff>
      <xdr:row>6</xdr:row>
      <xdr:rowOff>76200</xdr:rowOff>
    </xdr:to>
    <xdr:sp macro="" textlink="">
      <xdr:nvSpPr>
        <xdr:cNvPr id="32772" name="CommandButton4" hidden="1">
          <a:extLst>
            <a:ext uri="{63B3BB69-23CF-44E3-9099-C40C66FF867C}">
              <a14:compatExt xmlns:a14="http://schemas.microsoft.com/office/drawing/2010/main" spid="_x0000_s32772"/>
            </a:ext>
            <a:ext uri="{FF2B5EF4-FFF2-40B4-BE49-F238E27FC236}">
              <a16:creationId xmlns:a16="http://schemas.microsoft.com/office/drawing/2014/main" id="{8788A517-7452-481D-9FD3-697AC9294B8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95250</xdr:rowOff>
    </xdr:from>
    <xdr:to>
      <xdr:col>8</xdr:col>
      <xdr:colOff>428625</xdr:colOff>
      <xdr:row>4</xdr:row>
      <xdr:rowOff>9525</xdr:rowOff>
    </xdr:to>
    <xdr:sp macro="" textlink="">
      <xdr:nvSpPr>
        <xdr:cNvPr id="41985" name="CommandButton1" hidden="1">
          <a:extLst>
            <a:ext uri="{63B3BB69-23CF-44E3-9099-C40C66FF867C}">
              <a14:compatExt xmlns:a14="http://schemas.microsoft.com/office/drawing/2010/main" spid="_x0000_s41985"/>
            </a:ext>
            <a:ext uri="{FF2B5EF4-FFF2-40B4-BE49-F238E27FC236}">
              <a16:creationId xmlns:a16="http://schemas.microsoft.com/office/drawing/2014/main" id="{47094064-FBD9-4C1F-A742-4D8D4E7CAB6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104775</xdr:rowOff>
    </xdr:from>
    <xdr:to>
      <xdr:col>0</xdr:col>
      <xdr:colOff>590550</xdr:colOff>
      <xdr:row>4</xdr:row>
      <xdr:rowOff>104775</xdr:rowOff>
    </xdr:to>
    <xdr:pic>
      <xdr:nvPicPr>
        <xdr:cNvPr id="1591542" name="Picture 1" descr="LOGO DGI">
          <a:extLst>
            <a:ext uri="{FF2B5EF4-FFF2-40B4-BE49-F238E27FC236}">
              <a16:creationId xmlns:a16="http://schemas.microsoft.com/office/drawing/2014/main" id="{3E75D4CC-2D23-4AA8-B26C-C54FABD1C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667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3" name="Picture 55" descr="LOGO DGI">
          <a:extLst>
            <a:ext uri="{FF2B5EF4-FFF2-40B4-BE49-F238E27FC236}">
              <a16:creationId xmlns:a16="http://schemas.microsoft.com/office/drawing/2014/main" id="{D0A4B3ED-6633-416F-A7B5-CFDE6367A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4" name="Picture 56" descr="LOGO DGI">
          <a:extLst>
            <a:ext uri="{FF2B5EF4-FFF2-40B4-BE49-F238E27FC236}">
              <a16:creationId xmlns:a16="http://schemas.microsoft.com/office/drawing/2014/main" id="{4EBB97A5-E77B-4B7B-BA78-753A56107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5" name="Picture 57" descr="LOGO DGI">
          <a:extLst>
            <a:ext uri="{FF2B5EF4-FFF2-40B4-BE49-F238E27FC236}">
              <a16:creationId xmlns:a16="http://schemas.microsoft.com/office/drawing/2014/main" id="{A474B417-1CCE-449C-9156-F9BB935BA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6" name="Picture 58" descr="LOGO DGI">
          <a:extLst>
            <a:ext uri="{FF2B5EF4-FFF2-40B4-BE49-F238E27FC236}">
              <a16:creationId xmlns:a16="http://schemas.microsoft.com/office/drawing/2014/main" id="{10A390B3-84BB-43E3-917F-C00B5CDA7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7" name="Picture 59" descr="LOGO DGI">
          <a:extLst>
            <a:ext uri="{FF2B5EF4-FFF2-40B4-BE49-F238E27FC236}">
              <a16:creationId xmlns:a16="http://schemas.microsoft.com/office/drawing/2014/main" id="{F8F753FF-0001-43B6-A438-582B36E5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8" name="Picture 60" descr="LOGO DGI">
          <a:extLst>
            <a:ext uri="{FF2B5EF4-FFF2-40B4-BE49-F238E27FC236}">
              <a16:creationId xmlns:a16="http://schemas.microsoft.com/office/drawing/2014/main" id="{6D993E76-CC64-4F4C-B562-6F1029A34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49" name="Picture 61" descr="LOGO DGI">
          <a:extLst>
            <a:ext uri="{FF2B5EF4-FFF2-40B4-BE49-F238E27FC236}">
              <a16:creationId xmlns:a16="http://schemas.microsoft.com/office/drawing/2014/main" id="{96C93319-A253-4FDD-B732-62EDCE16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0" name="Picture 62" descr="LOGO DGI">
          <a:extLst>
            <a:ext uri="{FF2B5EF4-FFF2-40B4-BE49-F238E27FC236}">
              <a16:creationId xmlns:a16="http://schemas.microsoft.com/office/drawing/2014/main" id="{BE09252F-DE94-472F-A652-2DB21E892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1" name="Picture 63" descr="LOGO DGI">
          <a:extLst>
            <a:ext uri="{FF2B5EF4-FFF2-40B4-BE49-F238E27FC236}">
              <a16:creationId xmlns:a16="http://schemas.microsoft.com/office/drawing/2014/main" id="{F15BA8C7-DBC3-4E9B-84CA-B58B25B44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2" name="Picture 64" descr="LOGO DGI">
          <a:extLst>
            <a:ext uri="{FF2B5EF4-FFF2-40B4-BE49-F238E27FC236}">
              <a16:creationId xmlns:a16="http://schemas.microsoft.com/office/drawing/2014/main" id="{FDA7BB1C-E58B-47EF-A750-4D4F149F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3" name="Picture 65" descr="LOGO DGI">
          <a:extLst>
            <a:ext uri="{FF2B5EF4-FFF2-40B4-BE49-F238E27FC236}">
              <a16:creationId xmlns:a16="http://schemas.microsoft.com/office/drawing/2014/main" id="{525B6748-CCBC-4033-8420-25C426655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4" name="Picture 66" descr="LOGO DGI">
          <a:extLst>
            <a:ext uri="{FF2B5EF4-FFF2-40B4-BE49-F238E27FC236}">
              <a16:creationId xmlns:a16="http://schemas.microsoft.com/office/drawing/2014/main" id="{5CF4E11A-CF96-4582-A489-C1FA0A465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5" name="Picture 67" descr="LOGO DGI">
          <a:extLst>
            <a:ext uri="{FF2B5EF4-FFF2-40B4-BE49-F238E27FC236}">
              <a16:creationId xmlns:a16="http://schemas.microsoft.com/office/drawing/2014/main" id="{358024E0-354D-4C90-A315-03F51C00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6" name="Picture 68" descr="LOGO DGI">
          <a:extLst>
            <a:ext uri="{FF2B5EF4-FFF2-40B4-BE49-F238E27FC236}">
              <a16:creationId xmlns:a16="http://schemas.microsoft.com/office/drawing/2014/main" id="{C3B5EAE9-2C7E-4224-AEDD-931D8300F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7" name="Picture 69" descr="LOGO DGI">
          <a:extLst>
            <a:ext uri="{FF2B5EF4-FFF2-40B4-BE49-F238E27FC236}">
              <a16:creationId xmlns:a16="http://schemas.microsoft.com/office/drawing/2014/main" id="{31287619-0105-43E2-87F9-ED3EA916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8" name="Picture 70" descr="LOGO DGI">
          <a:extLst>
            <a:ext uri="{FF2B5EF4-FFF2-40B4-BE49-F238E27FC236}">
              <a16:creationId xmlns:a16="http://schemas.microsoft.com/office/drawing/2014/main" id="{022DF8D4-606C-46AA-8CA0-EE8CD2FD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59" name="Picture 71" descr="LOGO DGI">
          <a:extLst>
            <a:ext uri="{FF2B5EF4-FFF2-40B4-BE49-F238E27FC236}">
              <a16:creationId xmlns:a16="http://schemas.microsoft.com/office/drawing/2014/main" id="{FB30C26A-682C-48FB-9886-64AA3F40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0" name="Picture 72" descr="LOGO DGI">
          <a:extLst>
            <a:ext uri="{FF2B5EF4-FFF2-40B4-BE49-F238E27FC236}">
              <a16:creationId xmlns:a16="http://schemas.microsoft.com/office/drawing/2014/main" id="{8E77E8EC-5E00-4E42-BA05-819E5ABCD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1" name="Picture 73" descr="LOGO DGI">
          <a:extLst>
            <a:ext uri="{FF2B5EF4-FFF2-40B4-BE49-F238E27FC236}">
              <a16:creationId xmlns:a16="http://schemas.microsoft.com/office/drawing/2014/main" id="{27F6EF31-BC48-4726-AE4B-6CCE40B2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2" name="Picture 74" descr="LOGO DGI">
          <a:extLst>
            <a:ext uri="{FF2B5EF4-FFF2-40B4-BE49-F238E27FC236}">
              <a16:creationId xmlns:a16="http://schemas.microsoft.com/office/drawing/2014/main" id="{EBCA4577-A8D6-4746-97C9-1FFDBE10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3" name="Picture 75" descr="LOGO DGI">
          <a:extLst>
            <a:ext uri="{FF2B5EF4-FFF2-40B4-BE49-F238E27FC236}">
              <a16:creationId xmlns:a16="http://schemas.microsoft.com/office/drawing/2014/main" id="{D82BA8D0-C84D-4A4C-BA47-FA1FC02CB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4" name="Picture 76" descr="LOGO DGI">
          <a:extLst>
            <a:ext uri="{FF2B5EF4-FFF2-40B4-BE49-F238E27FC236}">
              <a16:creationId xmlns:a16="http://schemas.microsoft.com/office/drawing/2014/main" id="{F363FAC0-6238-4813-A4CD-8D4E79C81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5" name="Picture 77" descr="LOGO DGI">
          <a:extLst>
            <a:ext uri="{FF2B5EF4-FFF2-40B4-BE49-F238E27FC236}">
              <a16:creationId xmlns:a16="http://schemas.microsoft.com/office/drawing/2014/main" id="{3A29A2D0-E6B0-4E03-813E-CE776810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6" name="Picture 78" descr="LOGO DGI">
          <a:extLst>
            <a:ext uri="{FF2B5EF4-FFF2-40B4-BE49-F238E27FC236}">
              <a16:creationId xmlns:a16="http://schemas.microsoft.com/office/drawing/2014/main" id="{CF360FF1-C7B0-44C6-A2EB-97642349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7" name="Picture 79" descr="LOGO DGI">
          <a:extLst>
            <a:ext uri="{FF2B5EF4-FFF2-40B4-BE49-F238E27FC236}">
              <a16:creationId xmlns:a16="http://schemas.microsoft.com/office/drawing/2014/main" id="{0512D26B-EB7E-4C86-B276-8430A8A5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8" name="Picture 80" descr="LOGO DGI">
          <a:extLst>
            <a:ext uri="{FF2B5EF4-FFF2-40B4-BE49-F238E27FC236}">
              <a16:creationId xmlns:a16="http://schemas.microsoft.com/office/drawing/2014/main" id="{138773D3-98B1-4DD9-9452-56D65FF77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69" name="Picture 81" descr="LOGO DGI">
          <a:extLst>
            <a:ext uri="{FF2B5EF4-FFF2-40B4-BE49-F238E27FC236}">
              <a16:creationId xmlns:a16="http://schemas.microsoft.com/office/drawing/2014/main" id="{382B414F-50C3-432F-9B53-021135A39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0" name="Picture 82" descr="LOGO DGI">
          <a:extLst>
            <a:ext uri="{FF2B5EF4-FFF2-40B4-BE49-F238E27FC236}">
              <a16:creationId xmlns:a16="http://schemas.microsoft.com/office/drawing/2014/main" id="{61F33E06-CE6E-4DBA-BF04-B5692E64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1" name="Picture 83" descr="LOGO DGI">
          <a:extLst>
            <a:ext uri="{FF2B5EF4-FFF2-40B4-BE49-F238E27FC236}">
              <a16:creationId xmlns:a16="http://schemas.microsoft.com/office/drawing/2014/main" id="{D2C5060D-F698-4FA7-82C4-DA4D61B6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2" name="Picture 84" descr="LOGO DGI">
          <a:extLst>
            <a:ext uri="{FF2B5EF4-FFF2-40B4-BE49-F238E27FC236}">
              <a16:creationId xmlns:a16="http://schemas.microsoft.com/office/drawing/2014/main" id="{70BA8840-B5B9-4F93-B965-ED355406B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3" name="Picture 85" descr="LOGO DGI">
          <a:extLst>
            <a:ext uri="{FF2B5EF4-FFF2-40B4-BE49-F238E27FC236}">
              <a16:creationId xmlns:a16="http://schemas.microsoft.com/office/drawing/2014/main" id="{80368353-7E0B-4262-8323-C1BEA51B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4" name="Picture 86" descr="LOGO DGI">
          <a:extLst>
            <a:ext uri="{FF2B5EF4-FFF2-40B4-BE49-F238E27FC236}">
              <a16:creationId xmlns:a16="http://schemas.microsoft.com/office/drawing/2014/main" id="{64D135BE-A6EB-4AC9-A634-2CCD1965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5" name="Picture 87" descr="LOGO DGI">
          <a:extLst>
            <a:ext uri="{FF2B5EF4-FFF2-40B4-BE49-F238E27FC236}">
              <a16:creationId xmlns:a16="http://schemas.microsoft.com/office/drawing/2014/main" id="{791BF7A8-136A-44C4-96D2-E7C578AA3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6" name="Picture 88" descr="LOGO DGI">
          <a:extLst>
            <a:ext uri="{FF2B5EF4-FFF2-40B4-BE49-F238E27FC236}">
              <a16:creationId xmlns:a16="http://schemas.microsoft.com/office/drawing/2014/main" id="{3FD6FC32-D424-4FEC-84F1-8BB06B0A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7" name="Picture 89" descr="LOGO DGI">
          <a:extLst>
            <a:ext uri="{FF2B5EF4-FFF2-40B4-BE49-F238E27FC236}">
              <a16:creationId xmlns:a16="http://schemas.microsoft.com/office/drawing/2014/main" id="{9CC43978-E4AD-4032-BF42-4E314E3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8" name="Picture 90" descr="LOGO DGI">
          <a:extLst>
            <a:ext uri="{FF2B5EF4-FFF2-40B4-BE49-F238E27FC236}">
              <a16:creationId xmlns:a16="http://schemas.microsoft.com/office/drawing/2014/main" id="{B429E5EB-1AAF-49E3-B3A9-087B1C8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79" name="Picture 91" descr="LOGO DGI">
          <a:extLst>
            <a:ext uri="{FF2B5EF4-FFF2-40B4-BE49-F238E27FC236}">
              <a16:creationId xmlns:a16="http://schemas.microsoft.com/office/drawing/2014/main" id="{1CA1224C-AA93-4203-BEFB-F53041C7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0" name="Picture 92" descr="LOGO DGI">
          <a:extLst>
            <a:ext uri="{FF2B5EF4-FFF2-40B4-BE49-F238E27FC236}">
              <a16:creationId xmlns:a16="http://schemas.microsoft.com/office/drawing/2014/main" id="{8C1E2DC3-BBBD-471F-A648-79A9FD71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1" name="Picture 93" descr="LOGO DGI">
          <a:extLst>
            <a:ext uri="{FF2B5EF4-FFF2-40B4-BE49-F238E27FC236}">
              <a16:creationId xmlns:a16="http://schemas.microsoft.com/office/drawing/2014/main" id="{97002A23-06D1-42AF-9D77-7BCCF112F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2" name="Picture 94" descr="LOGO DGI">
          <a:extLst>
            <a:ext uri="{FF2B5EF4-FFF2-40B4-BE49-F238E27FC236}">
              <a16:creationId xmlns:a16="http://schemas.microsoft.com/office/drawing/2014/main" id="{A3234A93-8818-4FFB-82AC-3795A3CC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3" name="Picture 95" descr="LOGO DGI">
          <a:extLst>
            <a:ext uri="{FF2B5EF4-FFF2-40B4-BE49-F238E27FC236}">
              <a16:creationId xmlns:a16="http://schemas.microsoft.com/office/drawing/2014/main" id="{DE6A1D52-9032-4274-96B9-6A05DF89B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4" name="Picture 96" descr="LOGO DGI">
          <a:extLst>
            <a:ext uri="{FF2B5EF4-FFF2-40B4-BE49-F238E27FC236}">
              <a16:creationId xmlns:a16="http://schemas.microsoft.com/office/drawing/2014/main" id="{4E673586-8DCB-4186-8C62-A7EF7C42F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5" name="Picture 97" descr="LOGO DGI">
          <a:extLst>
            <a:ext uri="{FF2B5EF4-FFF2-40B4-BE49-F238E27FC236}">
              <a16:creationId xmlns:a16="http://schemas.microsoft.com/office/drawing/2014/main" id="{91480109-2862-480E-8F4D-9F849021F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6" name="Picture 98" descr="LOGO DGI">
          <a:extLst>
            <a:ext uri="{FF2B5EF4-FFF2-40B4-BE49-F238E27FC236}">
              <a16:creationId xmlns:a16="http://schemas.microsoft.com/office/drawing/2014/main" id="{88469943-66C3-4648-AA2C-94385553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7" name="Picture 99" descr="LOGO DGI">
          <a:extLst>
            <a:ext uri="{FF2B5EF4-FFF2-40B4-BE49-F238E27FC236}">
              <a16:creationId xmlns:a16="http://schemas.microsoft.com/office/drawing/2014/main" id="{070F35EE-E4BA-46E4-92D1-3868E42B6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8" name="Picture 100" descr="LOGO DGI">
          <a:extLst>
            <a:ext uri="{FF2B5EF4-FFF2-40B4-BE49-F238E27FC236}">
              <a16:creationId xmlns:a16="http://schemas.microsoft.com/office/drawing/2014/main" id="{45AAA67E-5750-42D7-8A4D-B5D7CEBB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89" name="Picture 101" descr="LOGO DGI">
          <a:extLst>
            <a:ext uri="{FF2B5EF4-FFF2-40B4-BE49-F238E27FC236}">
              <a16:creationId xmlns:a16="http://schemas.microsoft.com/office/drawing/2014/main" id="{829372FD-156A-4A90-AE74-5E0AF2E5E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0" name="Picture 102" descr="LOGO DGI">
          <a:extLst>
            <a:ext uri="{FF2B5EF4-FFF2-40B4-BE49-F238E27FC236}">
              <a16:creationId xmlns:a16="http://schemas.microsoft.com/office/drawing/2014/main" id="{B540A878-DFA9-46A1-8A53-10228518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1" name="Picture 103" descr="LOGO DGI">
          <a:extLst>
            <a:ext uri="{FF2B5EF4-FFF2-40B4-BE49-F238E27FC236}">
              <a16:creationId xmlns:a16="http://schemas.microsoft.com/office/drawing/2014/main" id="{9036CC3A-C8C0-4B7B-8EE6-7DF4A8C4C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2" name="Picture 104" descr="LOGO DGI">
          <a:extLst>
            <a:ext uri="{FF2B5EF4-FFF2-40B4-BE49-F238E27FC236}">
              <a16:creationId xmlns:a16="http://schemas.microsoft.com/office/drawing/2014/main" id="{B0001CB8-9A2F-49F7-B743-4462DE41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3" name="Picture 105" descr="LOGO DGI">
          <a:extLst>
            <a:ext uri="{FF2B5EF4-FFF2-40B4-BE49-F238E27FC236}">
              <a16:creationId xmlns:a16="http://schemas.microsoft.com/office/drawing/2014/main" id="{CC426A35-69E2-4F93-8B7A-74BC7774E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4" name="Picture 106" descr="LOGO DGI">
          <a:extLst>
            <a:ext uri="{FF2B5EF4-FFF2-40B4-BE49-F238E27FC236}">
              <a16:creationId xmlns:a16="http://schemas.microsoft.com/office/drawing/2014/main" id="{33208586-DDF7-4798-AE2E-FB713356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5" name="Picture 107" descr="LOGO DGI">
          <a:extLst>
            <a:ext uri="{FF2B5EF4-FFF2-40B4-BE49-F238E27FC236}">
              <a16:creationId xmlns:a16="http://schemas.microsoft.com/office/drawing/2014/main" id="{25E0427B-B992-4687-B664-DBB282EC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6" name="Picture 108" descr="LOGO DGI">
          <a:extLst>
            <a:ext uri="{FF2B5EF4-FFF2-40B4-BE49-F238E27FC236}">
              <a16:creationId xmlns:a16="http://schemas.microsoft.com/office/drawing/2014/main" id="{46F27DD9-300D-473A-9B8B-08479EC84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7" name="Picture 109" descr="LOGO DGI">
          <a:extLst>
            <a:ext uri="{FF2B5EF4-FFF2-40B4-BE49-F238E27FC236}">
              <a16:creationId xmlns:a16="http://schemas.microsoft.com/office/drawing/2014/main" id="{C6024155-C374-4863-9830-668AADD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8" name="Picture 110" descr="LOGO DGI">
          <a:extLst>
            <a:ext uri="{FF2B5EF4-FFF2-40B4-BE49-F238E27FC236}">
              <a16:creationId xmlns:a16="http://schemas.microsoft.com/office/drawing/2014/main" id="{4FA37E34-4EDD-430D-89BF-33F08DDC3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599" name="Picture 111" descr="LOGO DGI">
          <a:extLst>
            <a:ext uri="{FF2B5EF4-FFF2-40B4-BE49-F238E27FC236}">
              <a16:creationId xmlns:a16="http://schemas.microsoft.com/office/drawing/2014/main" id="{FB0BD7F3-CB85-4DEC-A86E-9ED2072F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0" name="Picture 112" descr="LOGO DGI">
          <a:extLst>
            <a:ext uri="{FF2B5EF4-FFF2-40B4-BE49-F238E27FC236}">
              <a16:creationId xmlns:a16="http://schemas.microsoft.com/office/drawing/2014/main" id="{40C68D4A-A7A8-4A8D-BC4E-620639B1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1" name="Picture 113" descr="LOGO DGI">
          <a:extLst>
            <a:ext uri="{FF2B5EF4-FFF2-40B4-BE49-F238E27FC236}">
              <a16:creationId xmlns:a16="http://schemas.microsoft.com/office/drawing/2014/main" id="{6290DFAD-9FBE-4586-8899-12F4ABAC5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2" name="Picture 114" descr="LOGO DGI">
          <a:extLst>
            <a:ext uri="{FF2B5EF4-FFF2-40B4-BE49-F238E27FC236}">
              <a16:creationId xmlns:a16="http://schemas.microsoft.com/office/drawing/2014/main" id="{81BFC571-01EE-4F53-8CB8-365A4389B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3" name="Picture 115" descr="LOGO DGI">
          <a:extLst>
            <a:ext uri="{FF2B5EF4-FFF2-40B4-BE49-F238E27FC236}">
              <a16:creationId xmlns:a16="http://schemas.microsoft.com/office/drawing/2014/main" id="{139CD4E5-7298-471B-AADF-A0899C52F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4" name="Picture 116" descr="LOGO DGI">
          <a:extLst>
            <a:ext uri="{FF2B5EF4-FFF2-40B4-BE49-F238E27FC236}">
              <a16:creationId xmlns:a16="http://schemas.microsoft.com/office/drawing/2014/main" id="{60D7DA04-E67B-4D61-9845-4379CF77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5" name="Picture 117" descr="LOGO DGI">
          <a:extLst>
            <a:ext uri="{FF2B5EF4-FFF2-40B4-BE49-F238E27FC236}">
              <a16:creationId xmlns:a16="http://schemas.microsoft.com/office/drawing/2014/main" id="{9C12D64D-124D-4C03-A7D8-084B3015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6" name="Picture 118" descr="LOGO DGI">
          <a:extLst>
            <a:ext uri="{FF2B5EF4-FFF2-40B4-BE49-F238E27FC236}">
              <a16:creationId xmlns:a16="http://schemas.microsoft.com/office/drawing/2014/main" id="{1C65D0F3-1657-4FB2-8AAD-ECB2462E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7" name="Picture 119" descr="LOGO DGI">
          <a:extLst>
            <a:ext uri="{FF2B5EF4-FFF2-40B4-BE49-F238E27FC236}">
              <a16:creationId xmlns:a16="http://schemas.microsoft.com/office/drawing/2014/main" id="{86641931-D4BD-4771-B1F9-FCDAEC32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8" name="Picture 120" descr="LOGO DGI">
          <a:extLst>
            <a:ext uri="{FF2B5EF4-FFF2-40B4-BE49-F238E27FC236}">
              <a16:creationId xmlns:a16="http://schemas.microsoft.com/office/drawing/2014/main" id="{ABF4BD2A-53CD-459F-A7DC-04D6086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09" name="Picture 121" descr="LOGO DGI">
          <a:extLst>
            <a:ext uri="{FF2B5EF4-FFF2-40B4-BE49-F238E27FC236}">
              <a16:creationId xmlns:a16="http://schemas.microsoft.com/office/drawing/2014/main" id="{AF24D7BD-2FC4-4EF4-A579-C48A3B4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0" name="Picture 122" descr="LOGO DGI">
          <a:extLst>
            <a:ext uri="{FF2B5EF4-FFF2-40B4-BE49-F238E27FC236}">
              <a16:creationId xmlns:a16="http://schemas.microsoft.com/office/drawing/2014/main" id="{07DC82C0-7DF8-44D4-9E9B-30C0C096E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1" name="Picture 123" descr="LOGO DGI">
          <a:extLst>
            <a:ext uri="{FF2B5EF4-FFF2-40B4-BE49-F238E27FC236}">
              <a16:creationId xmlns:a16="http://schemas.microsoft.com/office/drawing/2014/main" id="{84E67E79-1AC5-42FE-A378-A1B74718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2" name="Picture 124" descr="LOGO DGI">
          <a:extLst>
            <a:ext uri="{FF2B5EF4-FFF2-40B4-BE49-F238E27FC236}">
              <a16:creationId xmlns:a16="http://schemas.microsoft.com/office/drawing/2014/main" id="{D1309D78-0929-41CD-98F8-EF51EBFCF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3" name="Picture 125" descr="LOGO DGI">
          <a:extLst>
            <a:ext uri="{FF2B5EF4-FFF2-40B4-BE49-F238E27FC236}">
              <a16:creationId xmlns:a16="http://schemas.microsoft.com/office/drawing/2014/main" id="{DEE7DF1D-BD0D-4ED3-A71B-F72406F4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4" name="Picture 126" descr="LOGO DGI">
          <a:extLst>
            <a:ext uri="{FF2B5EF4-FFF2-40B4-BE49-F238E27FC236}">
              <a16:creationId xmlns:a16="http://schemas.microsoft.com/office/drawing/2014/main" id="{A6583C07-5108-4073-ACCF-0562E0418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5" name="Picture 127" descr="LOGO DGI">
          <a:extLst>
            <a:ext uri="{FF2B5EF4-FFF2-40B4-BE49-F238E27FC236}">
              <a16:creationId xmlns:a16="http://schemas.microsoft.com/office/drawing/2014/main" id="{8A1D6D6B-75A2-49E4-BA87-7DD3709B6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6" name="Picture 128" descr="LOGO DGI">
          <a:extLst>
            <a:ext uri="{FF2B5EF4-FFF2-40B4-BE49-F238E27FC236}">
              <a16:creationId xmlns:a16="http://schemas.microsoft.com/office/drawing/2014/main" id="{2B419FD3-3493-4F0B-8B09-5FECDBAC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7" name="Picture 129" descr="LOGO DGI">
          <a:extLst>
            <a:ext uri="{FF2B5EF4-FFF2-40B4-BE49-F238E27FC236}">
              <a16:creationId xmlns:a16="http://schemas.microsoft.com/office/drawing/2014/main" id="{B1041CFF-F303-4A1A-AF36-647478D0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8" name="Picture 130" descr="LOGO DGI">
          <a:extLst>
            <a:ext uri="{FF2B5EF4-FFF2-40B4-BE49-F238E27FC236}">
              <a16:creationId xmlns:a16="http://schemas.microsoft.com/office/drawing/2014/main" id="{5CE7C523-CC8E-401F-B0B2-9DE283AD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91619" name="Picture 131" descr="LOGO DGI">
          <a:extLst>
            <a:ext uri="{FF2B5EF4-FFF2-40B4-BE49-F238E27FC236}">
              <a16:creationId xmlns:a16="http://schemas.microsoft.com/office/drawing/2014/main" id="{151E2932-AE65-41F9-B272-397E091C6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0" name="Picture 132" descr="LOGO DGI">
          <a:extLst>
            <a:ext uri="{FF2B5EF4-FFF2-40B4-BE49-F238E27FC236}">
              <a16:creationId xmlns:a16="http://schemas.microsoft.com/office/drawing/2014/main" id="{06849C1D-4924-4C40-A880-E21C6DA8D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1" name="Picture 133" descr="LOGO DGI">
          <a:extLst>
            <a:ext uri="{FF2B5EF4-FFF2-40B4-BE49-F238E27FC236}">
              <a16:creationId xmlns:a16="http://schemas.microsoft.com/office/drawing/2014/main" id="{4B359EDC-7382-4260-9684-55F65059F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2" name="Picture 134" descr="LOGO DGI">
          <a:extLst>
            <a:ext uri="{FF2B5EF4-FFF2-40B4-BE49-F238E27FC236}">
              <a16:creationId xmlns:a16="http://schemas.microsoft.com/office/drawing/2014/main" id="{50888805-EF68-4E9A-B65C-1FE586E4A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3" name="Picture 135" descr="LOGO DGI">
          <a:extLst>
            <a:ext uri="{FF2B5EF4-FFF2-40B4-BE49-F238E27FC236}">
              <a16:creationId xmlns:a16="http://schemas.microsoft.com/office/drawing/2014/main" id="{423BADBB-B3DA-414C-98D2-E7749ACD4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4" name="Picture 136" descr="LOGO DGI">
          <a:extLst>
            <a:ext uri="{FF2B5EF4-FFF2-40B4-BE49-F238E27FC236}">
              <a16:creationId xmlns:a16="http://schemas.microsoft.com/office/drawing/2014/main" id="{2AFA447B-1940-490E-837B-97700FC22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5" name="Picture 137" descr="LOGO DGI">
          <a:extLst>
            <a:ext uri="{FF2B5EF4-FFF2-40B4-BE49-F238E27FC236}">
              <a16:creationId xmlns:a16="http://schemas.microsoft.com/office/drawing/2014/main" id="{DF8091E4-8897-4071-875F-56B8B7E84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6" name="Picture 138" descr="LOGO DGI">
          <a:extLst>
            <a:ext uri="{FF2B5EF4-FFF2-40B4-BE49-F238E27FC236}">
              <a16:creationId xmlns:a16="http://schemas.microsoft.com/office/drawing/2014/main" id="{9EE75F2B-67BB-4992-A871-55C9519EB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7" name="Picture 139" descr="LOGO DGI">
          <a:extLst>
            <a:ext uri="{FF2B5EF4-FFF2-40B4-BE49-F238E27FC236}">
              <a16:creationId xmlns:a16="http://schemas.microsoft.com/office/drawing/2014/main" id="{DE2EB074-5A63-4D50-A6A2-11CEA3AF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8" name="Picture 140" descr="LOGO DGI">
          <a:extLst>
            <a:ext uri="{FF2B5EF4-FFF2-40B4-BE49-F238E27FC236}">
              <a16:creationId xmlns:a16="http://schemas.microsoft.com/office/drawing/2014/main" id="{CFD987A7-52F4-4655-A797-4142F333E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29" name="Picture 141" descr="LOGO DGI">
          <a:extLst>
            <a:ext uri="{FF2B5EF4-FFF2-40B4-BE49-F238E27FC236}">
              <a16:creationId xmlns:a16="http://schemas.microsoft.com/office/drawing/2014/main" id="{5E707C3E-4F44-44F0-9B54-8A77A405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0" name="Picture 142" descr="LOGO DGI">
          <a:extLst>
            <a:ext uri="{FF2B5EF4-FFF2-40B4-BE49-F238E27FC236}">
              <a16:creationId xmlns:a16="http://schemas.microsoft.com/office/drawing/2014/main" id="{B101D72D-BA0F-4D53-BFE6-C4DC68B4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1" name="Picture 143" descr="LOGO DGI">
          <a:extLst>
            <a:ext uri="{FF2B5EF4-FFF2-40B4-BE49-F238E27FC236}">
              <a16:creationId xmlns:a16="http://schemas.microsoft.com/office/drawing/2014/main" id="{5BC2A1FE-9040-4101-ADD4-9CEEB174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2" name="Picture 144" descr="LOGO DGI">
          <a:extLst>
            <a:ext uri="{FF2B5EF4-FFF2-40B4-BE49-F238E27FC236}">
              <a16:creationId xmlns:a16="http://schemas.microsoft.com/office/drawing/2014/main" id="{443391A4-C245-4012-A4A8-37D46CD26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3" name="Picture 145" descr="LOGO DGI">
          <a:extLst>
            <a:ext uri="{FF2B5EF4-FFF2-40B4-BE49-F238E27FC236}">
              <a16:creationId xmlns:a16="http://schemas.microsoft.com/office/drawing/2014/main" id="{19AE9B7C-E2FC-4387-8DC7-A65CFB35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4" name="Picture 146" descr="LOGO DGI">
          <a:extLst>
            <a:ext uri="{FF2B5EF4-FFF2-40B4-BE49-F238E27FC236}">
              <a16:creationId xmlns:a16="http://schemas.microsoft.com/office/drawing/2014/main" id="{72AE572C-D34A-4E35-A57F-C450DF93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5" name="Picture 147" descr="LOGO DGI">
          <a:extLst>
            <a:ext uri="{FF2B5EF4-FFF2-40B4-BE49-F238E27FC236}">
              <a16:creationId xmlns:a16="http://schemas.microsoft.com/office/drawing/2014/main" id="{F4298FF7-665C-42DF-8D3A-9C55F331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6" name="Picture 148" descr="LOGO DGI">
          <a:extLst>
            <a:ext uri="{FF2B5EF4-FFF2-40B4-BE49-F238E27FC236}">
              <a16:creationId xmlns:a16="http://schemas.microsoft.com/office/drawing/2014/main" id="{483CD586-ECB0-482E-ABB0-596358C66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7" name="Picture 149" descr="LOGO DGI">
          <a:extLst>
            <a:ext uri="{FF2B5EF4-FFF2-40B4-BE49-F238E27FC236}">
              <a16:creationId xmlns:a16="http://schemas.microsoft.com/office/drawing/2014/main" id="{C9011429-E946-49FB-BD94-4DA23078F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8" name="Picture 150" descr="LOGO DGI">
          <a:extLst>
            <a:ext uri="{FF2B5EF4-FFF2-40B4-BE49-F238E27FC236}">
              <a16:creationId xmlns:a16="http://schemas.microsoft.com/office/drawing/2014/main" id="{074FEE34-BFD8-4BE1-B7E0-CAA797641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39" name="Picture 151" descr="LOGO DGI">
          <a:extLst>
            <a:ext uri="{FF2B5EF4-FFF2-40B4-BE49-F238E27FC236}">
              <a16:creationId xmlns:a16="http://schemas.microsoft.com/office/drawing/2014/main" id="{3A8CD068-F429-46E4-8F17-8A2647968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0" name="Picture 152" descr="LOGO DGI">
          <a:extLst>
            <a:ext uri="{FF2B5EF4-FFF2-40B4-BE49-F238E27FC236}">
              <a16:creationId xmlns:a16="http://schemas.microsoft.com/office/drawing/2014/main" id="{435E51D4-28C1-46BB-80F7-EBB28FE2C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1" name="Picture 153" descr="LOGO DGI">
          <a:extLst>
            <a:ext uri="{FF2B5EF4-FFF2-40B4-BE49-F238E27FC236}">
              <a16:creationId xmlns:a16="http://schemas.microsoft.com/office/drawing/2014/main" id="{747B59C3-12FC-4998-BCB9-A06DD2D02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2" name="Picture 154" descr="LOGO DGI">
          <a:extLst>
            <a:ext uri="{FF2B5EF4-FFF2-40B4-BE49-F238E27FC236}">
              <a16:creationId xmlns:a16="http://schemas.microsoft.com/office/drawing/2014/main" id="{4BC4D55D-DB3F-4FCB-BA25-A462AB5ED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3" name="Picture 155" descr="LOGO DGI">
          <a:extLst>
            <a:ext uri="{FF2B5EF4-FFF2-40B4-BE49-F238E27FC236}">
              <a16:creationId xmlns:a16="http://schemas.microsoft.com/office/drawing/2014/main" id="{05F3AADE-87E4-4480-B830-0150C617E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4" name="Picture 156" descr="LOGO DGI">
          <a:extLst>
            <a:ext uri="{FF2B5EF4-FFF2-40B4-BE49-F238E27FC236}">
              <a16:creationId xmlns:a16="http://schemas.microsoft.com/office/drawing/2014/main" id="{58E6348A-5166-4794-987E-F7EA8858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0</xdr:rowOff>
    </xdr:from>
    <xdr:to>
      <xdr:col>0</xdr:col>
      <xdr:colOff>590550</xdr:colOff>
      <xdr:row>20</xdr:row>
      <xdr:rowOff>9525</xdr:rowOff>
    </xdr:to>
    <xdr:pic>
      <xdr:nvPicPr>
        <xdr:cNvPr id="1591645" name="Picture 157" descr="LOGO DGI">
          <a:extLst>
            <a:ext uri="{FF2B5EF4-FFF2-40B4-BE49-F238E27FC236}">
              <a16:creationId xmlns:a16="http://schemas.microsoft.com/office/drawing/2014/main" id="{B086951F-EE4B-4D59-A178-D714BF067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18</xdr:row>
      <xdr:rowOff>104775</xdr:rowOff>
    </xdr:from>
    <xdr:to>
      <xdr:col>0</xdr:col>
      <xdr:colOff>590550</xdr:colOff>
      <xdr:row>21</xdr:row>
      <xdr:rowOff>114300</xdr:rowOff>
    </xdr:to>
    <xdr:pic>
      <xdr:nvPicPr>
        <xdr:cNvPr id="1591646" name="Picture 158" descr="LOGO DGI">
          <a:extLst>
            <a:ext uri="{FF2B5EF4-FFF2-40B4-BE49-F238E27FC236}">
              <a16:creationId xmlns:a16="http://schemas.microsoft.com/office/drawing/2014/main" id="{DA0BB828-E214-49EF-956F-6BB526A0A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146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35</xdr:row>
      <xdr:rowOff>104775</xdr:rowOff>
    </xdr:from>
    <xdr:to>
      <xdr:col>0</xdr:col>
      <xdr:colOff>590550</xdr:colOff>
      <xdr:row>38</xdr:row>
      <xdr:rowOff>114300</xdr:rowOff>
    </xdr:to>
    <xdr:pic>
      <xdr:nvPicPr>
        <xdr:cNvPr id="1591647" name="Picture 159" descr="LOGO DGI">
          <a:extLst>
            <a:ext uri="{FF2B5EF4-FFF2-40B4-BE49-F238E27FC236}">
              <a16:creationId xmlns:a16="http://schemas.microsoft.com/office/drawing/2014/main" id="{627FBE51-27C2-4724-ABEF-44B35440F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9626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52</xdr:row>
      <xdr:rowOff>104775</xdr:rowOff>
    </xdr:from>
    <xdr:to>
      <xdr:col>0</xdr:col>
      <xdr:colOff>590550</xdr:colOff>
      <xdr:row>55</xdr:row>
      <xdr:rowOff>114300</xdr:rowOff>
    </xdr:to>
    <xdr:pic>
      <xdr:nvPicPr>
        <xdr:cNvPr id="1591648" name="Picture 160" descr="LOGO DGI">
          <a:extLst>
            <a:ext uri="{FF2B5EF4-FFF2-40B4-BE49-F238E27FC236}">
              <a16:creationId xmlns:a16="http://schemas.microsoft.com/office/drawing/2014/main" id="{64A3B3AD-56CF-470F-9E7F-8ED94DCD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8106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69</xdr:row>
      <xdr:rowOff>104775</xdr:rowOff>
    </xdr:from>
    <xdr:to>
      <xdr:col>0</xdr:col>
      <xdr:colOff>590550</xdr:colOff>
      <xdr:row>72</xdr:row>
      <xdr:rowOff>114300</xdr:rowOff>
    </xdr:to>
    <xdr:pic>
      <xdr:nvPicPr>
        <xdr:cNvPr id="1591649" name="Picture 161" descr="LOGO DGI">
          <a:extLst>
            <a:ext uri="{FF2B5EF4-FFF2-40B4-BE49-F238E27FC236}">
              <a16:creationId xmlns:a16="http://schemas.microsoft.com/office/drawing/2014/main" id="{D30F997A-91DA-41F4-AAD0-CD73F402A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6586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86</xdr:row>
      <xdr:rowOff>104775</xdr:rowOff>
    </xdr:from>
    <xdr:to>
      <xdr:col>0</xdr:col>
      <xdr:colOff>590550</xdr:colOff>
      <xdr:row>89</xdr:row>
      <xdr:rowOff>114300</xdr:rowOff>
    </xdr:to>
    <xdr:pic>
      <xdr:nvPicPr>
        <xdr:cNvPr id="1591650" name="Picture 162" descr="LOGO DGI">
          <a:extLst>
            <a:ext uri="{FF2B5EF4-FFF2-40B4-BE49-F238E27FC236}">
              <a16:creationId xmlns:a16="http://schemas.microsoft.com/office/drawing/2014/main" id="{A7FD5FE2-DB94-4B26-B07F-872BCB9F4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5065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103</xdr:row>
      <xdr:rowOff>104775</xdr:rowOff>
    </xdr:from>
    <xdr:to>
      <xdr:col>0</xdr:col>
      <xdr:colOff>590550</xdr:colOff>
      <xdr:row>106</xdr:row>
      <xdr:rowOff>114300</xdr:rowOff>
    </xdr:to>
    <xdr:pic>
      <xdr:nvPicPr>
        <xdr:cNvPr id="1591651" name="Picture 163" descr="LOGO DGI">
          <a:extLst>
            <a:ext uri="{FF2B5EF4-FFF2-40B4-BE49-F238E27FC236}">
              <a16:creationId xmlns:a16="http://schemas.microsoft.com/office/drawing/2014/main" id="{B6119559-CA05-4B7D-80CE-3C80F1EE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3545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120</xdr:row>
      <xdr:rowOff>104775</xdr:rowOff>
    </xdr:from>
    <xdr:to>
      <xdr:col>0</xdr:col>
      <xdr:colOff>590550</xdr:colOff>
      <xdr:row>123</xdr:row>
      <xdr:rowOff>114300</xdr:rowOff>
    </xdr:to>
    <xdr:pic>
      <xdr:nvPicPr>
        <xdr:cNvPr id="1591652" name="Picture 164" descr="LOGO DGI">
          <a:extLst>
            <a:ext uri="{FF2B5EF4-FFF2-40B4-BE49-F238E27FC236}">
              <a16:creationId xmlns:a16="http://schemas.microsoft.com/office/drawing/2014/main" id="{46B27D0F-A941-4EDB-9F52-A2492C08C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2025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137</xdr:row>
      <xdr:rowOff>104775</xdr:rowOff>
    </xdr:from>
    <xdr:to>
      <xdr:col>0</xdr:col>
      <xdr:colOff>590550</xdr:colOff>
      <xdr:row>140</xdr:row>
      <xdr:rowOff>114300</xdr:rowOff>
    </xdr:to>
    <xdr:pic>
      <xdr:nvPicPr>
        <xdr:cNvPr id="1591653" name="Picture 165" descr="LOGO DGI">
          <a:extLst>
            <a:ext uri="{FF2B5EF4-FFF2-40B4-BE49-F238E27FC236}">
              <a16:creationId xmlns:a16="http://schemas.microsoft.com/office/drawing/2014/main" id="{EAB88A1A-BC0B-427B-84E0-030DDA6C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30505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154</xdr:row>
      <xdr:rowOff>104775</xdr:rowOff>
    </xdr:from>
    <xdr:to>
      <xdr:col>0</xdr:col>
      <xdr:colOff>590550</xdr:colOff>
      <xdr:row>157</xdr:row>
      <xdr:rowOff>114300</xdr:rowOff>
    </xdr:to>
    <xdr:pic>
      <xdr:nvPicPr>
        <xdr:cNvPr id="1591654" name="Picture 166" descr="LOGO DGI">
          <a:extLst>
            <a:ext uri="{FF2B5EF4-FFF2-40B4-BE49-F238E27FC236}">
              <a16:creationId xmlns:a16="http://schemas.microsoft.com/office/drawing/2014/main" id="{E8343018-6160-437A-8D9F-2AD30CD43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8984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171</xdr:row>
      <xdr:rowOff>104775</xdr:rowOff>
    </xdr:from>
    <xdr:to>
      <xdr:col>0</xdr:col>
      <xdr:colOff>590550</xdr:colOff>
      <xdr:row>174</xdr:row>
      <xdr:rowOff>114300</xdr:rowOff>
    </xdr:to>
    <xdr:pic>
      <xdr:nvPicPr>
        <xdr:cNvPr id="1591655" name="Picture 167" descr="LOGO DGI">
          <a:extLst>
            <a:ext uri="{FF2B5EF4-FFF2-40B4-BE49-F238E27FC236}">
              <a16:creationId xmlns:a16="http://schemas.microsoft.com/office/drawing/2014/main" id="{2A762D7F-1945-4301-AB32-7D47DD906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7464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188</xdr:row>
      <xdr:rowOff>104775</xdr:rowOff>
    </xdr:from>
    <xdr:to>
      <xdr:col>0</xdr:col>
      <xdr:colOff>590550</xdr:colOff>
      <xdr:row>191</xdr:row>
      <xdr:rowOff>114300</xdr:rowOff>
    </xdr:to>
    <xdr:pic>
      <xdr:nvPicPr>
        <xdr:cNvPr id="1591656" name="Picture 168" descr="LOGO DGI">
          <a:extLst>
            <a:ext uri="{FF2B5EF4-FFF2-40B4-BE49-F238E27FC236}">
              <a16:creationId xmlns:a16="http://schemas.microsoft.com/office/drawing/2014/main" id="{61C761E6-A9E7-4E6A-86F2-18582986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5944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205</xdr:row>
      <xdr:rowOff>104775</xdr:rowOff>
    </xdr:from>
    <xdr:to>
      <xdr:col>0</xdr:col>
      <xdr:colOff>590550</xdr:colOff>
      <xdr:row>208</xdr:row>
      <xdr:rowOff>114300</xdr:rowOff>
    </xdr:to>
    <xdr:pic>
      <xdr:nvPicPr>
        <xdr:cNvPr id="1591657" name="Picture 169" descr="LOGO DGI">
          <a:extLst>
            <a:ext uri="{FF2B5EF4-FFF2-40B4-BE49-F238E27FC236}">
              <a16:creationId xmlns:a16="http://schemas.microsoft.com/office/drawing/2014/main" id="{2ED05A1B-E316-4075-A52F-5E98FD91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44424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222</xdr:row>
      <xdr:rowOff>104775</xdr:rowOff>
    </xdr:from>
    <xdr:to>
      <xdr:col>0</xdr:col>
      <xdr:colOff>590550</xdr:colOff>
      <xdr:row>225</xdr:row>
      <xdr:rowOff>114300</xdr:rowOff>
    </xdr:to>
    <xdr:pic>
      <xdr:nvPicPr>
        <xdr:cNvPr id="1591658" name="Picture 170" descr="LOGO DGI">
          <a:extLst>
            <a:ext uri="{FF2B5EF4-FFF2-40B4-BE49-F238E27FC236}">
              <a16:creationId xmlns:a16="http://schemas.microsoft.com/office/drawing/2014/main" id="{DD26BB7D-93A3-4CBD-BC41-09FF24D71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72903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676275</xdr:colOff>
      <xdr:row>1</xdr:row>
      <xdr:rowOff>28575</xdr:rowOff>
    </xdr:from>
    <xdr:to>
      <xdr:col>10</xdr:col>
      <xdr:colOff>38100</xdr:colOff>
      <xdr:row>4</xdr:row>
      <xdr:rowOff>76200</xdr:rowOff>
    </xdr:to>
    <xdr:sp macro="" textlink="">
      <xdr:nvSpPr>
        <xdr:cNvPr id="14339" name="CommandButton1" hidden="1">
          <a:extLst>
            <a:ext uri="{63B3BB69-23CF-44E3-9099-C40C66FF867C}">
              <a14:compatExt xmlns:a14="http://schemas.microsoft.com/office/drawing/2010/main" spid="_x0000_s14339"/>
            </a:ext>
            <a:ext uri="{FF2B5EF4-FFF2-40B4-BE49-F238E27FC236}">
              <a16:creationId xmlns:a16="http://schemas.microsoft.com/office/drawing/2014/main" id="{49B2E401-67D4-47EA-860C-A3312586D43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666750</xdr:colOff>
      <xdr:row>4</xdr:row>
      <xdr:rowOff>95250</xdr:rowOff>
    </xdr:from>
    <xdr:to>
      <xdr:col>10</xdr:col>
      <xdr:colOff>542925</xdr:colOff>
      <xdr:row>7</xdr:row>
      <xdr:rowOff>0</xdr:rowOff>
    </xdr:to>
    <xdr:sp macro="" textlink="">
      <xdr:nvSpPr>
        <xdr:cNvPr id="14340" name="CommandButton2" hidden="1">
          <a:extLst>
            <a:ext uri="{63B3BB69-23CF-44E3-9099-C40C66FF867C}">
              <a14:compatExt xmlns:a14="http://schemas.microsoft.com/office/drawing/2010/main" spid="_x0000_s14340"/>
            </a:ext>
            <a:ext uri="{FF2B5EF4-FFF2-40B4-BE49-F238E27FC236}">
              <a16:creationId xmlns:a16="http://schemas.microsoft.com/office/drawing/2014/main" id="{70E761B1-BC66-4A63-B9F9-705A0D0B891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104775</xdr:rowOff>
    </xdr:from>
    <xdr:to>
      <xdr:col>10</xdr:col>
      <xdr:colOff>523875</xdr:colOff>
      <xdr:row>4</xdr:row>
      <xdr:rowOff>47625</xdr:rowOff>
    </xdr:to>
    <xdr:sp macro="" textlink="">
      <xdr:nvSpPr>
        <xdr:cNvPr id="33793" name="CommandButton2" hidden="1">
          <a:extLst>
            <a:ext uri="{63B3BB69-23CF-44E3-9099-C40C66FF867C}">
              <a14:compatExt xmlns:a14="http://schemas.microsoft.com/office/drawing/2010/main" spid="_x0000_s33793"/>
            </a:ext>
            <a:ext uri="{FF2B5EF4-FFF2-40B4-BE49-F238E27FC236}">
              <a16:creationId xmlns:a16="http://schemas.microsoft.com/office/drawing/2014/main" id="{20DC32B8-4872-49A9-8BE5-2DBD2168162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76200</xdr:colOff>
      <xdr:row>0</xdr:row>
      <xdr:rowOff>142875</xdr:rowOff>
    </xdr:from>
    <xdr:to>
      <xdr:col>11</xdr:col>
      <xdr:colOff>1066800</xdr:colOff>
      <xdr:row>4</xdr:row>
      <xdr:rowOff>114300</xdr:rowOff>
    </xdr:to>
    <xdr:sp macro="" textlink="">
      <xdr:nvSpPr>
        <xdr:cNvPr id="33794" name="CommandButton1" hidden="1">
          <a:extLst>
            <a:ext uri="{63B3BB69-23CF-44E3-9099-C40C66FF867C}">
              <a14:compatExt xmlns:a14="http://schemas.microsoft.com/office/drawing/2010/main" spid="_x0000_s33794"/>
            </a:ext>
            <a:ext uri="{FF2B5EF4-FFF2-40B4-BE49-F238E27FC236}">
              <a16:creationId xmlns:a16="http://schemas.microsoft.com/office/drawing/2014/main" id="{0CB93236-6361-40A4-85C2-627235A179F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5</xdr:row>
      <xdr:rowOff>19050</xdr:rowOff>
    </xdr:from>
    <xdr:to>
      <xdr:col>10</xdr:col>
      <xdr:colOff>542925</xdr:colOff>
      <xdr:row>8</xdr:row>
      <xdr:rowOff>114300</xdr:rowOff>
    </xdr:to>
    <xdr:sp macro="" textlink="">
      <xdr:nvSpPr>
        <xdr:cNvPr id="33795" name="CommandButton3" hidden="1">
          <a:extLst>
            <a:ext uri="{63B3BB69-23CF-44E3-9099-C40C66FF867C}">
              <a14:compatExt xmlns:a14="http://schemas.microsoft.com/office/drawing/2010/main" spid="_x0000_s33795"/>
            </a:ext>
            <a:ext uri="{FF2B5EF4-FFF2-40B4-BE49-F238E27FC236}">
              <a16:creationId xmlns:a16="http://schemas.microsoft.com/office/drawing/2014/main" id="{6063300D-E434-403A-93DD-BD8D7850A83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47625</xdr:colOff>
      <xdr:row>5</xdr:row>
      <xdr:rowOff>28575</xdr:rowOff>
    </xdr:from>
    <xdr:to>
      <xdr:col>11</xdr:col>
      <xdr:colOff>1047750</xdr:colOff>
      <xdr:row>8</xdr:row>
      <xdr:rowOff>104775</xdr:rowOff>
    </xdr:to>
    <xdr:sp macro="" textlink="">
      <xdr:nvSpPr>
        <xdr:cNvPr id="33796" name="CommandButton4" hidden="1">
          <a:extLst>
            <a:ext uri="{63B3BB69-23CF-44E3-9099-C40C66FF867C}">
              <a14:compatExt xmlns:a14="http://schemas.microsoft.com/office/drawing/2010/main" spid="_x0000_s33796"/>
            </a:ext>
            <a:ext uri="{FF2B5EF4-FFF2-40B4-BE49-F238E27FC236}">
              <a16:creationId xmlns:a16="http://schemas.microsoft.com/office/drawing/2014/main" id="{F1F12B7F-419D-4ACE-A087-E902DA1A8A8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133350</xdr:rowOff>
    </xdr:from>
    <xdr:to>
      <xdr:col>1</xdr:col>
      <xdr:colOff>19050</xdr:colOff>
      <xdr:row>3</xdr:row>
      <xdr:rowOff>133350</xdr:rowOff>
    </xdr:to>
    <xdr:pic>
      <xdr:nvPicPr>
        <xdr:cNvPr id="1586578" name="Picture 1" descr="LOGO DGI">
          <a:extLst>
            <a:ext uri="{FF2B5EF4-FFF2-40B4-BE49-F238E27FC236}">
              <a16:creationId xmlns:a16="http://schemas.microsoft.com/office/drawing/2014/main" id="{5C21DA15-0191-4030-A5EE-EE12107BB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333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79" name="Picture 147" descr="LOGO DGI">
          <a:extLst>
            <a:ext uri="{FF2B5EF4-FFF2-40B4-BE49-F238E27FC236}">
              <a16:creationId xmlns:a16="http://schemas.microsoft.com/office/drawing/2014/main" id="{ACCEBEBE-7576-436E-9EAF-55DA25049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0" name="Picture 148" descr="LOGO DGI">
          <a:extLst>
            <a:ext uri="{FF2B5EF4-FFF2-40B4-BE49-F238E27FC236}">
              <a16:creationId xmlns:a16="http://schemas.microsoft.com/office/drawing/2014/main" id="{98E50241-2B65-4532-B0D3-935F535B9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1" name="Picture 149" descr="LOGO DGI">
          <a:extLst>
            <a:ext uri="{FF2B5EF4-FFF2-40B4-BE49-F238E27FC236}">
              <a16:creationId xmlns:a16="http://schemas.microsoft.com/office/drawing/2014/main" id="{57937947-A6E9-41F5-9F81-8085F5E73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19</xdr:row>
      <xdr:rowOff>19050</xdr:rowOff>
    </xdr:to>
    <xdr:pic>
      <xdr:nvPicPr>
        <xdr:cNvPr id="1586582" name="Picture 150" descr="LOGO DGI">
          <a:extLst>
            <a:ext uri="{FF2B5EF4-FFF2-40B4-BE49-F238E27FC236}">
              <a16:creationId xmlns:a16="http://schemas.microsoft.com/office/drawing/2014/main" id="{77AC2678-6549-4F32-B3BD-BD752DC9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3" name="Picture 151" descr="LOGO DGI">
          <a:extLst>
            <a:ext uri="{FF2B5EF4-FFF2-40B4-BE49-F238E27FC236}">
              <a16:creationId xmlns:a16="http://schemas.microsoft.com/office/drawing/2014/main" id="{923E95C4-86FB-457A-B1F1-591407C43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4" name="Picture 152" descr="LOGO DGI">
          <a:extLst>
            <a:ext uri="{FF2B5EF4-FFF2-40B4-BE49-F238E27FC236}">
              <a16:creationId xmlns:a16="http://schemas.microsoft.com/office/drawing/2014/main" id="{2D3D86B5-BAAE-490E-8ECF-96D6BF95D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5" name="Picture 153" descr="LOGO DGI">
          <a:extLst>
            <a:ext uri="{FF2B5EF4-FFF2-40B4-BE49-F238E27FC236}">
              <a16:creationId xmlns:a16="http://schemas.microsoft.com/office/drawing/2014/main" id="{723F5205-570E-456C-B10B-2AB6DF9F7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19</xdr:row>
      <xdr:rowOff>19050</xdr:rowOff>
    </xdr:to>
    <xdr:pic>
      <xdr:nvPicPr>
        <xdr:cNvPr id="1586586" name="Picture 154" descr="LOGO DGI">
          <a:extLst>
            <a:ext uri="{FF2B5EF4-FFF2-40B4-BE49-F238E27FC236}">
              <a16:creationId xmlns:a16="http://schemas.microsoft.com/office/drawing/2014/main" id="{E80DAABD-8774-43B3-9F78-EB21CFE4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7" name="Picture 155" descr="LOGO DGI">
          <a:extLst>
            <a:ext uri="{FF2B5EF4-FFF2-40B4-BE49-F238E27FC236}">
              <a16:creationId xmlns:a16="http://schemas.microsoft.com/office/drawing/2014/main" id="{EB060A87-3171-4BC6-9B8E-095CA4ED2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88" name="Picture 156" descr="LOGO DGI">
          <a:extLst>
            <a:ext uri="{FF2B5EF4-FFF2-40B4-BE49-F238E27FC236}">
              <a16:creationId xmlns:a16="http://schemas.microsoft.com/office/drawing/2014/main" id="{DC6ABD7C-5C29-4D0F-BE27-ED1BE786C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16</xdr:row>
      <xdr:rowOff>0</xdr:rowOff>
    </xdr:from>
    <xdr:to>
      <xdr:col>0</xdr:col>
      <xdr:colOff>600075</xdr:colOff>
      <xdr:row>18</xdr:row>
      <xdr:rowOff>152400</xdr:rowOff>
    </xdr:to>
    <xdr:pic>
      <xdr:nvPicPr>
        <xdr:cNvPr id="1586589" name="Picture 157" descr="LOGO DGI">
          <a:extLst>
            <a:ext uri="{FF2B5EF4-FFF2-40B4-BE49-F238E27FC236}">
              <a16:creationId xmlns:a16="http://schemas.microsoft.com/office/drawing/2014/main" id="{2AD463FA-914C-496A-8A62-BD113FC5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19</xdr:row>
      <xdr:rowOff>47625</xdr:rowOff>
    </xdr:to>
    <xdr:pic>
      <xdr:nvPicPr>
        <xdr:cNvPr id="1586590" name="Picture 158" descr="LOGO DGI">
          <a:extLst>
            <a:ext uri="{FF2B5EF4-FFF2-40B4-BE49-F238E27FC236}">
              <a16:creationId xmlns:a16="http://schemas.microsoft.com/office/drawing/2014/main" id="{09F1AA47-AD21-4C00-8336-5BB85D03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1" name="Picture 159" descr="LOGO DGI">
          <a:extLst>
            <a:ext uri="{FF2B5EF4-FFF2-40B4-BE49-F238E27FC236}">
              <a16:creationId xmlns:a16="http://schemas.microsoft.com/office/drawing/2014/main" id="{CE5B070A-9E8E-439B-8805-7670603BE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2" name="Picture 160" descr="LOGO DGI">
          <a:extLst>
            <a:ext uri="{FF2B5EF4-FFF2-40B4-BE49-F238E27FC236}">
              <a16:creationId xmlns:a16="http://schemas.microsoft.com/office/drawing/2014/main" id="{8D51076B-C94C-4CAF-861C-8247F9559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3" name="Picture 161" descr="LOGO DGI">
          <a:extLst>
            <a:ext uri="{FF2B5EF4-FFF2-40B4-BE49-F238E27FC236}">
              <a16:creationId xmlns:a16="http://schemas.microsoft.com/office/drawing/2014/main" id="{BD53C1F3-4B2D-42C8-AD56-26FCF20A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19</xdr:row>
      <xdr:rowOff>19050</xdr:rowOff>
    </xdr:to>
    <xdr:pic>
      <xdr:nvPicPr>
        <xdr:cNvPr id="1586594" name="Picture 162" descr="LOGO DGI">
          <a:extLst>
            <a:ext uri="{FF2B5EF4-FFF2-40B4-BE49-F238E27FC236}">
              <a16:creationId xmlns:a16="http://schemas.microsoft.com/office/drawing/2014/main" id="{AD49CA52-0719-4F24-A34F-2C0BC4AF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5" name="Picture 163" descr="LOGO DGI">
          <a:extLst>
            <a:ext uri="{FF2B5EF4-FFF2-40B4-BE49-F238E27FC236}">
              <a16:creationId xmlns:a16="http://schemas.microsoft.com/office/drawing/2014/main" id="{30FF1E5F-F951-4BF3-9B48-496DA0ABB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6" name="Picture 164" descr="LOGO DGI">
          <a:extLst>
            <a:ext uri="{FF2B5EF4-FFF2-40B4-BE49-F238E27FC236}">
              <a16:creationId xmlns:a16="http://schemas.microsoft.com/office/drawing/2014/main" id="{F1DF357E-AB6D-42B4-AD0B-C688CB9C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6597" name="Picture 165" descr="LOGO DGI">
          <a:extLst>
            <a:ext uri="{FF2B5EF4-FFF2-40B4-BE49-F238E27FC236}">
              <a16:creationId xmlns:a16="http://schemas.microsoft.com/office/drawing/2014/main" id="{FEC26F61-2F55-452E-9E67-A4AF0E0B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19</xdr:row>
      <xdr:rowOff>19050</xdr:rowOff>
    </xdr:to>
    <xdr:pic>
      <xdr:nvPicPr>
        <xdr:cNvPr id="1586598" name="Picture 166" descr="LOGO DGI">
          <a:extLst>
            <a:ext uri="{FF2B5EF4-FFF2-40B4-BE49-F238E27FC236}">
              <a16:creationId xmlns:a16="http://schemas.microsoft.com/office/drawing/2014/main" id="{3A42BCFA-A145-4A6B-A9D0-D607085D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599" name="Picture 167" descr="LOGO DGI">
          <a:extLst>
            <a:ext uri="{FF2B5EF4-FFF2-40B4-BE49-F238E27FC236}">
              <a16:creationId xmlns:a16="http://schemas.microsoft.com/office/drawing/2014/main" id="{3A0B4BDB-ED5F-4A3E-AA5F-DB6F0466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0" name="Picture 168" descr="LOGO DGI">
          <a:extLst>
            <a:ext uri="{FF2B5EF4-FFF2-40B4-BE49-F238E27FC236}">
              <a16:creationId xmlns:a16="http://schemas.microsoft.com/office/drawing/2014/main" id="{F22A599F-5AED-49B1-AF8B-2C5EBADA6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1" name="Picture 169" descr="LOGO DGI">
          <a:extLst>
            <a:ext uri="{FF2B5EF4-FFF2-40B4-BE49-F238E27FC236}">
              <a16:creationId xmlns:a16="http://schemas.microsoft.com/office/drawing/2014/main" id="{EB3B4EDC-9C49-4A98-9485-EB28D3A2B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2" name="Picture 170" descr="LOGO DGI">
          <a:extLst>
            <a:ext uri="{FF2B5EF4-FFF2-40B4-BE49-F238E27FC236}">
              <a16:creationId xmlns:a16="http://schemas.microsoft.com/office/drawing/2014/main" id="{4884A965-6BC6-4BA2-959B-5B6A8419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3" name="Picture 171" descr="LOGO DGI">
          <a:extLst>
            <a:ext uri="{FF2B5EF4-FFF2-40B4-BE49-F238E27FC236}">
              <a16:creationId xmlns:a16="http://schemas.microsoft.com/office/drawing/2014/main" id="{C84E7C35-EF8A-45C1-8F35-C0F5DAD3B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4" name="Picture 172" descr="LOGO DGI">
          <a:extLst>
            <a:ext uri="{FF2B5EF4-FFF2-40B4-BE49-F238E27FC236}">
              <a16:creationId xmlns:a16="http://schemas.microsoft.com/office/drawing/2014/main" id="{F20F2D5D-2FA1-4864-97AF-F6BE2499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5" name="Picture 173" descr="LOGO DGI">
          <a:extLst>
            <a:ext uri="{FF2B5EF4-FFF2-40B4-BE49-F238E27FC236}">
              <a16:creationId xmlns:a16="http://schemas.microsoft.com/office/drawing/2014/main" id="{2883AEBF-91C4-44B0-BDDC-8BDEE4763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6" name="Picture 174" descr="LOGO DGI">
          <a:extLst>
            <a:ext uri="{FF2B5EF4-FFF2-40B4-BE49-F238E27FC236}">
              <a16:creationId xmlns:a16="http://schemas.microsoft.com/office/drawing/2014/main" id="{AA170B48-8081-48D0-9CE9-9328F1B9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7" name="Picture 175" descr="LOGO DGI">
          <a:extLst>
            <a:ext uri="{FF2B5EF4-FFF2-40B4-BE49-F238E27FC236}">
              <a16:creationId xmlns:a16="http://schemas.microsoft.com/office/drawing/2014/main" id="{2B0F54FD-1997-4A01-BD95-857F0F3CF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8" name="Picture 176" descr="LOGO DGI">
          <a:extLst>
            <a:ext uri="{FF2B5EF4-FFF2-40B4-BE49-F238E27FC236}">
              <a16:creationId xmlns:a16="http://schemas.microsoft.com/office/drawing/2014/main" id="{5ADC2618-A6CC-4838-A430-C327B1D0A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09" name="Picture 177" descr="LOGO DGI">
          <a:extLst>
            <a:ext uri="{FF2B5EF4-FFF2-40B4-BE49-F238E27FC236}">
              <a16:creationId xmlns:a16="http://schemas.microsoft.com/office/drawing/2014/main" id="{CA08E3E6-D03E-4E17-944F-FC1F9A02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0" name="Picture 178" descr="LOGO DGI">
          <a:extLst>
            <a:ext uri="{FF2B5EF4-FFF2-40B4-BE49-F238E27FC236}">
              <a16:creationId xmlns:a16="http://schemas.microsoft.com/office/drawing/2014/main" id="{A8D5837E-883F-4C73-BDC4-D8186E3FB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1" name="Picture 179" descr="LOGO DGI">
          <a:extLst>
            <a:ext uri="{FF2B5EF4-FFF2-40B4-BE49-F238E27FC236}">
              <a16:creationId xmlns:a16="http://schemas.microsoft.com/office/drawing/2014/main" id="{BA1C759F-A75C-4392-8F51-E0B46C15D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2" name="Picture 180" descr="LOGO DGI">
          <a:extLst>
            <a:ext uri="{FF2B5EF4-FFF2-40B4-BE49-F238E27FC236}">
              <a16:creationId xmlns:a16="http://schemas.microsoft.com/office/drawing/2014/main" id="{29E13624-AD62-4AFE-B629-E8A3428C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3" name="Picture 181" descr="LOGO DGI">
          <a:extLst>
            <a:ext uri="{FF2B5EF4-FFF2-40B4-BE49-F238E27FC236}">
              <a16:creationId xmlns:a16="http://schemas.microsoft.com/office/drawing/2014/main" id="{8ED83577-B6A7-4FC6-81CC-1BD35A8F9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4" name="Picture 182" descr="LOGO DGI">
          <a:extLst>
            <a:ext uri="{FF2B5EF4-FFF2-40B4-BE49-F238E27FC236}">
              <a16:creationId xmlns:a16="http://schemas.microsoft.com/office/drawing/2014/main" id="{3225233C-1BF7-48E5-85F4-DD40715D4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5" name="Picture 183" descr="LOGO DGI">
          <a:extLst>
            <a:ext uri="{FF2B5EF4-FFF2-40B4-BE49-F238E27FC236}">
              <a16:creationId xmlns:a16="http://schemas.microsoft.com/office/drawing/2014/main" id="{5D635F79-A912-438D-855E-BB04C506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6" name="Picture 184" descr="LOGO DGI">
          <a:extLst>
            <a:ext uri="{FF2B5EF4-FFF2-40B4-BE49-F238E27FC236}">
              <a16:creationId xmlns:a16="http://schemas.microsoft.com/office/drawing/2014/main" id="{3956FE3F-BDCA-426C-9CFC-BECAEAE9D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7" name="Picture 185" descr="LOGO DGI">
          <a:extLst>
            <a:ext uri="{FF2B5EF4-FFF2-40B4-BE49-F238E27FC236}">
              <a16:creationId xmlns:a16="http://schemas.microsoft.com/office/drawing/2014/main" id="{53CD75DD-A426-49A2-A8FA-C6D5A578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19050</xdr:colOff>
      <xdr:row>20</xdr:row>
      <xdr:rowOff>0</xdr:rowOff>
    </xdr:to>
    <xdr:pic>
      <xdr:nvPicPr>
        <xdr:cNvPr id="1586618" name="Picture 186" descr="LOGO DGI">
          <a:extLst>
            <a:ext uri="{FF2B5EF4-FFF2-40B4-BE49-F238E27FC236}">
              <a16:creationId xmlns:a16="http://schemas.microsoft.com/office/drawing/2014/main" id="{C457D120-3E78-45ED-904C-1CD9B8575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19" name="Picture 187" descr="LOGO DGI">
          <a:extLst>
            <a:ext uri="{FF2B5EF4-FFF2-40B4-BE49-F238E27FC236}">
              <a16:creationId xmlns:a16="http://schemas.microsoft.com/office/drawing/2014/main" id="{AE5A13E7-895C-4BC9-A97F-8A3D6497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0" name="Picture 188" descr="LOGO DGI">
          <a:extLst>
            <a:ext uri="{FF2B5EF4-FFF2-40B4-BE49-F238E27FC236}">
              <a16:creationId xmlns:a16="http://schemas.microsoft.com/office/drawing/2014/main" id="{285E640C-7ABA-418E-B3F2-EC946387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1" name="Picture 189" descr="LOGO DGI">
          <a:extLst>
            <a:ext uri="{FF2B5EF4-FFF2-40B4-BE49-F238E27FC236}">
              <a16:creationId xmlns:a16="http://schemas.microsoft.com/office/drawing/2014/main" id="{975812F7-62BA-465F-9717-12A9DCC8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2" name="Picture 190" descr="LOGO DGI">
          <a:extLst>
            <a:ext uri="{FF2B5EF4-FFF2-40B4-BE49-F238E27FC236}">
              <a16:creationId xmlns:a16="http://schemas.microsoft.com/office/drawing/2014/main" id="{59FFB6BD-54FF-4AAF-A5E4-B49A9271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3" name="Picture 191" descr="LOGO DGI">
          <a:extLst>
            <a:ext uri="{FF2B5EF4-FFF2-40B4-BE49-F238E27FC236}">
              <a16:creationId xmlns:a16="http://schemas.microsoft.com/office/drawing/2014/main" id="{301099A4-2568-4F6E-B287-12EAB09AA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4" name="Picture 192" descr="LOGO DGI">
          <a:extLst>
            <a:ext uri="{FF2B5EF4-FFF2-40B4-BE49-F238E27FC236}">
              <a16:creationId xmlns:a16="http://schemas.microsoft.com/office/drawing/2014/main" id="{1773408A-E8BF-40CA-B7AF-F6B12B78B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5" name="Picture 193" descr="LOGO DGI">
          <a:extLst>
            <a:ext uri="{FF2B5EF4-FFF2-40B4-BE49-F238E27FC236}">
              <a16:creationId xmlns:a16="http://schemas.microsoft.com/office/drawing/2014/main" id="{CFB04160-54D4-42A0-A482-7191896E3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6" name="Picture 194" descr="LOGO DGI">
          <a:extLst>
            <a:ext uri="{FF2B5EF4-FFF2-40B4-BE49-F238E27FC236}">
              <a16:creationId xmlns:a16="http://schemas.microsoft.com/office/drawing/2014/main" id="{610F86CE-5230-4FA3-9A31-87E559CC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7" name="Picture 195" descr="LOGO DGI">
          <a:extLst>
            <a:ext uri="{FF2B5EF4-FFF2-40B4-BE49-F238E27FC236}">
              <a16:creationId xmlns:a16="http://schemas.microsoft.com/office/drawing/2014/main" id="{73FB8623-966C-462B-A21F-B6780E5C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8" name="Picture 196" descr="LOGO DGI">
          <a:extLst>
            <a:ext uri="{FF2B5EF4-FFF2-40B4-BE49-F238E27FC236}">
              <a16:creationId xmlns:a16="http://schemas.microsoft.com/office/drawing/2014/main" id="{AD63D033-DCB4-4089-AC88-D67C6443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29" name="Picture 197" descr="LOGO DGI">
          <a:extLst>
            <a:ext uri="{FF2B5EF4-FFF2-40B4-BE49-F238E27FC236}">
              <a16:creationId xmlns:a16="http://schemas.microsoft.com/office/drawing/2014/main" id="{B712D167-93E5-4C38-8B8D-06BB18BC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0" name="Picture 198" descr="LOGO DGI">
          <a:extLst>
            <a:ext uri="{FF2B5EF4-FFF2-40B4-BE49-F238E27FC236}">
              <a16:creationId xmlns:a16="http://schemas.microsoft.com/office/drawing/2014/main" id="{C4D00C9E-6A02-498F-9B34-2D7C1295A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1" name="Picture 199" descr="LOGO DGI">
          <a:extLst>
            <a:ext uri="{FF2B5EF4-FFF2-40B4-BE49-F238E27FC236}">
              <a16:creationId xmlns:a16="http://schemas.microsoft.com/office/drawing/2014/main" id="{B3D3052B-3BCA-4D4D-90A7-69D688976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2" name="Picture 200" descr="LOGO DGI">
          <a:extLst>
            <a:ext uri="{FF2B5EF4-FFF2-40B4-BE49-F238E27FC236}">
              <a16:creationId xmlns:a16="http://schemas.microsoft.com/office/drawing/2014/main" id="{1A0DAB78-8EDF-4771-9B20-61254B23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3" name="Picture 201" descr="LOGO DGI">
          <a:extLst>
            <a:ext uri="{FF2B5EF4-FFF2-40B4-BE49-F238E27FC236}">
              <a16:creationId xmlns:a16="http://schemas.microsoft.com/office/drawing/2014/main" id="{63F99CFB-E963-48F9-A141-96BFA689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4" name="Picture 202" descr="LOGO DGI">
          <a:extLst>
            <a:ext uri="{FF2B5EF4-FFF2-40B4-BE49-F238E27FC236}">
              <a16:creationId xmlns:a16="http://schemas.microsoft.com/office/drawing/2014/main" id="{AEE8C98E-A6AE-4B0D-972A-B9E9167E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5" name="Picture 203" descr="LOGO DGI">
          <a:extLst>
            <a:ext uri="{FF2B5EF4-FFF2-40B4-BE49-F238E27FC236}">
              <a16:creationId xmlns:a16="http://schemas.microsoft.com/office/drawing/2014/main" id="{8F949E88-8776-4A99-83EE-F0DF4C4C6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6" name="Picture 204" descr="LOGO DGI">
          <a:extLst>
            <a:ext uri="{FF2B5EF4-FFF2-40B4-BE49-F238E27FC236}">
              <a16:creationId xmlns:a16="http://schemas.microsoft.com/office/drawing/2014/main" id="{08F1C7ED-96DD-4A22-8BC8-18F82CCD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7" name="Picture 205" descr="LOGO DGI">
          <a:extLst>
            <a:ext uri="{FF2B5EF4-FFF2-40B4-BE49-F238E27FC236}">
              <a16:creationId xmlns:a16="http://schemas.microsoft.com/office/drawing/2014/main" id="{4F8D20B8-58A5-401C-8544-C6813E45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8" name="Picture 206" descr="LOGO DGI">
          <a:extLst>
            <a:ext uri="{FF2B5EF4-FFF2-40B4-BE49-F238E27FC236}">
              <a16:creationId xmlns:a16="http://schemas.microsoft.com/office/drawing/2014/main" id="{82866A1C-7C67-4472-8AB0-31C9056C2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39" name="Picture 207" descr="LOGO DGI">
          <a:extLst>
            <a:ext uri="{FF2B5EF4-FFF2-40B4-BE49-F238E27FC236}">
              <a16:creationId xmlns:a16="http://schemas.microsoft.com/office/drawing/2014/main" id="{3D6307A2-67E8-4C81-9680-0FF683F3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0" name="Picture 208" descr="LOGO DGI">
          <a:extLst>
            <a:ext uri="{FF2B5EF4-FFF2-40B4-BE49-F238E27FC236}">
              <a16:creationId xmlns:a16="http://schemas.microsoft.com/office/drawing/2014/main" id="{4C452BCC-9EC8-4A3E-A6EA-9EA438A4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1" name="Picture 209" descr="LOGO DGI">
          <a:extLst>
            <a:ext uri="{FF2B5EF4-FFF2-40B4-BE49-F238E27FC236}">
              <a16:creationId xmlns:a16="http://schemas.microsoft.com/office/drawing/2014/main" id="{DFFC123C-43DF-492E-87CC-1A60CD7A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2" name="Picture 210" descr="LOGO DGI">
          <a:extLst>
            <a:ext uri="{FF2B5EF4-FFF2-40B4-BE49-F238E27FC236}">
              <a16:creationId xmlns:a16="http://schemas.microsoft.com/office/drawing/2014/main" id="{E2D0D492-D825-424B-B42E-C48C993B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3" name="Picture 211" descr="LOGO DGI">
          <a:extLst>
            <a:ext uri="{FF2B5EF4-FFF2-40B4-BE49-F238E27FC236}">
              <a16:creationId xmlns:a16="http://schemas.microsoft.com/office/drawing/2014/main" id="{294889A7-19DE-4312-98B1-BE3E3886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4" name="Picture 212" descr="LOGO DGI">
          <a:extLst>
            <a:ext uri="{FF2B5EF4-FFF2-40B4-BE49-F238E27FC236}">
              <a16:creationId xmlns:a16="http://schemas.microsoft.com/office/drawing/2014/main" id="{BDDDBB5B-9A83-4656-9488-64A3E6E64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5" name="Picture 213" descr="LOGO DGI">
          <a:extLst>
            <a:ext uri="{FF2B5EF4-FFF2-40B4-BE49-F238E27FC236}">
              <a16:creationId xmlns:a16="http://schemas.microsoft.com/office/drawing/2014/main" id="{E1B7A796-A741-40BE-8493-793B4BABF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6" name="Picture 214" descr="LOGO DGI">
          <a:extLst>
            <a:ext uri="{FF2B5EF4-FFF2-40B4-BE49-F238E27FC236}">
              <a16:creationId xmlns:a16="http://schemas.microsoft.com/office/drawing/2014/main" id="{910A4C07-E8D8-44CE-A84F-7CE4AC53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7" name="Picture 215" descr="LOGO DGI">
          <a:extLst>
            <a:ext uri="{FF2B5EF4-FFF2-40B4-BE49-F238E27FC236}">
              <a16:creationId xmlns:a16="http://schemas.microsoft.com/office/drawing/2014/main" id="{88508EB2-D827-4FB5-A099-6B795B81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8" name="Picture 216" descr="LOGO DGI">
          <a:extLst>
            <a:ext uri="{FF2B5EF4-FFF2-40B4-BE49-F238E27FC236}">
              <a16:creationId xmlns:a16="http://schemas.microsoft.com/office/drawing/2014/main" id="{E48E5474-6B0E-42A2-BFF0-E00671B8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49" name="Picture 217" descr="LOGO DGI">
          <a:extLst>
            <a:ext uri="{FF2B5EF4-FFF2-40B4-BE49-F238E27FC236}">
              <a16:creationId xmlns:a16="http://schemas.microsoft.com/office/drawing/2014/main" id="{437F8D59-5066-44AD-A64A-AEEAFC235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0" name="Picture 218" descr="LOGO DGI">
          <a:extLst>
            <a:ext uri="{FF2B5EF4-FFF2-40B4-BE49-F238E27FC236}">
              <a16:creationId xmlns:a16="http://schemas.microsoft.com/office/drawing/2014/main" id="{265CEA9C-16CA-49CC-997D-7D90F485E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1" name="Picture 219" descr="LOGO DGI">
          <a:extLst>
            <a:ext uri="{FF2B5EF4-FFF2-40B4-BE49-F238E27FC236}">
              <a16:creationId xmlns:a16="http://schemas.microsoft.com/office/drawing/2014/main" id="{0B5730E3-0558-4BF4-BD1D-BD3B7BA27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2" name="Picture 220" descr="LOGO DGI">
          <a:extLst>
            <a:ext uri="{FF2B5EF4-FFF2-40B4-BE49-F238E27FC236}">
              <a16:creationId xmlns:a16="http://schemas.microsoft.com/office/drawing/2014/main" id="{1CA20E72-73F5-41CE-B290-BDBE968E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3" name="Picture 221" descr="LOGO DGI">
          <a:extLst>
            <a:ext uri="{FF2B5EF4-FFF2-40B4-BE49-F238E27FC236}">
              <a16:creationId xmlns:a16="http://schemas.microsoft.com/office/drawing/2014/main" id="{0C7B68AC-1B14-4C79-B086-0FFF117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4" name="Picture 222" descr="LOGO DGI">
          <a:extLst>
            <a:ext uri="{FF2B5EF4-FFF2-40B4-BE49-F238E27FC236}">
              <a16:creationId xmlns:a16="http://schemas.microsoft.com/office/drawing/2014/main" id="{118AE6CB-ECB9-4D9D-B0A5-B4870F044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5" name="Picture 223" descr="LOGO DGI">
          <a:extLst>
            <a:ext uri="{FF2B5EF4-FFF2-40B4-BE49-F238E27FC236}">
              <a16:creationId xmlns:a16="http://schemas.microsoft.com/office/drawing/2014/main" id="{E47F0FA9-3504-4E5E-A4D7-B719C574C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6" name="Picture 224" descr="LOGO DGI">
          <a:extLst>
            <a:ext uri="{FF2B5EF4-FFF2-40B4-BE49-F238E27FC236}">
              <a16:creationId xmlns:a16="http://schemas.microsoft.com/office/drawing/2014/main" id="{D9C53CFB-26E5-4D9E-8343-B1A2D9C38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7" name="Picture 225" descr="LOGO DGI">
          <a:extLst>
            <a:ext uri="{FF2B5EF4-FFF2-40B4-BE49-F238E27FC236}">
              <a16:creationId xmlns:a16="http://schemas.microsoft.com/office/drawing/2014/main" id="{CBBB039E-AFAA-4D91-A992-0A09D3F2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8" name="Picture 226" descr="LOGO DGI">
          <a:extLst>
            <a:ext uri="{FF2B5EF4-FFF2-40B4-BE49-F238E27FC236}">
              <a16:creationId xmlns:a16="http://schemas.microsoft.com/office/drawing/2014/main" id="{F38CD762-9E43-48D4-830B-CB4007BA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59" name="Picture 227" descr="LOGO DGI">
          <a:extLst>
            <a:ext uri="{FF2B5EF4-FFF2-40B4-BE49-F238E27FC236}">
              <a16:creationId xmlns:a16="http://schemas.microsoft.com/office/drawing/2014/main" id="{F9D3919E-BBF2-4BF5-9FB6-7DE276707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0" name="Picture 228" descr="LOGO DGI">
          <a:extLst>
            <a:ext uri="{FF2B5EF4-FFF2-40B4-BE49-F238E27FC236}">
              <a16:creationId xmlns:a16="http://schemas.microsoft.com/office/drawing/2014/main" id="{5AAF0723-D848-4233-B057-F06BF374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1" name="Picture 229" descr="LOGO DGI">
          <a:extLst>
            <a:ext uri="{FF2B5EF4-FFF2-40B4-BE49-F238E27FC236}">
              <a16:creationId xmlns:a16="http://schemas.microsoft.com/office/drawing/2014/main" id="{1BDA5088-83C1-493E-A6C9-F1A2952E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2" name="Picture 230" descr="LOGO DGI">
          <a:extLst>
            <a:ext uri="{FF2B5EF4-FFF2-40B4-BE49-F238E27FC236}">
              <a16:creationId xmlns:a16="http://schemas.microsoft.com/office/drawing/2014/main" id="{9A3F70BE-5248-4A45-B273-7B2F1480E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3" name="Picture 231" descr="LOGO DGI">
          <a:extLst>
            <a:ext uri="{FF2B5EF4-FFF2-40B4-BE49-F238E27FC236}">
              <a16:creationId xmlns:a16="http://schemas.microsoft.com/office/drawing/2014/main" id="{EB8CF9CE-29F6-40FD-B8CA-17F86A4EC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4" name="Picture 232" descr="LOGO DGI">
          <a:extLst>
            <a:ext uri="{FF2B5EF4-FFF2-40B4-BE49-F238E27FC236}">
              <a16:creationId xmlns:a16="http://schemas.microsoft.com/office/drawing/2014/main" id="{4C14A5CA-3240-416A-8FA9-0182117C3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5" name="Picture 233" descr="LOGO DGI">
          <a:extLst>
            <a:ext uri="{FF2B5EF4-FFF2-40B4-BE49-F238E27FC236}">
              <a16:creationId xmlns:a16="http://schemas.microsoft.com/office/drawing/2014/main" id="{AEA6D9A0-EA84-4195-8790-7885DFAB6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6" name="Picture 234" descr="LOGO DGI">
          <a:extLst>
            <a:ext uri="{FF2B5EF4-FFF2-40B4-BE49-F238E27FC236}">
              <a16:creationId xmlns:a16="http://schemas.microsoft.com/office/drawing/2014/main" id="{55A48BDB-604B-4686-9BC8-DE93D477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7" name="Picture 235" descr="LOGO DGI">
          <a:extLst>
            <a:ext uri="{FF2B5EF4-FFF2-40B4-BE49-F238E27FC236}">
              <a16:creationId xmlns:a16="http://schemas.microsoft.com/office/drawing/2014/main" id="{114D2607-0A4C-4BC8-AA68-E59332EE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8" name="Picture 236" descr="LOGO DGI">
          <a:extLst>
            <a:ext uri="{FF2B5EF4-FFF2-40B4-BE49-F238E27FC236}">
              <a16:creationId xmlns:a16="http://schemas.microsoft.com/office/drawing/2014/main" id="{8B1AAC7F-539A-4873-BB24-2F220088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69" name="Picture 237" descr="LOGO DGI">
          <a:extLst>
            <a:ext uri="{FF2B5EF4-FFF2-40B4-BE49-F238E27FC236}">
              <a16:creationId xmlns:a16="http://schemas.microsoft.com/office/drawing/2014/main" id="{22DD6DE8-D2A2-4E8D-B4AC-F74858EA1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0" name="Picture 238" descr="LOGO DGI">
          <a:extLst>
            <a:ext uri="{FF2B5EF4-FFF2-40B4-BE49-F238E27FC236}">
              <a16:creationId xmlns:a16="http://schemas.microsoft.com/office/drawing/2014/main" id="{5DF3AC2E-7304-4F16-B401-E18FA8F9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1" name="Picture 239" descr="LOGO DGI">
          <a:extLst>
            <a:ext uri="{FF2B5EF4-FFF2-40B4-BE49-F238E27FC236}">
              <a16:creationId xmlns:a16="http://schemas.microsoft.com/office/drawing/2014/main" id="{C3092E19-187A-4177-A5C6-49CC60C5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2" name="Picture 240" descr="LOGO DGI">
          <a:extLst>
            <a:ext uri="{FF2B5EF4-FFF2-40B4-BE49-F238E27FC236}">
              <a16:creationId xmlns:a16="http://schemas.microsoft.com/office/drawing/2014/main" id="{E1449F8F-2051-4A7A-BF02-DE46EEC3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3" name="Picture 241" descr="LOGO DGI">
          <a:extLst>
            <a:ext uri="{FF2B5EF4-FFF2-40B4-BE49-F238E27FC236}">
              <a16:creationId xmlns:a16="http://schemas.microsoft.com/office/drawing/2014/main" id="{3537F15F-D607-44A1-BBFB-FF754BE08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4" name="Picture 242" descr="LOGO DGI">
          <a:extLst>
            <a:ext uri="{FF2B5EF4-FFF2-40B4-BE49-F238E27FC236}">
              <a16:creationId xmlns:a16="http://schemas.microsoft.com/office/drawing/2014/main" id="{51615299-5CF8-4FA8-99D3-E49764415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5" name="Picture 243" descr="LOGO DGI">
          <a:extLst>
            <a:ext uri="{FF2B5EF4-FFF2-40B4-BE49-F238E27FC236}">
              <a16:creationId xmlns:a16="http://schemas.microsoft.com/office/drawing/2014/main" id="{A2ECFFAF-5A0A-4AC4-BF00-69C267A3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6" name="Picture 244" descr="LOGO DGI">
          <a:extLst>
            <a:ext uri="{FF2B5EF4-FFF2-40B4-BE49-F238E27FC236}">
              <a16:creationId xmlns:a16="http://schemas.microsoft.com/office/drawing/2014/main" id="{4DAF6A3E-4861-4AB3-9736-F553F0BDE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7" name="Picture 245" descr="LOGO DGI">
          <a:extLst>
            <a:ext uri="{FF2B5EF4-FFF2-40B4-BE49-F238E27FC236}">
              <a16:creationId xmlns:a16="http://schemas.microsoft.com/office/drawing/2014/main" id="{6E37F373-22AC-46D5-9774-73F9ED1E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8" name="Picture 246" descr="LOGO DGI">
          <a:extLst>
            <a:ext uri="{FF2B5EF4-FFF2-40B4-BE49-F238E27FC236}">
              <a16:creationId xmlns:a16="http://schemas.microsoft.com/office/drawing/2014/main" id="{D72A9019-E8B8-45F6-B6F3-1568D190F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0</xdr:rowOff>
    </xdr:from>
    <xdr:to>
      <xdr:col>1</xdr:col>
      <xdr:colOff>28575</xdr:colOff>
      <xdr:row>20</xdr:row>
      <xdr:rowOff>9525</xdr:rowOff>
    </xdr:to>
    <xdr:pic>
      <xdr:nvPicPr>
        <xdr:cNvPr id="1586679" name="Picture 247" descr="LOGO DGI">
          <a:extLst>
            <a:ext uri="{FF2B5EF4-FFF2-40B4-BE49-F238E27FC236}">
              <a16:creationId xmlns:a16="http://schemas.microsoft.com/office/drawing/2014/main" id="{31027669-D1BA-468C-98DF-96E1B649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47975"/>
          <a:ext cx="4000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</xdr:row>
      <xdr:rowOff>133350</xdr:rowOff>
    </xdr:from>
    <xdr:to>
      <xdr:col>1</xdr:col>
      <xdr:colOff>19050</xdr:colOff>
      <xdr:row>20</xdr:row>
      <xdr:rowOff>123825</xdr:rowOff>
    </xdr:to>
    <xdr:pic>
      <xdr:nvPicPr>
        <xdr:cNvPr id="1586680" name="Picture 248" descr="LOGO DGI">
          <a:extLst>
            <a:ext uri="{FF2B5EF4-FFF2-40B4-BE49-F238E27FC236}">
              <a16:creationId xmlns:a16="http://schemas.microsoft.com/office/drawing/2014/main" id="{47A4119D-9F1B-49B6-B05A-5B3D681E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813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34</xdr:row>
      <xdr:rowOff>133350</xdr:rowOff>
    </xdr:from>
    <xdr:to>
      <xdr:col>1</xdr:col>
      <xdr:colOff>19050</xdr:colOff>
      <xdr:row>37</xdr:row>
      <xdr:rowOff>123825</xdr:rowOff>
    </xdr:to>
    <xdr:pic>
      <xdr:nvPicPr>
        <xdr:cNvPr id="1586681" name="Picture 249" descr="LOGO DGI">
          <a:extLst>
            <a:ext uri="{FF2B5EF4-FFF2-40B4-BE49-F238E27FC236}">
              <a16:creationId xmlns:a16="http://schemas.microsoft.com/office/drawing/2014/main" id="{C600EF76-773C-41EE-B1AF-AD0DE623E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8293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51</xdr:row>
      <xdr:rowOff>133350</xdr:rowOff>
    </xdr:from>
    <xdr:to>
      <xdr:col>1</xdr:col>
      <xdr:colOff>19050</xdr:colOff>
      <xdr:row>54</xdr:row>
      <xdr:rowOff>123825</xdr:rowOff>
    </xdr:to>
    <xdr:pic>
      <xdr:nvPicPr>
        <xdr:cNvPr id="1586682" name="Picture 250" descr="LOGO DGI">
          <a:extLst>
            <a:ext uri="{FF2B5EF4-FFF2-40B4-BE49-F238E27FC236}">
              <a16:creationId xmlns:a16="http://schemas.microsoft.com/office/drawing/2014/main" id="{BE82D13F-ED29-4015-ADB6-CB89B58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86772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68</xdr:row>
      <xdr:rowOff>133350</xdr:rowOff>
    </xdr:from>
    <xdr:to>
      <xdr:col>1</xdr:col>
      <xdr:colOff>19050</xdr:colOff>
      <xdr:row>71</xdr:row>
      <xdr:rowOff>123825</xdr:rowOff>
    </xdr:to>
    <xdr:pic>
      <xdr:nvPicPr>
        <xdr:cNvPr id="1586683" name="Picture 251" descr="LOGO DGI">
          <a:extLst>
            <a:ext uri="{FF2B5EF4-FFF2-40B4-BE49-F238E27FC236}">
              <a16:creationId xmlns:a16="http://schemas.microsoft.com/office/drawing/2014/main" id="{E3C087AB-F499-48F3-AFAE-2E9271A9D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52525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85</xdr:row>
      <xdr:rowOff>133350</xdr:rowOff>
    </xdr:from>
    <xdr:to>
      <xdr:col>1</xdr:col>
      <xdr:colOff>19050</xdr:colOff>
      <xdr:row>88</xdr:row>
      <xdr:rowOff>123825</xdr:rowOff>
    </xdr:to>
    <xdr:pic>
      <xdr:nvPicPr>
        <xdr:cNvPr id="1586684" name="Picture 252" descr="LOGO DGI">
          <a:extLst>
            <a:ext uri="{FF2B5EF4-FFF2-40B4-BE49-F238E27FC236}">
              <a16:creationId xmlns:a16="http://schemas.microsoft.com/office/drawing/2014/main" id="{1849B73D-A98A-427D-AD5F-3F4423FA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43732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102</xdr:row>
      <xdr:rowOff>133350</xdr:rowOff>
    </xdr:from>
    <xdr:to>
      <xdr:col>1</xdr:col>
      <xdr:colOff>19050</xdr:colOff>
      <xdr:row>105</xdr:row>
      <xdr:rowOff>123825</xdr:rowOff>
    </xdr:to>
    <xdr:pic>
      <xdr:nvPicPr>
        <xdr:cNvPr id="1586685" name="Picture 253" descr="LOGO DGI">
          <a:extLst>
            <a:ext uri="{FF2B5EF4-FFF2-40B4-BE49-F238E27FC236}">
              <a16:creationId xmlns:a16="http://schemas.microsoft.com/office/drawing/2014/main" id="{6C9A2DBA-104A-4B93-8C0E-F19B4787F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72212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119</xdr:row>
      <xdr:rowOff>133350</xdr:rowOff>
    </xdr:from>
    <xdr:to>
      <xdr:col>1</xdr:col>
      <xdr:colOff>19050</xdr:colOff>
      <xdr:row>122</xdr:row>
      <xdr:rowOff>123825</xdr:rowOff>
    </xdr:to>
    <xdr:pic>
      <xdr:nvPicPr>
        <xdr:cNvPr id="1586686" name="Picture 254" descr="LOGO DGI">
          <a:extLst>
            <a:ext uri="{FF2B5EF4-FFF2-40B4-BE49-F238E27FC236}">
              <a16:creationId xmlns:a16="http://schemas.microsoft.com/office/drawing/2014/main" id="{A7452C6C-98F9-4D6B-8DE5-73597EB05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00691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136</xdr:row>
      <xdr:rowOff>133350</xdr:rowOff>
    </xdr:from>
    <xdr:to>
      <xdr:col>1</xdr:col>
      <xdr:colOff>19050</xdr:colOff>
      <xdr:row>139</xdr:row>
      <xdr:rowOff>123825</xdr:rowOff>
    </xdr:to>
    <xdr:pic>
      <xdr:nvPicPr>
        <xdr:cNvPr id="1586687" name="Picture 255" descr="LOGO DGI">
          <a:extLst>
            <a:ext uri="{FF2B5EF4-FFF2-40B4-BE49-F238E27FC236}">
              <a16:creationId xmlns:a16="http://schemas.microsoft.com/office/drawing/2014/main" id="{B7D36C0D-F535-4368-A9FA-6F7DB701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91715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153</xdr:row>
      <xdr:rowOff>133350</xdr:rowOff>
    </xdr:from>
    <xdr:to>
      <xdr:col>1</xdr:col>
      <xdr:colOff>19050</xdr:colOff>
      <xdr:row>156</xdr:row>
      <xdr:rowOff>123825</xdr:rowOff>
    </xdr:to>
    <xdr:pic>
      <xdr:nvPicPr>
        <xdr:cNvPr id="1586688" name="Picture 256" descr="LOGO DGI">
          <a:extLst>
            <a:ext uri="{FF2B5EF4-FFF2-40B4-BE49-F238E27FC236}">
              <a16:creationId xmlns:a16="http://schemas.microsoft.com/office/drawing/2014/main" id="{CFE944AA-01F9-4D09-A12B-D6E5753C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651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170</xdr:row>
      <xdr:rowOff>133350</xdr:rowOff>
    </xdr:from>
    <xdr:to>
      <xdr:col>1</xdr:col>
      <xdr:colOff>19050</xdr:colOff>
      <xdr:row>173</xdr:row>
      <xdr:rowOff>123825</xdr:rowOff>
    </xdr:to>
    <xdr:pic>
      <xdr:nvPicPr>
        <xdr:cNvPr id="1586689" name="Picture 257" descr="LOGO DGI">
          <a:extLst>
            <a:ext uri="{FF2B5EF4-FFF2-40B4-BE49-F238E27FC236}">
              <a16:creationId xmlns:a16="http://schemas.microsoft.com/office/drawing/2014/main" id="{06FCF018-47EC-42A6-A357-CABD9F94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6131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187</xdr:row>
      <xdr:rowOff>133350</xdr:rowOff>
    </xdr:from>
    <xdr:to>
      <xdr:col>1</xdr:col>
      <xdr:colOff>19050</xdr:colOff>
      <xdr:row>190</xdr:row>
      <xdr:rowOff>123825</xdr:rowOff>
    </xdr:to>
    <xdr:pic>
      <xdr:nvPicPr>
        <xdr:cNvPr id="1586690" name="Picture 258" descr="LOGO DGI">
          <a:extLst>
            <a:ext uri="{FF2B5EF4-FFF2-40B4-BE49-F238E27FC236}">
              <a16:creationId xmlns:a16="http://schemas.microsoft.com/office/drawing/2014/main" id="{4B30C6F7-F5E6-4E0B-BE62-5D0CE2A24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14610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204</xdr:row>
      <xdr:rowOff>133350</xdr:rowOff>
    </xdr:from>
    <xdr:to>
      <xdr:col>1</xdr:col>
      <xdr:colOff>19050</xdr:colOff>
      <xdr:row>207</xdr:row>
      <xdr:rowOff>123825</xdr:rowOff>
    </xdr:to>
    <xdr:pic>
      <xdr:nvPicPr>
        <xdr:cNvPr id="1586691" name="Picture 259" descr="LOGO DGI">
          <a:extLst>
            <a:ext uri="{FF2B5EF4-FFF2-40B4-BE49-F238E27FC236}">
              <a16:creationId xmlns:a16="http://schemas.microsoft.com/office/drawing/2014/main" id="{8D053172-C750-4A1D-B58E-04F7BE9A5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430905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221</xdr:row>
      <xdr:rowOff>133350</xdr:rowOff>
    </xdr:from>
    <xdr:to>
      <xdr:col>1</xdr:col>
      <xdr:colOff>19050</xdr:colOff>
      <xdr:row>224</xdr:row>
      <xdr:rowOff>123825</xdr:rowOff>
    </xdr:to>
    <xdr:pic>
      <xdr:nvPicPr>
        <xdr:cNvPr id="1586692" name="Picture 260" descr="LOGO DGI">
          <a:extLst>
            <a:ext uri="{FF2B5EF4-FFF2-40B4-BE49-F238E27FC236}">
              <a16:creationId xmlns:a16="http://schemas.microsoft.com/office/drawing/2014/main" id="{C4576828-F414-4EEF-B3A6-98294A14D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1570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238</xdr:row>
      <xdr:rowOff>133350</xdr:rowOff>
    </xdr:from>
    <xdr:to>
      <xdr:col>1</xdr:col>
      <xdr:colOff>19050</xdr:colOff>
      <xdr:row>241</xdr:row>
      <xdr:rowOff>123825</xdr:rowOff>
    </xdr:to>
    <xdr:pic>
      <xdr:nvPicPr>
        <xdr:cNvPr id="1586693" name="Picture 261" descr="LOGO DGI">
          <a:extLst>
            <a:ext uri="{FF2B5EF4-FFF2-40B4-BE49-F238E27FC236}">
              <a16:creationId xmlns:a16="http://schemas.microsoft.com/office/drawing/2014/main" id="{6E96425A-A091-4584-A204-F58EA60C7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00050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255</xdr:row>
      <xdr:rowOff>133350</xdr:rowOff>
    </xdr:from>
    <xdr:to>
      <xdr:col>1</xdr:col>
      <xdr:colOff>19050</xdr:colOff>
      <xdr:row>258</xdr:row>
      <xdr:rowOff>123825</xdr:rowOff>
    </xdr:to>
    <xdr:pic>
      <xdr:nvPicPr>
        <xdr:cNvPr id="1586694" name="Picture 262" descr="LOGO DGI">
          <a:extLst>
            <a:ext uri="{FF2B5EF4-FFF2-40B4-BE49-F238E27FC236}">
              <a16:creationId xmlns:a16="http://schemas.microsoft.com/office/drawing/2014/main" id="{C0592DC3-C04F-4E90-9315-0264940AF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2852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272</xdr:row>
      <xdr:rowOff>133350</xdr:rowOff>
    </xdr:from>
    <xdr:to>
      <xdr:col>1</xdr:col>
      <xdr:colOff>19050</xdr:colOff>
      <xdr:row>275</xdr:row>
      <xdr:rowOff>123825</xdr:rowOff>
    </xdr:to>
    <xdr:pic>
      <xdr:nvPicPr>
        <xdr:cNvPr id="1586695" name="Picture 263" descr="LOGO DGI">
          <a:extLst>
            <a:ext uri="{FF2B5EF4-FFF2-40B4-BE49-F238E27FC236}">
              <a16:creationId xmlns:a16="http://schemas.microsoft.com/office/drawing/2014/main" id="{B5B0ADBF-675B-411D-B1A5-668028687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570095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289</xdr:row>
      <xdr:rowOff>133350</xdr:rowOff>
    </xdr:from>
    <xdr:to>
      <xdr:col>1</xdr:col>
      <xdr:colOff>19050</xdr:colOff>
      <xdr:row>292</xdr:row>
      <xdr:rowOff>123825</xdr:rowOff>
    </xdr:to>
    <xdr:pic>
      <xdr:nvPicPr>
        <xdr:cNvPr id="1586696" name="Picture 264" descr="LOGO DGI">
          <a:extLst>
            <a:ext uri="{FF2B5EF4-FFF2-40B4-BE49-F238E27FC236}">
              <a16:creationId xmlns:a16="http://schemas.microsoft.com/office/drawing/2014/main" id="{272BC7EF-3558-4130-96C6-880B73C4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85489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306</xdr:row>
      <xdr:rowOff>133350</xdr:rowOff>
    </xdr:from>
    <xdr:to>
      <xdr:col>1</xdr:col>
      <xdr:colOff>19050</xdr:colOff>
      <xdr:row>309</xdr:row>
      <xdr:rowOff>123825</xdr:rowOff>
    </xdr:to>
    <xdr:pic>
      <xdr:nvPicPr>
        <xdr:cNvPr id="1586697" name="Picture 265" descr="LOGO DGI">
          <a:extLst>
            <a:ext uri="{FF2B5EF4-FFF2-40B4-BE49-F238E27FC236}">
              <a16:creationId xmlns:a16="http://schemas.microsoft.com/office/drawing/2014/main" id="{174BA8CD-AA5E-4E70-BB92-6C29A065C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13969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323</xdr:row>
      <xdr:rowOff>133350</xdr:rowOff>
    </xdr:from>
    <xdr:to>
      <xdr:col>1</xdr:col>
      <xdr:colOff>19050</xdr:colOff>
      <xdr:row>326</xdr:row>
      <xdr:rowOff>123825</xdr:rowOff>
    </xdr:to>
    <xdr:pic>
      <xdr:nvPicPr>
        <xdr:cNvPr id="1586698" name="Picture 266" descr="LOGO DGI">
          <a:extLst>
            <a:ext uri="{FF2B5EF4-FFF2-40B4-BE49-F238E27FC236}">
              <a16:creationId xmlns:a16="http://schemas.microsoft.com/office/drawing/2014/main" id="{31EF60D2-9C5B-4289-A150-CD234EFE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42448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340</xdr:row>
      <xdr:rowOff>133350</xdr:rowOff>
    </xdr:from>
    <xdr:to>
      <xdr:col>1</xdr:col>
      <xdr:colOff>19050</xdr:colOff>
      <xdr:row>343</xdr:row>
      <xdr:rowOff>123825</xdr:rowOff>
    </xdr:to>
    <xdr:pic>
      <xdr:nvPicPr>
        <xdr:cNvPr id="1586699" name="Picture 267" descr="LOGO DGI">
          <a:extLst>
            <a:ext uri="{FF2B5EF4-FFF2-40B4-BE49-F238E27FC236}">
              <a16:creationId xmlns:a16="http://schemas.microsoft.com/office/drawing/2014/main" id="{7E34D1D9-021B-44ED-A515-E937A5CCC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09285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357</xdr:row>
      <xdr:rowOff>133350</xdr:rowOff>
    </xdr:from>
    <xdr:to>
      <xdr:col>1</xdr:col>
      <xdr:colOff>19050</xdr:colOff>
      <xdr:row>360</xdr:row>
      <xdr:rowOff>123825</xdr:rowOff>
    </xdr:to>
    <xdr:pic>
      <xdr:nvPicPr>
        <xdr:cNvPr id="1586700" name="Picture 268" descr="LOGO DGI">
          <a:extLst>
            <a:ext uri="{FF2B5EF4-FFF2-40B4-BE49-F238E27FC236}">
              <a16:creationId xmlns:a16="http://schemas.microsoft.com/office/drawing/2014/main" id="{55509E6F-1951-4C2E-8D66-49F4F16E7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994082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374</xdr:row>
      <xdr:rowOff>133350</xdr:rowOff>
    </xdr:from>
    <xdr:to>
      <xdr:col>1</xdr:col>
      <xdr:colOff>19050</xdr:colOff>
      <xdr:row>377</xdr:row>
      <xdr:rowOff>123825</xdr:rowOff>
    </xdr:to>
    <xdr:pic>
      <xdr:nvPicPr>
        <xdr:cNvPr id="1586701" name="Picture 269" descr="LOGO DGI">
          <a:extLst>
            <a:ext uri="{FF2B5EF4-FFF2-40B4-BE49-F238E27FC236}">
              <a16:creationId xmlns:a16="http://schemas.microsoft.com/office/drawing/2014/main" id="{6176447D-EFA7-4717-9B63-A87A8B368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2788800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5394" name="CommandButton1" hidden="1">
          <a:extLst>
            <a:ext uri="{63B3BB69-23CF-44E3-9099-C40C66FF867C}">
              <a14:compatExt xmlns:a14="http://schemas.microsoft.com/office/drawing/2010/main" spid="_x0000_s15394"/>
            </a:ext>
            <a:ext uri="{FF2B5EF4-FFF2-40B4-BE49-F238E27FC236}">
              <a16:creationId xmlns:a16="http://schemas.microsoft.com/office/drawing/2014/main" id="{B4D209AE-2777-45E0-AB65-240D577F7D7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5395" name="CommandButton2" hidden="1">
          <a:extLst>
            <a:ext uri="{63B3BB69-23CF-44E3-9099-C40C66FF867C}">
              <a14:compatExt xmlns:a14="http://schemas.microsoft.com/office/drawing/2010/main" spid="_x0000_s15395"/>
            </a:ext>
            <a:ext uri="{FF2B5EF4-FFF2-40B4-BE49-F238E27FC236}">
              <a16:creationId xmlns:a16="http://schemas.microsoft.com/office/drawing/2014/main" id="{573CBFA0-343E-4360-AE87-E44B4FEF127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95250</xdr:rowOff>
    </xdr:from>
    <xdr:to>
      <xdr:col>10</xdr:col>
      <xdr:colOff>523875</xdr:colOff>
      <xdr:row>4</xdr:row>
      <xdr:rowOff>38100</xdr:rowOff>
    </xdr:to>
    <xdr:sp macro="" textlink="">
      <xdr:nvSpPr>
        <xdr:cNvPr id="34817" name="CommandButton2" hidden="1">
          <a:extLst>
            <a:ext uri="{63B3BB69-23CF-44E3-9099-C40C66FF867C}">
              <a14:compatExt xmlns:a14="http://schemas.microsoft.com/office/drawing/2010/main" spid="_x0000_s34817"/>
            </a:ext>
            <a:ext uri="{FF2B5EF4-FFF2-40B4-BE49-F238E27FC236}">
              <a16:creationId xmlns:a16="http://schemas.microsoft.com/office/drawing/2014/main" id="{0F269D4C-D6F6-439E-90C0-E75050F1142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590550</xdr:colOff>
      <xdr:row>0</xdr:row>
      <xdr:rowOff>85725</xdr:rowOff>
    </xdr:from>
    <xdr:to>
      <xdr:col>11</xdr:col>
      <xdr:colOff>552450</xdr:colOff>
      <xdr:row>4</xdr:row>
      <xdr:rowOff>57150</xdr:rowOff>
    </xdr:to>
    <xdr:sp macro="" textlink="">
      <xdr:nvSpPr>
        <xdr:cNvPr id="34818" name="CommandButton1" hidden="1">
          <a:extLst>
            <a:ext uri="{63B3BB69-23CF-44E3-9099-C40C66FF867C}">
              <a14:compatExt xmlns:a14="http://schemas.microsoft.com/office/drawing/2010/main" spid="_x0000_s34818"/>
            </a:ext>
            <a:ext uri="{FF2B5EF4-FFF2-40B4-BE49-F238E27FC236}">
              <a16:creationId xmlns:a16="http://schemas.microsoft.com/office/drawing/2014/main" id="{CCAF92FD-8E16-4B58-A6C9-07CFD7E23A5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5</xdr:row>
      <xdr:rowOff>9525</xdr:rowOff>
    </xdr:from>
    <xdr:to>
      <xdr:col>10</xdr:col>
      <xdr:colOff>542925</xdr:colOff>
      <xdr:row>8</xdr:row>
      <xdr:rowOff>104775</xdr:rowOff>
    </xdr:to>
    <xdr:sp macro="" textlink="">
      <xdr:nvSpPr>
        <xdr:cNvPr id="34819" name="CommandButton3" hidden="1">
          <a:extLst>
            <a:ext uri="{63B3BB69-23CF-44E3-9099-C40C66FF867C}">
              <a14:compatExt xmlns:a14="http://schemas.microsoft.com/office/drawing/2010/main" spid="_x0000_s34819"/>
            </a:ext>
            <a:ext uri="{FF2B5EF4-FFF2-40B4-BE49-F238E27FC236}">
              <a16:creationId xmlns:a16="http://schemas.microsoft.com/office/drawing/2014/main" id="{92CAFC86-A6E1-49D3-BAD7-108C7793AFE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590550</xdr:colOff>
      <xdr:row>4</xdr:row>
      <xdr:rowOff>152400</xdr:rowOff>
    </xdr:from>
    <xdr:to>
      <xdr:col>11</xdr:col>
      <xdr:colOff>561975</xdr:colOff>
      <xdr:row>8</xdr:row>
      <xdr:rowOff>66675</xdr:rowOff>
    </xdr:to>
    <xdr:sp macro="" textlink="">
      <xdr:nvSpPr>
        <xdr:cNvPr id="34820" name="CommandButton4" hidden="1">
          <a:extLst>
            <a:ext uri="{63B3BB69-23CF-44E3-9099-C40C66FF867C}">
              <a14:compatExt xmlns:a14="http://schemas.microsoft.com/office/drawing/2010/main" spid="_x0000_s34820"/>
            </a:ext>
            <a:ext uri="{FF2B5EF4-FFF2-40B4-BE49-F238E27FC236}">
              <a16:creationId xmlns:a16="http://schemas.microsoft.com/office/drawing/2014/main" id="{A84AFD42-9291-405A-8063-1D44C064E51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114300</xdr:rowOff>
    </xdr:from>
    <xdr:to>
      <xdr:col>0</xdr:col>
      <xdr:colOff>704850</xdr:colOff>
      <xdr:row>3</xdr:row>
      <xdr:rowOff>114300</xdr:rowOff>
    </xdr:to>
    <xdr:pic>
      <xdr:nvPicPr>
        <xdr:cNvPr id="1592472" name="Picture 1" descr="LOGO DGI">
          <a:extLst>
            <a:ext uri="{FF2B5EF4-FFF2-40B4-BE49-F238E27FC236}">
              <a16:creationId xmlns:a16="http://schemas.microsoft.com/office/drawing/2014/main" id="{2A1B3799-BC07-4AF1-95B4-31D7B1162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3" name="Picture 25" descr="LOGO DGI">
          <a:extLst>
            <a:ext uri="{FF2B5EF4-FFF2-40B4-BE49-F238E27FC236}">
              <a16:creationId xmlns:a16="http://schemas.microsoft.com/office/drawing/2014/main" id="{745A7F83-AB71-4290-AE56-F13FFCE5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4" name="Picture 26" descr="LOGO DGI">
          <a:extLst>
            <a:ext uri="{FF2B5EF4-FFF2-40B4-BE49-F238E27FC236}">
              <a16:creationId xmlns:a16="http://schemas.microsoft.com/office/drawing/2014/main" id="{38DCDE07-CC0B-44DE-8C60-0A53AA07F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5" name="Picture 27" descr="LOGO DGI">
          <a:extLst>
            <a:ext uri="{FF2B5EF4-FFF2-40B4-BE49-F238E27FC236}">
              <a16:creationId xmlns:a16="http://schemas.microsoft.com/office/drawing/2014/main" id="{11A3F98A-F585-4B7C-BA5A-B9B617175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6" name="Picture 28" descr="LOGO DGI">
          <a:extLst>
            <a:ext uri="{FF2B5EF4-FFF2-40B4-BE49-F238E27FC236}">
              <a16:creationId xmlns:a16="http://schemas.microsoft.com/office/drawing/2014/main" id="{93ED913D-FB8A-4ED1-ADE2-6D1CCF01C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7" name="Picture 29" descr="LOGO DGI">
          <a:extLst>
            <a:ext uri="{FF2B5EF4-FFF2-40B4-BE49-F238E27FC236}">
              <a16:creationId xmlns:a16="http://schemas.microsoft.com/office/drawing/2014/main" id="{81CEC035-9EB2-4BD3-8E3D-F1C03E0A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8" name="Picture 30" descr="LOGO DGI">
          <a:extLst>
            <a:ext uri="{FF2B5EF4-FFF2-40B4-BE49-F238E27FC236}">
              <a16:creationId xmlns:a16="http://schemas.microsoft.com/office/drawing/2014/main" id="{0C88DD78-2FE8-4E38-89A7-703C94A9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79" name="Picture 31" descr="LOGO DGI">
          <a:extLst>
            <a:ext uri="{FF2B5EF4-FFF2-40B4-BE49-F238E27FC236}">
              <a16:creationId xmlns:a16="http://schemas.microsoft.com/office/drawing/2014/main" id="{B68CB136-EE53-4DF8-A662-076883974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80" name="Picture 32" descr="LOGO DGI">
          <a:extLst>
            <a:ext uri="{FF2B5EF4-FFF2-40B4-BE49-F238E27FC236}">
              <a16:creationId xmlns:a16="http://schemas.microsoft.com/office/drawing/2014/main" id="{D290DC3A-79DA-4CEB-8EAE-36A76CFBA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81" name="Picture 33" descr="LOGO DGI">
          <a:extLst>
            <a:ext uri="{FF2B5EF4-FFF2-40B4-BE49-F238E27FC236}">
              <a16:creationId xmlns:a16="http://schemas.microsoft.com/office/drawing/2014/main" id="{0C5D0D2C-DA02-441E-9EBC-5DEE64ED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82" name="Picture 34" descr="LOGO DGI">
          <a:extLst>
            <a:ext uri="{FF2B5EF4-FFF2-40B4-BE49-F238E27FC236}">
              <a16:creationId xmlns:a16="http://schemas.microsoft.com/office/drawing/2014/main" id="{9B4A7BEF-8688-4846-9399-59B25838D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83" name="Picture 35" descr="LOGO DGI">
          <a:extLst>
            <a:ext uri="{FF2B5EF4-FFF2-40B4-BE49-F238E27FC236}">
              <a16:creationId xmlns:a16="http://schemas.microsoft.com/office/drawing/2014/main" id="{705B334E-BDC3-4619-9170-C995A25D2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484" name="Picture 36" descr="LOGO DGI">
          <a:extLst>
            <a:ext uri="{FF2B5EF4-FFF2-40B4-BE49-F238E27FC236}">
              <a16:creationId xmlns:a16="http://schemas.microsoft.com/office/drawing/2014/main" id="{3FD7998C-6EB0-43BB-AF0B-4F284E7B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85" name="Picture 37" descr="LOGO DGI">
          <a:extLst>
            <a:ext uri="{FF2B5EF4-FFF2-40B4-BE49-F238E27FC236}">
              <a16:creationId xmlns:a16="http://schemas.microsoft.com/office/drawing/2014/main" id="{8F54E0CB-1694-4823-8327-FACDBF4A1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86" name="Picture 38" descr="LOGO DGI">
          <a:extLst>
            <a:ext uri="{FF2B5EF4-FFF2-40B4-BE49-F238E27FC236}">
              <a16:creationId xmlns:a16="http://schemas.microsoft.com/office/drawing/2014/main" id="{0D48A722-AA6E-4A09-951E-0A6FEB526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87" name="Picture 39" descr="LOGO DGI">
          <a:extLst>
            <a:ext uri="{FF2B5EF4-FFF2-40B4-BE49-F238E27FC236}">
              <a16:creationId xmlns:a16="http://schemas.microsoft.com/office/drawing/2014/main" id="{EF75F577-910F-4166-8424-5A4BF0BF5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88" name="Picture 40" descr="LOGO DGI">
          <a:extLst>
            <a:ext uri="{FF2B5EF4-FFF2-40B4-BE49-F238E27FC236}">
              <a16:creationId xmlns:a16="http://schemas.microsoft.com/office/drawing/2014/main" id="{E879FFF4-6000-4F7E-8937-7CE054DD4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89" name="Picture 41" descr="LOGO DGI">
          <a:extLst>
            <a:ext uri="{FF2B5EF4-FFF2-40B4-BE49-F238E27FC236}">
              <a16:creationId xmlns:a16="http://schemas.microsoft.com/office/drawing/2014/main" id="{20D074C2-FAAE-434C-AE73-02CBE8CCE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0" name="Picture 42" descr="LOGO DGI">
          <a:extLst>
            <a:ext uri="{FF2B5EF4-FFF2-40B4-BE49-F238E27FC236}">
              <a16:creationId xmlns:a16="http://schemas.microsoft.com/office/drawing/2014/main" id="{B5857D7A-FFCC-4B17-BAEC-EBDED05CE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1" name="Picture 43" descr="LOGO DGI">
          <a:extLst>
            <a:ext uri="{FF2B5EF4-FFF2-40B4-BE49-F238E27FC236}">
              <a16:creationId xmlns:a16="http://schemas.microsoft.com/office/drawing/2014/main" id="{AAF05C46-C613-474C-AC3A-E0EEC704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2" name="Picture 44" descr="LOGO DGI">
          <a:extLst>
            <a:ext uri="{FF2B5EF4-FFF2-40B4-BE49-F238E27FC236}">
              <a16:creationId xmlns:a16="http://schemas.microsoft.com/office/drawing/2014/main" id="{7903A49F-91A6-4DCC-B63D-077EE033B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3" name="Picture 45" descr="LOGO DGI">
          <a:extLst>
            <a:ext uri="{FF2B5EF4-FFF2-40B4-BE49-F238E27FC236}">
              <a16:creationId xmlns:a16="http://schemas.microsoft.com/office/drawing/2014/main" id="{DA9807DB-0679-454A-B1B1-7CBCE46C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4" name="Picture 46" descr="LOGO DGI">
          <a:extLst>
            <a:ext uri="{FF2B5EF4-FFF2-40B4-BE49-F238E27FC236}">
              <a16:creationId xmlns:a16="http://schemas.microsoft.com/office/drawing/2014/main" id="{A2316B02-0374-4438-B1C5-0A4727C8E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5" name="Picture 47" descr="LOGO DGI">
          <a:extLst>
            <a:ext uri="{FF2B5EF4-FFF2-40B4-BE49-F238E27FC236}">
              <a16:creationId xmlns:a16="http://schemas.microsoft.com/office/drawing/2014/main" id="{50177787-9556-407D-9B3D-A28835719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6" name="Picture 48" descr="LOGO DGI">
          <a:extLst>
            <a:ext uri="{FF2B5EF4-FFF2-40B4-BE49-F238E27FC236}">
              <a16:creationId xmlns:a16="http://schemas.microsoft.com/office/drawing/2014/main" id="{3FD0EDF8-D3F4-444E-81F7-FDA301F3B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7" name="Picture 49" descr="LOGO DGI">
          <a:extLst>
            <a:ext uri="{FF2B5EF4-FFF2-40B4-BE49-F238E27FC236}">
              <a16:creationId xmlns:a16="http://schemas.microsoft.com/office/drawing/2014/main" id="{43F3D7A0-7240-48D2-BBCE-A52BD85D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8" name="Picture 50" descr="LOGO DGI">
          <a:extLst>
            <a:ext uri="{FF2B5EF4-FFF2-40B4-BE49-F238E27FC236}">
              <a16:creationId xmlns:a16="http://schemas.microsoft.com/office/drawing/2014/main" id="{13D5342A-F95F-46A7-8731-4A838264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499" name="Picture 51" descr="LOGO DGI">
          <a:extLst>
            <a:ext uri="{FF2B5EF4-FFF2-40B4-BE49-F238E27FC236}">
              <a16:creationId xmlns:a16="http://schemas.microsoft.com/office/drawing/2014/main" id="{966D2670-F8DB-4325-8673-91300726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0" name="Picture 52" descr="LOGO DGI">
          <a:extLst>
            <a:ext uri="{FF2B5EF4-FFF2-40B4-BE49-F238E27FC236}">
              <a16:creationId xmlns:a16="http://schemas.microsoft.com/office/drawing/2014/main" id="{DA594EB7-F0CC-49CB-9503-BC173E047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1" name="Picture 53" descr="LOGO DGI">
          <a:extLst>
            <a:ext uri="{FF2B5EF4-FFF2-40B4-BE49-F238E27FC236}">
              <a16:creationId xmlns:a16="http://schemas.microsoft.com/office/drawing/2014/main" id="{8999F4C8-0445-42F1-A6BE-D869D3F4F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2" name="Picture 54" descr="LOGO DGI">
          <a:extLst>
            <a:ext uri="{FF2B5EF4-FFF2-40B4-BE49-F238E27FC236}">
              <a16:creationId xmlns:a16="http://schemas.microsoft.com/office/drawing/2014/main" id="{50BFE670-6746-4C93-BE12-078E7042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3" name="Picture 55" descr="LOGO DGI">
          <a:extLst>
            <a:ext uri="{FF2B5EF4-FFF2-40B4-BE49-F238E27FC236}">
              <a16:creationId xmlns:a16="http://schemas.microsoft.com/office/drawing/2014/main" id="{92D1FA81-0ED9-4B26-941F-730CB1843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4" name="Picture 56" descr="LOGO DGI">
          <a:extLst>
            <a:ext uri="{FF2B5EF4-FFF2-40B4-BE49-F238E27FC236}">
              <a16:creationId xmlns:a16="http://schemas.microsoft.com/office/drawing/2014/main" id="{7745438E-EDCF-460F-96F1-A192601EF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5" name="Picture 57" descr="LOGO DGI">
          <a:extLst>
            <a:ext uri="{FF2B5EF4-FFF2-40B4-BE49-F238E27FC236}">
              <a16:creationId xmlns:a16="http://schemas.microsoft.com/office/drawing/2014/main" id="{89EAAA60-3022-4B0B-8F11-0237904C8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6" name="Picture 58" descr="LOGO DGI">
          <a:extLst>
            <a:ext uri="{FF2B5EF4-FFF2-40B4-BE49-F238E27FC236}">
              <a16:creationId xmlns:a16="http://schemas.microsoft.com/office/drawing/2014/main" id="{013283CA-2C58-4422-946F-378409EC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7" name="Picture 59" descr="LOGO DGI">
          <a:extLst>
            <a:ext uri="{FF2B5EF4-FFF2-40B4-BE49-F238E27FC236}">
              <a16:creationId xmlns:a16="http://schemas.microsoft.com/office/drawing/2014/main" id="{A1697297-1204-414C-932E-319C9E6CE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18</xdr:row>
      <xdr:rowOff>152400</xdr:rowOff>
    </xdr:to>
    <xdr:pic>
      <xdr:nvPicPr>
        <xdr:cNvPr id="1592508" name="Picture 60" descr="LOGO DGI">
          <a:extLst>
            <a:ext uri="{FF2B5EF4-FFF2-40B4-BE49-F238E27FC236}">
              <a16:creationId xmlns:a16="http://schemas.microsoft.com/office/drawing/2014/main" id="{77DC0A5B-D5E0-45D0-9A6E-09B22894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09" name="Picture 61" descr="LOGO DGI">
          <a:extLst>
            <a:ext uri="{FF2B5EF4-FFF2-40B4-BE49-F238E27FC236}">
              <a16:creationId xmlns:a16="http://schemas.microsoft.com/office/drawing/2014/main" id="{4770E59D-E0CC-4C87-9CB7-8D7D96CB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0" name="Picture 62" descr="LOGO DGI">
          <a:extLst>
            <a:ext uri="{FF2B5EF4-FFF2-40B4-BE49-F238E27FC236}">
              <a16:creationId xmlns:a16="http://schemas.microsoft.com/office/drawing/2014/main" id="{D09E2FD1-2E21-4FC0-93C3-1D99994FF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1" name="Picture 63" descr="LOGO DGI">
          <a:extLst>
            <a:ext uri="{FF2B5EF4-FFF2-40B4-BE49-F238E27FC236}">
              <a16:creationId xmlns:a16="http://schemas.microsoft.com/office/drawing/2014/main" id="{A01B01AA-BD33-48AE-ABF0-38C380777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2" name="Picture 64" descr="LOGO DGI">
          <a:extLst>
            <a:ext uri="{FF2B5EF4-FFF2-40B4-BE49-F238E27FC236}">
              <a16:creationId xmlns:a16="http://schemas.microsoft.com/office/drawing/2014/main" id="{ABBF1FFA-7E6E-46AE-B9DA-93253C03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3" name="Picture 65" descr="LOGO DGI">
          <a:extLst>
            <a:ext uri="{FF2B5EF4-FFF2-40B4-BE49-F238E27FC236}">
              <a16:creationId xmlns:a16="http://schemas.microsoft.com/office/drawing/2014/main" id="{D6AE346D-EA14-4566-A888-06F2B8AD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4" name="Picture 66" descr="LOGO DGI">
          <a:extLst>
            <a:ext uri="{FF2B5EF4-FFF2-40B4-BE49-F238E27FC236}">
              <a16:creationId xmlns:a16="http://schemas.microsoft.com/office/drawing/2014/main" id="{983CC0D1-8B83-401D-9CAB-D1A3D803D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5" name="Picture 67" descr="LOGO DGI">
          <a:extLst>
            <a:ext uri="{FF2B5EF4-FFF2-40B4-BE49-F238E27FC236}">
              <a16:creationId xmlns:a16="http://schemas.microsoft.com/office/drawing/2014/main" id="{3B681317-89CB-4323-996A-EEC37BD0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6" name="Picture 68" descr="LOGO DGI">
          <a:extLst>
            <a:ext uri="{FF2B5EF4-FFF2-40B4-BE49-F238E27FC236}">
              <a16:creationId xmlns:a16="http://schemas.microsoft.com/office/drawing/2014/main" id="{54FC849F-9B54-43FB-96FF-C2B43FADC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7" name="Picture 69" descr="LOGO DGI">
          <a:extLst>
            <a:ext uri="{FF2B5EF4-FFF2-40B4-BE49-F238E27FC236}">
              <a16:creationId xmlns:a16="http://schemas.microsoft.com/office/drawing/2014/main" id="{9D1AF838-466A-4B51-B936-CF783CD92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8" name="Picture 70" descr="LOGO DGI">
          <a:extLst>
            <a:ext uri="{FF2B5EF4-FFF2-40B4-BE49-F238E27FC236}">
              <a16:creationId xmlns:a16="http://schemas.microsoft.com/office/drawing/2014/main" id="{5DEEEEC1-CA18-4403-82CF-D0F9D72C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19" name="Picture 71" descr="LOGO DGI">
          <a:extLst>
            <a:ext uri="{FF2B5EF4-FFF2-40B4-BE49-F238E27FC236}">
              <a16:creationId xmlns:a16="http://schemas.microsoft.com/office/drawing/2014/main" id="{6C446C5B-19EC-47E4-83F4-169858D5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2520" name="Picture 72" descr="LOGO DGI">
          <a:extLst>
            <a:ext uri="{FF2B5EF4-FFF2-40B4-BE49-F238E27FC236}">
              <a16:creationId xmlns:a16="http://schemas.microsoft.com/office/drawing/2014/main" id="{0CA77AE1-9568-4CAD-9D8C-1E85DF0C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17</xdr:row>
      <xdr:rowOff>114300</xdr:rowOff>
    </xdr:from>
    <xdr:to>
      <xdr:col>0</xdr:col>
      <xdr:colOff>695325</xdr:colOff>
      <xdr:row>20</xdr:row>
      <xdr:rowOff>114300</xdr:rowOff>
    </xdr:to>
    <xdr:pic>
      <xdr:nvPicPr>
        <xdr:cNvPr id="1592521" name="Picture 73" descr="LOGO DGI">
          <a:extLst>
            <a:ext uri="{FF2B5EF4-FFF2-40B4-BE49-F238E27FC236}">
              <a16:creationId xmlns:a16="http://schemas.microsoft.com/office/drawing/2014/main" id="{1FF5C76C-6F75-4686-A627-BCCFB5589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96227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34</xdr:row>
      <xdr:rowOff>114300</xdr:rowOff>
    </xdr:from>
    <xdr:to>
      <xdr:col>0</xdr:col>
      <xdr:colOff>695325</xdr:colOff>
      <xdr:row>37</xdr:row>
      <xdr:rowOff>114300</xdr:rowOff>
    </xdr:to>
    <xdr:pic>
      <xdr:nvPicPr>
        <xdr:cNvPr id="1592522" name="Picture 74" descr="LOGO DGI">
          <a:extLst>
            <a:ext uri="{FF2B5EF4-FFF2-40B4-BE49-F238E27FC236}">
              <a16:creationId xmlns:a16="http://schemas.microsoft.com/office/drawing/2014/main" id="{CB2C0987-8DAE-4E53-AECE-A6067E7F6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81025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51</xdr:row>
      <xdr:rowOff>114300</xdr:rowOff>
    </xdr:from>
    <xdr:to>
      <xdr:col>0</xdr:col>
      <xdr:colOff>695325</xdr:colOff>
      <xdr:row>54</xdr:row>
      <xdr:rowOff>114300</xdr:rowOff>
    </xdr:to>
    <xdr:pic>
      <xdr:nvPicPr>
        <xdr:cNvPr id="1592523" name="Picture 75" descr="LOGO DGI">
          <a:extLst>
            <a:ext uri="{FF2B5EF4-FFF2-40B4-BE49-F238E27FC236}">
              <a16:creationId xmlns:a16="http://schemas.microsoft.com/office/drawing/2014/main" id="{D35732CF-2B51-41D6-909B-A2AFEB3A7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5822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68</xdr:row>
      <xdr:rowOff>114300</xdr:rowOff>
    </xdr:from>
    <xdr:to>
      <xdr:col>0</xdr:col>
      <xdr:colOff>695325</xdr:colOff>
      <xdr:row>71</xdr:row>
      <xdr:rowOff>114300</xdr:rowOff>
    </xdr:to>
    <xdr:pic>
      <xdr:nvPicPr>
        <xdr:cNvPr id="1592524" name="Picture 76" descr="LOGO DGI">
          <a:extLst>
            <a:ext uri="{FF2B5EF4-FFF2-40B4-BE49-F238E27FC236}">
              <a16:creationId xmlns:a16="http://schemas.microsoft.com/office/drawing/2014/main" id="{EA8BEAD3-E131-48C7-A7AF-B399BBDA0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50620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85</xdr:row>
      <xdr:rowOff>114300</xdr:rowOff>
    </xdr:from>
    <xdr:to>
      <xdr:col>0</xdr:col>
      <xdr:colOff>695325</xdr:colOff>
      <xdr:row>88</xdr:row>
      <xdr:rowOff>114300</xdr:rowOff>
    </xdr:to>
    <xdr:pic>
      <xdr:nvPicPr>
        <xdr:cNvPr id="1592525" name="Picture 77" descr="LOGO DGI">
          <a:extLst>
            <a:ext uri="{FF2B5EF4-FFF2-40B4-BE49-F238E27FC236}">
              <a16:creationId xmlns:a16="http://schemas.microsoft.com/office/drawing/2014/main" id="{642C6271-E249-4785-9ED5-130B83575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435417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102</xdr:row>
      <xdr:rowOff>114300</xdr:rowOff>
    </xdr:from>
    <xdr:to>
      <xdr:col>0</xdr:col>
      <xdr:colOff>695325</xdr:colOff>
      <xdr:row>105</xdr:row>
      <xdr:rowOff>114300</xdr:rowOff>
    </xdr:to>
    <xdr:pic>
      <xdr:nvPicPr>
        <xdr:cNvPr id="1592526" name="Picture 78" descr="LOGO DGI">
          <a:extLst>
            <a:ext uri="{FF2B5EF4-FFF2-40B4-BE49-F238E27FC236}">
              <a16:creationId xmlns:a16="http://schemas.microsoft.com/office/drawing/2014/main" id="{F2403D7E-DAC6-49ED-98DA-3560BF34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720215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119</xdr:row>
      <xdr:rowOff>114300</xdr:rowOff>
    </xdr:from>
    <xdr:to>
      <xdr:col>0</xdr:col>
      <xdr:colOff>695325</xdr:colOff>
      <xdr:row>122</xdr:row>
      <xdr:rowOff>114300</xdr:rowOff>
    </xdr:to>
    <xdr:pic>
      <xdr:nvPicPr>
        <xdr:cNvPr id="1592527" name="Picture 79" descr="LOGO DGI">
          <a:extLst>
            <a:ext uri="{FF2B5EF4-FFF2-40B4-BE49-F238E27FC236}">
              <a16:creationId xmlns:a16="http://schemas.microsoft.com/office/drawing/2014/main" id="{6800AEBD-90FF-44BE-BA89-6AD85042F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005012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136</xdr:row>
      <xdr:rowOff>114300</xdr:rowOff>
    </xdr:from>
    <xdr:to>
      <xdr:col>0</xdr:col>
      <xdr:colOff>695325</xdr:colOff>
      <xdr:row>139</xdr:row>
      <xdr:rowOff>114300</xdr:rowOff>
    </xdr:to>
    <xdr:pic>
      <xdr:nvPicPr>
        <xdr:cNvPr id="1592528" name="Picture 80" descr="LOGO DGI">
          <a:extLst>
            <a:ext uri="{FF2B5EF4-FFF2-40B4-BE49-F238E27FC236}">
              <a16:creationId xmlns:a16="http://schemas.microsoft.com/office/drawing/2014/main" id="{DFCB94A5-41AC-48C3-9034-9614D4AE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289810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153</xdr:row>
      <xdr:rowOff>114300</xdr:rowOff>
    </xdr:from>
    <xdr:to>
      <xdr:col>0</xdr:col>
      <xdr:colOff>695325</xdr:colOff>
      <xdr:row>156</xdr:row>
      <xdr:rowOff>114300</xdr:rowOff>
    </xdr:to>
    <xdr:pic>
      <xdr:nvPicPr>
        <xdr:cNvPr id="1592529" name="Picture 81" descr="LOGO DGI">
          <a:extLst>
            <a:ext uri="{FF2B5EF4-FFF2-40B4-BE49-F238E27FC236}">
              <a16:creationId xmlns:a16="http://schemas.microsoft.com/office/drawing/2014/main" id="{13D46282-C3F3-40BB-9C96-9E119FCDB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574607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170</xdr:row>
      <xdr:rowOff>114300</xdr:rowOff>
    </xdr:from>
    <xdr:to>
      <xdr:col>0</xdr:col>
      <xdr:colOff>695325</xdr:colOff>
      <xdr:row>173</xdr:row>
      <xdr:rowOff>114300</xdr:rowOff>
    </xdr:to>
    <xdr:pic>
      <xdr:nvPicPr>
        <xdr:cNvPr id="1592530" name="Picture 82" descr="LOGO DGI">
          <a:extLst>
            <a:ext uri="{FF2B5EF4-FFF2-40B4-BE49-F238E27FC236}">
              <a16:creationId xmlns:a16="http://schemas.microsoft.com/office/drawing/2014/main" id="{BD6302B7-6012-4916-9EB4-053C41EAD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859405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187</xdr:row>
      <xdr:rowOff>114300</xdr:rowOff>
    </xdr:from>
    <xdr:to>
      <xdr:col>0</xdr:col>
      <xdr:colOff>695325</xdr:colOff>
      <xdr:row>190</xdr:row>
      <xdr:rowOff>114300</xdr:rowOff>
    </xdr:to>
    <xdr:pic>
      <xdr:nvPicPr>
        <xdr:cNvPr id="1592531" name="Picture 83" descr="LOGO DGI">
          <a:extLst>
            <a:ext uri="{FF2B5EF4-FFF2-40B4-BE49-F238E27FC236}">
              <a16:creationId xmlns:a16="http://schemas.microsoft.com/office/drawing/2014/main" id="{A6C19143-DB83-4344-8A8C-26F612580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144202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204</xdr:row>
      <xdr:rowOff>114300</xdr:rowOff>
    </xdr:from>
    <xdr:to>
      <xdr:col>0</xdr:col>
      <xdr:colOff>695325</xdr:colOff>
      <xdr:row>207</xdr:row>
      <xdr:rowOff>114300</xdr:rowOff>
    </xdr:to>
    <xdr:pic>
      <xdr:nvPicPr>
        <xdr:cNvPr id="1592532" name="Picture 84" descr="LOGO DGI">
          <a:extLst>
            <a:ext uri="{FF2B5EF4-FFF2-40B4-BE49-F238E27FC236}">
              <a16:creationId xmlns:a16="http://schemas.microsoft.com/office/drawing/2014/main" id="{56CC795B-8CA1-4E03-961F-D109D4AE0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429000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221</xdr:row>
      <xdr:rowOff>114300</xdr:rowOff>
    </xdr:from>
    <xdr:to>
      <xdr:col>0</xdr:col>
      <xdr:colOff>695325</xdr:colOff>
      <xdr:row>224</xdr:row>
      <xdr:rowOff>114300</xdr:rowOff>
    </xdr:to>
    <xdr:pic>
      <xdr:nvPicPr>
        <xdr:cNvPr id="1592533" name="Picture 85" descr="LOGO DGI">
          <a:extLst>
            <a:ext uri="{FF2B5EF4-FFF2-40B4-BE49-F238E27FC236}">
              <a16:creationId xmlns:a16="http://schemas.microsoft.com/office/drawing/2014/main" id="{322AF7F2-4380-4A69-905A-914F9ABE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7137975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6395" name="CommandButton1" hidden="1">
          <a:extLst>
            <a:ext uri="{63B3BB69-23CF-44E3-9099-C40C66FF867C}">
              <a14:compatExt xmlns:a14="http://schemas.microsoft.com/office/drawing/2010/main" spid="_x0000_s16395"/>
            </a:ext>
            <a:ext uri="{FF2B5EF4-FFF2-40B4-BE49-F238E27FC236}">
              <a16:creationId xmlns:a16="http://schemas.microsoft.com/office/drawing/2014/main" id="{EB62D997-0CBC-4D9E-A3AC-95C2C08946F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6396" name="CommandButton2" hidden="1">
          <a:extLst>
            <a:ext uri="{63B3BB69-23CF-44E3-9099-C40C66FF867C}">
              <a14:compatExt xmlns:a14="http://schemas.microsoft.com/office/drawing/2010/main" spid="_x0000_s16396"/>
            </a:ext>
            <a:ext uri="{FF2B5EF4-FFF2-40B4-BE49-F238E27FC236}">
              <a16:creationId xmlns:a16="http://schemas.microsoft.com/office/drawing/2014/main" id="{D33225AB-2D80-45D5-844F-D87E688BF00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104775</xdr:rowOff>
    </xdr:from>
    <xdr:to>
      <xdr:col>10</xdr:col>
      <xdr:colOff>514350</xdr:colOff>
      <xdr:row>4</xdr:row>
      <xdr:rowOff>47625</xdr:rowOff>
    </xdr:to>
    <xdr:sp macro="" textlink="">
      <xdr:nvSpPr>
        <xdr:cNvPr id="35841" name="CommandButton2" hidden="1">
          <a:extLst>
            <a:ext uri="{63B3BB69-23CF-44E3-9099-C40C66FF867C}">
              <a14:compatExt xmlns:a14="http://schemas.microsoft.com/office/drawing/2010/main" spid="_x0000_s35841"/>
            </a:ext>
            <a:ext uri="{FF2B5EF4-FFF2-40B4-BE49-F238E27FC236}">
              <a16:creationId xmlns:a16="http://schemas.microsoft.com/office/drawing/2014/main" id="{406B4C02-7A58-420A-9CB0-AAB0C50E22D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742950</xdr:colOff>
      <xdr:row>0</xdr:row>
      <xdr:rowOff>114300</xdr:rowOff>
    </xdr:from>
    <xdr:to>
      <xdr:col>11</xdr:col>
      <xdr:colOff>666750</xdr:colOff>
      <xdr:row>4</xdr:row>
      <xdr:rowOff>85725</xdr:rowOff>
    </xdr:to>
    <xdr:sp macro="" textlink="">
      <xdr:nvSpPr>
        <xdr:cNvPr id="35842" name="CommandButton1" hidden="1">
          <a:extLst>
            <a:ext uri="{63B3BB69-23CF-44E3-9099-C40C66FF867C}">
              <a14:compatExt xmlns:a14="http://schemas.microsoft.com/office/drawing/2010/main" spid="_x0000_s35842"/>
            </a:ext>
            <a:ext uri="{FF2B5EF4-FFF2-40B4-BE49-F238E27FC236}">
              <a16:creationId xmlns:a16="http://schemas.microsoft.com/office/drawing/2014/main" id="{BC3AE868-5A9B-4418-93AA-D8400D265AC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5</xdr:row>
      <xdr:rowOff>19050</xdr:rowOff>
    </xdr:from>
    <xdr:to>
      <xdr:col>10</xdr:col>
      <xdr:colOff>533400</xdr:colOff>
      <xdr:row>8</xdr:row>
      <xdr:rowOff>114300</xdr:rowOff>
    </xdr:to>
    <xdr:sp macro="" textlink="">
      <xdr:nvSpPr>
        <xdr:cNvPr id="35843" name="CommandButton3" hidden="1">
          <a:extLst>
            <a:ext uri="{63B3BB69-23CF-44E3-9099-C40C66FF867C}">
              <a14:compatExt xmlns:a14="http://schemas.microsoft.com/office/drawing/2010/main" spid="_x0000_s35843"/>
            </a:ext>
            <a:ext uri="{FF2B5EF4-FFF2-40B4-BE49-F238E27FC236}">
              <a16:creationId xmlns:a16="http://schemas.microsoft.com/office/drawing/2014/main" id="{561E4660-C2A4-41FC-908D-3F3E3FDBD9A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723900</xdr:colOff>
      <xdr:row>5</xdr:row>
      <xdr:rowOff>38100</xdr:rowOff>
    </xdr:from>
    <xdr:to>
      <xdr:col>11</xdr:col>
      <xdr:colOff>657225</xdr:colOff>
      <xdr:row>8</xdr:row>
      <xdr:rowOff>114300</xdr:rowOff>
    </xdr:to>
    <xdr:sp macro="" textlink="">
      <xdr:nvSpPr>
        <xdr:cNvPr id="35844" name="CommandButton4" hidden="1">
          <a:extLst>
            <a:ext uri="{63B3BB69-23CF-44E3-9099-C40C66FF867C}">
              <a14:compatExt xmlns:a14="http://schemas.microsoft.com/office/drawing/2010/main" spid="_x0000_s35844"/>
            </a:ext>
            <a:ext uri="{FF2B5EF4-FFF2-40B4-BE49-F238E27FC236}">
              <a16:creationId xmlns:a16="http://schemas.microsoft.com/office/drawing/2014/main" id="{1E93643D-1417-41F1-85BE-3F2AD63708C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593602" name="Picture 1" descr="LOGO DGI">
          <a:extLst>
            <a:ext uri="{FF2B5EF4-FFF2-40B4-BE49-F238E27FC236}">
              <a16:creationId xmlns:a16="http://schemas.microsoft.com/office/drawing/2014/main" id="{9B192625-DE49-4135-9250-F31F100EB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3" name="Picture 102" descr="LOGO DGI">
          <a:extLst>
            <a:ext uri="{FF2B5EF4-FFF2-40B4-BE49-F238E27FC236}">
              <a16:creationId xmlns:a16="http://schemas.microsoft.com/office/drawing/2014/main" id="{DE787DC3-0992-4053-B9E7-6BA1F085E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4" name="Picture 103" descr="LOGO DGI">
          <a:extLst>
            <a:ext uri="{FF2B5EF4-FFF2-40B4-BE49-F238E27FC236}">
              <a16:creationId xmlns:a16="http://schemas.microsoft.com/office/drawing/2014/main" id="{5E9B0F45-106B-41F2-A452-442513C13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5" name="Picture 104" descr="LOGO DGI">
          <a:extLst>
            <a:ext uri="{FF2B5EF4-FFF2-40B4-BE49-F238E27FC236}">
              <a16:creationId xmlns:a16="http://schemas.microsoft.com/office/drawing/2014/main" id="{499AF75B-3F00-4E5A-821F-2CBB0E7F0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6" name="Picture 105" descr="LOGO DGI">
          <a:extLst>
            <a:ext uri="{FF2B5EF4-FFF2-40B4-BE49-F238E27FC236}">
              <a16:creationId xmlns:a16="http://schemas.microsoft.com/office/drawing/2014/main" id="{753F00AF-671D-4BF2-A7C4-EA8E1BF50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7" name="Picture 106" descr="LOGO DGI">
          <a:extLst>
            <a:ext uri="{FF2B5EF4-FFF2-40B4-BE49-F238E27FC236}">
              <a16:creationId xmlns:a16="http://schemas.microsoft.com/office/drawing/2014/main" id="{FB6A24E2-0891-48F1-8D9A-FA14C1820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8" name="Picture 107" descr="LOGO DGI">
          <a:extLst>
            <a:ext uri="{FF2B5EF4-FFF2-40B4-BE49-F238E27FC236}">
              <a16:creationId xmlns:a16="http://schemas.microsoft.com/office/drawing/2014/main" id="{25A6863D-4BD0-4393-9C64-8BA8F471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09" name="Picture 108" descr="LOGO DGI">
          <a:extLst>
            <a:ext uri="{FF2B5EF4-FFF2-40B4-BE49-F238E27FC236}">
              <a16:creationId xmlns:a16="http://schemas.microsoft.com/office/drawing/2014/main" id="{8C6F4DC9-817D-45C9-8FCB-83F61B898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0" name="Picture 109" descr="LOGO DGI">
          <a:extLst>
            <a:ext uri="{FF2B5EF4-FFF2-40B4-BE49-F238E27FC236}">
              <a16:creationId xmlns:a16="http://schemas.microsoft.com/office/drawing/2014/main" id="{18C2AFE5-AC18-4D15-B4B7-CCB51A30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1" name="Picture 110" descr="LOGO DGI">
          <a:extLst>
            <a:ext uri="{FF2B5EF4-FFF2-40B4-BE49-F238E27FC236}">
              <a16:creationId xmlns:a16="http://schemas.microsoft.com/office/drawing/2014/main" id="{32457638-A7CA-4DA8-9442-6B3765F80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2" name="Picture 111" descr="LOGO DGI">
          <a:extLst>
            <a:ext uri="{FF2B5EF4-FFF2-40B4-BE49-F238E27FC236}">
              <a16:creationId xmlns:a16="http://schemas.microsoft.com/office/drawing/2014/main" id="{67FE0B16-139E-454D-BC4A-AC2B7406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3" name="Picture 112" descr="LOGO DGI">
          <a:extLst>
            <a:ext uri="{FF2B5EF4-FFF2-40B4-BE49-F238E27FC236}">
              <a16:creationId xmlns:a16="http://schemas.microsoft.com/office/drawing/2014/main" id="{43D503CC-2198-4459-B413-2885E2026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4" name="Picture 113" descr="LOGO DGI">
          <a:extLst>
            <a:ext uri="{FF2B5EF4-FFF2-40B4-BE49-F238E27FC236}">
              <a16:creationId xmlns:a16="http://schemas.microsoft.com/office/drawing/2014/main" id="{FC075DCC-C2D4-4B49-99E9-44CFC66D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5" name="Picture 114" descr="LOGO DGI">
          <a:extLst>
            <a:ext uri="{FF2B5EF4-FFF2-40B4-BE49-F238E27FC236}">
              <a16:creationId xmlns:a16="http://schemas.microsoft.com/office/drawing/2014/main" id="{F101B1C1-E7B4-4CD8-BF92-4D0B6F71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6" name="Picture 144" descr="LOGO DGI">
          <a:extLst>
            <a:ext uri="{FF2B5EF4-FFF2-40B4-BE49-F238E27FC236}">
              <a16:creationId xmlns:a16="http://schemas.microsoft.com/office/drawing/2014/main" id="{3C04F217-36BB-4221-8B29-EECFE200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7" name="Picture 145" descr="LOGO DGI">
          <a:extLst>
            <a:ext uri="{FF2B5EF4-FFF2-40B4-BE49-F238E27FC236}">
              <a16:creationId xmlns:a16="http://schemas.microsoft.com/office/drawing/2014/main" id="{9F1FA606-98DD-4AD0-AB2D-5F4FE949D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8" name="Picture 146" descr="LOGO DGI">
          <a:extLst>
            <a:ext uri="{FF2B5EF4-FFF2-40B4-BE49-F238E27FC236}">
              <a16:creationId xmlns:a16="http://schemas.microsoft.com/office/drawing/2014/main" id="{5C1B44D1-F6C0-4D86-88D1-277187B1C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19" name="Picture 147" descr="LOGO DGI">
          <a:extLst>
            <a:ext uri="{FF2B5EF4-FFF2-40B4-BE49-F238E27FC236}">
              <a16:creationId xmlns:a16="http://schemas.microsoft.com/office/drawing/2014/main" id="{5BB73C8F-CA37-442E-9BB5-46E12E7B7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0" name="Picture 148" descr="LOGO DGI">
          <a:extLst>
            <a:ext uri="{FF2B5EF4-FFF2-40B4-BE49-F238E27FC236}">
              <a16:creationId xmlns:a16="http://schemas.microsoft.com/office/drawing/2014/main" id="{8BFD00C4-3C1D-4222-BFC8-2505484E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1" name="Picture 149" descr="LOGO DGI">
          <a:extLst>
            <a:ext uri="{FF2B5EF4-FFF2-40B4-BE49-F238E27FC236}">
              <a16:creationId xmlns:a16="http://schemas.microsoft.com/office/drawing/2014/main" id="{39974E0B-49D0-4BC2-A63F-F85F3AD7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2" name="Picture 150" descr="LOGO DGI">
          <a:extLst>
            <a:ext uri="{FF2B5EF4-FFF2-40B4-BE49-F238E27FC236}">
              <a16:creationId xmlns:a16="http://schemas.microsoft.com/office/drawing/2014/main" id="{3097B57A-83B0-4038-93BE-A6C9BF44B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3" name="Picture 151" descr="LOGO DGI">
          <a:extLst>
            <a:ext uri="{FF2B5EF4-FFF2-40B4-BE49-F238E27FC236}">
              <a16:creationId xmlns:a16="http://schemas.microsoft.com/office/drawing/2014/main" id="{B2B1022B-4A25-4BC9-9BCC-E5A64F1D9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4" name="Picture 152" descr="LOGO DGI">
          <a:extLst>
            <a:ext uri="{FF2B5EF4-FFF2-40B4-BE49-F238E27FC236}">
              <a16:creationId xmlns:a16="http://schemas.microsoft.com/office/drawing/2014/main" id="{2DE0D632-446A-4987-9D16-FEF216EDD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5" name="Picture 153" descr="LOGO DGI">
          <a:extLst>
            <a:ext uri="{FF2B5EF4-FFF2-40B4-BE49-F238E27FC236}">
              <a16:creationId xmlns:a16="http://schemas.microsoft.com/office/drawing/2014/main" id="{80E2AA0D-263D-4D20-8F1A-BC0D10EB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6" name="Picture 154" descr="LOGO DGI">
          <a:extLst>
            <a:ext uri="{FF2B5EF4-FFF2-40B4-BE49-F238E27FC236}">
              <a16:creationId xmlns:a16="http://schemas.microsoft.com/office/drawing/2014/main" id="{0D00D9BF-452F-464D-AC2C-4DF6E187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7" name="Picture 155" descr="LOGO DGI">
          <a:extLst>
            <a:ext uri="{FF2B5EF4-FFF2-40B4-BE49-F238E27FC236}">
              <a16:creationId xmlns:a16="http://schemas.microsoft.com/office/drawing/2014/main" id="{7B45964A-EFAA-4465-81BB-E83D980D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8" name="Picture 156" descr="LOGO DGI">
          <a:extLst>
            <a:ext uri="{FF2B5EF4-FFF2-40B4-BE49-F238E27FC236}">
              <a16:creationId xmlns:a16="http://schemas.microsoft.com/office/drawing/2014/main" id="{7896239D-C20D-4ADB-8E07-6E4B575D8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29" name="Picture 157" descr="LOGO DGI">
          <a:extLst>
            <a:ext uri="{FF2B5EF4-FFF2-40B4-BE49-F238E27FC236}">
              <a16:creationId xmlns:a16="http://schemas.microsoft.com/office/drawing/2014/main" id="{D6D6F6DD-A8FD-4809-ADAC-B41CDED6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0" name="Picture 158" descr="LOGO DGI">
          <a:extLst>
            <a:ext uri="{FF2B5EF4-FFF2-40B4-BE49-F238E27FC236}">
              <a16:creationId xmlns:a16="http://schemas.microsoft.com/office/drawing/2014/main" id="{5557EF4F-79DC-408E-93CD-A66964C8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1" name="Picture 159" descr="LOGO DGI">
          <a:extLst>
            <a:ext uri="{FF2B5EF4-FFF2-40B4-BE49-F238E27FC236}">
              <a16:creationId xmlns:a16="http://schemas.microsoft.com/office/drawing/2014/main" id="{2F89748F-7C16-43B8-9C74-E819AB15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2" name="Picture 160" descr="LOGO DGI">
          <a:extLst>
            <a:ext uri="{FF2B5EF4-FFF2-40B4-BE49-F238E27FC236}">
              <a16:creationId xmlns:a16="http://schemas.microsoft.com/office/drawing/2014/main" id="{61747AE4-1048-45DA-B4EE-B8011F685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3" name="Picture 161" descr="LOGO DGI">
          <a:extLst>
            <a:ext uri="{FF2B5EF4-FFF2-40B4-BE49-F238E27FC236}">
              <a16:creationId xmlns:a16="http://schemas.microsoft.com/office/drawing/2014/main" id="{3244C0A5-4E1F-4FFA-BD0E-989A6C04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4" name="Picture 162" descr="LOGO DGI">
          <a:extLst>
            <a:ext uri="{FF2B5EF4-FFF2-40B4-BE49-F238E27FC236}">
              <a16:creationId xmlns:a16="http://schemas.microsoft.com/office/drawing/2014/main" id="{4BBF5825-7D9E-4204-9967-F32D430C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5" name="Picture 163" descr="LOGO DGI">
          <a:extLst>
            <a:ext uri="{FF2B5EF4-FFF2-40B4-BE49-F238E27FC236}">
              <a16:creationId xmlns:a16="http://schemas.microsoft.com/office/drawing/2014/main" id="{A8D624BB-C3E4-404A-AD33-BF6350C7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6" name="Picture 164" descr="LOGO DGI">
          <a:extLst>
            <a:ext uri="{FF2B5EF4-FFF2-40B4-BE49-F238E27FC236}">
              <a16:creationId xmlns:a16="http://schemas.microsoft.com/office/drawing/2014/main" id="{184E23F2-5913-4CF5-9EB0-A457989C8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93637" name="Picture 165" descr="LOGO DGI">
          <a:extLst>
            <a:ext uri="{FF2B5EF4-FFF2-40B4-BE49-F238E27FC236}">
              <a16:creationId xmlns:a16="http://schemas.microsoft.com/office/drawing/2014/main" id="{67CFF8A4-CEA7-48E2-937B-65580826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38" name="Picture 166" descr="LOGO DGI">
          <a:extLst>
            <a:ext uri="{FF2B5EF4-FFF2-40B4-BE49-F238E27FC236}">
              <a16:creationId xmlns:a16="http://schemas.microsoft.com/office/drawing/2014/main" id="{638026C6-54E6-45C4-BE1F-EE9655312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39" name="Picture 167" descr="LOGO DGI">
          <a:extLst>
            <a:ext uri="{FF2B5EF4-FFF2-40B4-BE49-F238E27FC236}">
              <a16:creationId xmlns:a16="http://schemas.microsoft.com/office/drawing/2014/main" id="{FAB156A8-48DB-427D-B4C4-0BD3078FA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0" name="Picture 168" descr="LOGO DGI">
          <a:extLst>
            <a:ext uri="{FF2B5EF4-FFF2-40B4-BE49-F238E27FC236}">
              <a16:creationId xmlns:a16="http://schemas.microsoft.com/office/drawing/2014/main" id="{37252421-E39F-468D-88E3-281738968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1" name="Picture 169" descr="LOGO DGI">
          <a:extLst>
            <a:ext uri="{FF2B5EF4-FFF2-40B4-BE49-F238E27FC236}">
              <a16:creationId xmlns:a16="http://schemas.microsoft.com/office/drawing/2014/main" id="{4A7657EA-646F-429D-A4B7-05D645B82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2" name="Picture 170" descr="LOGO DGI">
          <a:extLst>
            <a:ext uri="{FF2B5EF4-FFF2-40B4-BE49-F238E27FC236}">
              <a16:creationId xmlns:a16="http://schemas.microsoft.com/office/drawing/2014/main" id="{737D0E0D-3328-48E9-8BD6-4DB599E09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3" name="Picture 171" descr="LOGO DGI">
          <a:extLst>
            <a:ext uri="{FF2B5EF4-FFF2-40B4-BE49-F238E27FC236}">
              <a16:creationId xmlns:a16="http://schemas.microsoft.com/office/drawing/2014/main" id="{ECE82060-602B-4A77-9A05-886F1BE80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4" name="Picture 172" descr="LOGO DGI">
          <a:extLst>
            <a:ext uri="{FF2B5EF4-FFF2-40B4-BE49-F238E27FC236}">
              <a16:creationId xmlns:a16="http://schemas.microsoft.com/office/drawing/2014/main" id="{616C7CC8-3D58-4858-8B65-A29D6F11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5" name="Picture 173" descr="LOGO DGI">
          <a:extLst>
            <a:ext uri="{FF2B5EF4-FFF2-40B4-BE49-F238E27FC236}">
              <a16:creationId xmlns:a16="http://schemas.microsoft.com/office/drawing/2014/main" id="{CEBA4E3B-F01C-4776-A2D5-1EC04A856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6" name="Picture 174" descr="LOGO DGI">
          <a:extLst>
            <a:ext uri="{FF2B5EF4-FFF2-40B4-BE49-F238E27FC236}">
              <a16:creationId xmlns:a16="http://schemas.microsoft.com/office/drawing/2014/main" id="{F79D0CC0-2072-442C-A7D6-830BD6D5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7" name="Picture 175" descr="LOGO DGI">
          <a:extLst>
            <a:ext uri="{FF2B5EF4-FFF2-40B4-BE49-F238E27FC236}">
              <a16:creationId xmlns:a16="http://schemas.microsoft.com/office/drawing/2014/main" id="{AAA18F85-F87B-4852-825E-DA3A7669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8" name="Picture 176" descr="LOGO DGI">
          <a:extLst>
            <a:ext uri="{FF2B5EF4-FFF2-40B4-BE49-F238E27FC236}">
              <a16:creationId xmlns:a16="http://schemas.microsoft.com/office/drawing/2014/main" id="{8CE4E5E2-F751-434D-911C-5D3671FC3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49" name="Picture 177" descr="LOGO DGI">
          <a:extLst>
            <a:ext uri="{FF2B5EF4-FFF2-40B4-BE49-F238E27FC236}">
              <a16:creationId xmlns:a16="http://schemas.microsoft.com/office/drawing/2014/main" id="{19719F1A-87C5-425C-9B68-0C3226CF9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0" name="Picture 178" descr="LOGO DGI">
          <a:extLst>
            <a:ext uri="{FF2B5EF4-FFF2-40B4-BE49-F238E27FC236}">
              <a16:creationId xmlns:a16="http://schemas.microsoft.com/office/drawing/2014/main" id="{CF51681E-8BA6-4C13-88EA-C80DB038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1" name="Picture 179" descr="LOGO DGI">
          <a:extLst>
            <a:ext uri="{FF2B5EF4-FFF2-40B4-BE49-F238E27FC236}">
              <a16:creationId xmlns:a16="http://schemas.microsoft.com/office/drawing/2014/main" id="{26F6FE8C-235A-4313-A23D-FE465D05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2" name="Picture 180" descr="LOGO DGI">
          <a:extLst>
            <a:ext uri="{FF2B5EF4-FFF2-40B4-BE49-F238E27FC236}">
              <a16:creationId xmlns:a16="http://schemas.microsoft.com/office/drawing/2014/main" id="{5952741B-0445-4E10-93C3-917113D26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3" name="Picture 181" descr="LOGO DGI">
          <a:extLst>
            <a:ext uri="{FF2B5EF4-FFF2-40B4-BE49-F238E27FC236}">
              <a16:creationId xmlns:a16="http://schemas.microsoft.com/office/drawing/2014/main" id="{FDE2DADB-8B7C-49B3-8A71-8483DFE3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4" name="Picture 182" descr="LOGO DGI">
          <a:extLst>
            <a:ext uri="{FF2B5EF4-FFF2-40B4-BE49-F238E27FC236}">
              <a16:creationId xmlns:a16="http://schemas.microsoft.com/office/drawing/2014/main" id="{F16F9560-9828-43D2-8408-F2CC58FFE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5" name="Picture 183" descr="LOGO DGI">
          <a:extLst>
            <a:ext uri="{FF2B5EF4-FFF2-40B4-BE49-F238E27FC236}">
              <a16:creationId xmlns:a16="http://schemas.microsoft.com/office/drawing/2014/main" id="{05D6E0FC-FEDE-4482-9A6A-F82929EB6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6" name="Picture 184" descr="LOGO DGI">
          <a:extLst>
            <a:ext uri="{FF2B5EF4-FFF2-40B4-BE49-F238E27FC236}">
              <a16:creationId xmlns:a16="http://schemas.microsoft.com/office/drawing/2014/main" id="{4DB68E16-1962-4A49-B8F0-3BB77B25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7" name="Picture 185" descr="LOGO DGI">
          <a:extLst>
            <a:ext uri="{FF2B5EF4-FFF2-40B4-BE49-F238E27FC236}">
              <a16:creationId xmlns:a16="http://schemas.microsoft.com/office/drawing/2014/main" id="{649D313B-E11D-40FC-AAD0-F1700E135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8" name="Picture 186" descr="LOGO DGI">
          <a:extLst>
            <a:ext uri="{FF2B5EF4-FFF2-40B4-BE49-F238E27FC236}">
              <a16:creationId xmlns:a16="http://schemas.microsoft.com/office/drawing/2014/main" id="{9F6E7797-5D4E-4B5F-A0E3-94EA42B1E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59" name="Picture 187" descr="LOGO DGI">
          <a:extLst>
            <a:ext uri="{FF2B5EF4-FFF2-40B4-BE49-F238E27FC236}">
              <a16:creationId xmlns:a16="http://schemas.microsoft.com/office/drawing/2014/main" id="{3261A1F0-BFA8-42CD-AEF9-A341F7653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0" name="Picture 188" descr="LOGO DGI">
          <a:extLst>
            <a:ext uri="{FF2B5EF4-FFF2-40B4-BE49-F238E27FC236}">
              <a16:creationId xmlns:a16="http://schemas.microsoft.com/office/drawing/2014/main" id="{73F7F898-5344-42EA-AC30-0D266AA5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1" name="Picture 189" descr="LOGO DGI">
          <a:extLst>
            <a:ext uri="{FF2B5EF4-FFF2-40B4-BE49-F238E27FC236}">
              <a16:creationId xmlns:a16="http://schemas.microsoft.com/office/drawing/2014/main" id="{3B59A109-3273-4464-9CAF-239D9FD9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2" name="Picture 190" descr="LOGO DGI">
          <a:extLst>
            <a:ext uri="{FF2B5EF4-FFF2-40B4-BE49-F238E27FC236}">
              <a16:creationId xmlns:a16="http://schemas.microsoft.com/office/drawing/2014/main" id="{7D53664B-A810-4AA4-809C-905025A78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3" name="Picture 191" descr="LOGO DGI">
          <a:extLst>
            <a:ext uri="{FF2B5EF4-FFF2-40B4-BE49-F238E27FC236}">
              <a16:creationId xmlns:a16="http://schemas.microsoft.com/office/drawing/2014/main" id="{BA55E996-02A9-404D-9883-93A0ED80C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4" name="Picture 192" descr="LOGO DGI">
          <a:extLst>
            <a:ext uri="{FF2B5EF4-FFF2-40B4-BE49-F238E27FC236}">
              <a16:creationId xmlns:a16="http://schemas.microsoft.com/office/drawing/2014/main" id="{C46E6C70-4AA9-4142-9A49-D791AA00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5" name="Picture 193" descr="LOGO DGI">
          <a:extLst>
            <a:ext uri="{FF2B5EF4-FFF2-40B4-BE49-F238E27FC236}">
              <a16:creationId xmlns:a16="http://schemas.microsoft.com/office/drawing/2014/main" id="{2C2026D2-F522-4484-8000-4C67D650B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6" name="Picture 194" descr="LOGO DGI">
          <a:extLst>
            <a:ext uri="{FF2B5EF4-FFF2-40B4-BE49-F238E27FC236}">
              <a16:creationId xmlns:a16="http://schemas.microsoft.com/office/drawing/2014/main" id="{DBF57E64-BDA5-4DC9-8071-39F241EE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7" name="Picture 195" descr="LOGO DGI">
          <a:extLst>
            <a:ext uri="{FF2B5EF4-FFF2-40B4-BE49-F238E27FC236}">
              <a16:creationId xmlns:a16="http://schemas.microsoft.com/office/drawing/2014/main" id="{5245A99E-A17A-45D4-8C82-BAA31B10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8" name="Picture 196" descr="LOGO DGI">
          <a:extLst>
            <a:ext uri="{FF2B5EF4-FFF2-40B4-BE49-F238E27FC236}">
              <a16:creationId xmlns:a16="http://schemas.microsoft.com/office/drawing/2014/main" id="{92A09FC1-7499-4628-8E6C-86101F27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69" name="Picture 197" descr="LOGO DGI">
          <a:extLst>
            <a:ext uri="{FF2B5EF4-FFF2-40B4-BE49-F238E27FC236}">
              <a16:creationId xmlns:a16="http://schemas.microsoft.com/office/drawing/2014/main" id="{10773A87-386B-4AD3-87FE-CACABA9DE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0" name="Picture 198" descr="LOGO DGI">
          <a:extLst>
            <a:ext uri="{FF2B5EF4-FFF2-40B4-BE49-F238E27FC236}">
              <a16:creationId xmlns:a16="http://schemas.microsoft.com/office/drawing/2014/main" id="{CC089DED-1FD6-402A-B738-1BAA928B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1" name="Picture 199" descr="LOGO DGI">
          <a:extLst>
            <a:ext uri="{FF2B5EF4-FFF2-40B4-BE49-F238E27FC236}">
              <a16:creationId xmlns:a16="http://schemas.microsoft.com/office/drawing/2014/main" id="{0C1504DF-A167-4463-8427-73076000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2" name="Picture 200" descr="LOGO DGI">
          <a:extLst>
            <a:ext uri="{FF2B5EF4-FFF2-40B4-BE49-F238E27FC236}">
              <a16:creationId xmlns:a16="http://schemas.microsoft.com/office/drawing/2014/main" id="{FE29DAFD-A739-46B1-8DBE-95C5FFEA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3" name="Picture 201" descr="LOGO DGI">
          <a:extLst>
            <a:ext uri="{FF2B5EF4-FFF2-40B4-BE49-F238E27FC236}">
              <a16:creationId xmlns:a16="http://schemas.microsoft.com/office/drawing/2014/main" id="{6EEBDF19-3FE5-45C6-B33F-5E4B891AD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4" name="Picture 202" descr="LOGO DGI">
          <a:extLst>
            <a:ext uri="{FF2B5EF4-FFF2-40B4-BE49-F238E27FC236}">
              <a16:creationId xmlns:a16="http://schemas.microsoft.com/office/drawing/2014/main" id="{89F947DC-B1C8-4E7D-97FC-73806F55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5" name="Picture 203" descr="LOGO DGI">
          <a:extLst>
            <a:ext uri="{FF2B5EF4-FFF2-40B4-BE49-F238E27FC236}">
              <a16:creationId xmlns:a16="http://schemas.microsoft.com/office/drawing/2014/main" id="{3D62F2B2-F55A-49E4-BDEA-8735533F5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6" name="Picture 204" descr="LOGO DGI">
          <a:extLst>
            <a:ext uri="{FF2B5EF4-FFF2-40B4-BE49-F238E27FC236}">
              <a16:creationId xmlns:a16="http://schemas.microsoft.com/office/drawing/2014/main" id="{9B5FF3B9-A326-4B02-BB7E-88394B3E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7" name="Picture 205" descr="LOGO DGI">
          <a:extLst>
            <a:ext uri="{FF2B5EF4-FFF2-40B4-BE49-F238E27FC236}">
              <a16:creationId xmlns:a16="http://schemas.microsoft.com/office/drawing/2014/main" id="{F28D1EDB-DF5B-41B8-80F4-C6827366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8" name="Picture 206" descr="LOGO DGI">
          <a:extLst>
            <a:ext uri="{FF2B5EF4-FFF2-40B4-BE49-F238E27FC236}">
              <a16:creationId xmlns:a16="http://schemas.microsoft.com/office/drawing/2014/main" id="{6D13A379-2621-4626-8559-9DFC7FF5C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79" name="Picture 207" descr="LOGO DGI">
          <a:extLst>
            <a:ext uri="{FF2B5EF4-FFF2-40B4-BE49-F238E27FC236}">
              <a16:creationId xmlns:a16="http://schemas.microsoft.com/office/drawing/2014/main" id="{EDFA1A2C-E0F7-4D99-8AAF-462F84109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0" name="Picture 208" descr="LOGO DGI">
          <a:extLst>
            <a:ext uri="{FF2B5EF4-FFF2-40B4-BE49-F238E27FC236}">
              <a16:creationId xmlns:a16="http://schemas.microsoft.com/office/drawing/2014/main" id="{C1BEE974-90E5-4DAC-ABBE-60579EF6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1" name="Picture 209" descr="LOGO DGI">
          <a:extLst>
            <a:ext uri="{FF2B5EF4-FFF2-40B4-BE49-F238E27FC236}">
              <a16:creationId xmlns:a16="http://schemas.microsoft.com/office/drawing/2014/main" id="{BF58DC85-2A40-4104-B863-1A5F58CCD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2" name="Picture 210" descr="LOGO DGI">
          <a:extLst>
            <a:ext uri="{FF2B5EF4-FFF2-40B4-BE49-F238E27FC236}">
              <a16:creationId xmlns:a16="http://schemas.microsoft.com/office/drawing/2014/main" id="{D1ABFD84-82CC-4831-A171-34A53B7D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3" name="Picture 211" descr="LOGO DGI">
          <a:extLst>
            <a:ext uri="{FF2B5EF4-FFF2-40B4-BE49-F238E27FC236}">
              <a16:creationId xmlns:a16="http://schemas.microsoft.com/office/drawing/2014/main" id="{8977C172-70EA-44E2-8201-B41E8F5B3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4" name="Picture 212" descr="LOGO DGI">
          <a:extLst>
            <a:ext uri="{FF2B5EF4-FFF2-40B4-BE49-F238E27FC236}">
              <a16:creationId xmlns:a16="http://schemas.microsoft.com/office/drawing/2014/main" id="{000D4462-02E0-447B-93CF-F2B55E296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3685" name="Picture 213" descr="LOGO DGI">
          <a:extLst>
            <a:ext uri="{FF2B5EF4-FFF2-40B4-BE49-F238E27FC236}">
              <a16:creationId xmlns:a16="http://schemas.microsoft.com/office/drawing/2014/main" id="{E3442977-F8BB-4EA6-AF3F-11B315E2D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114300</xdr:rowOff>
    </xdr:from>
    <xdr:to>
      <xdr:col>0</xdr:col>
      <xdr:colOff>552450</xdr:colOff>
      <xdr:row>20</xdr:row>
      <xdr:rowOff>114300</xdr:rowOff>
    </xdr:to>
    <xdr:pic>
      <xdr:nvPicPr>
        <xdr:cNvPr id="1593686" name="Picture 214" descr="LOGO DGI">
          <a:extLst>
            <a:ext uri="{FF2B5EF4-FFF2-40B4-BE49-F238E27FC236}">
              <a16:creationId xmlns:a16="http://schemas.microsoft.com/office/drawing/2014/main" id="{2DD2D594-5FBC-4738-AA8B-25094A723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62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114300</xdr:rowOff>
    </xdr:from>
    <xdr:to>
      <xdr:col>0</xdr:col>
      <xdr:colOff>552450</xdr:colOff>
      <xdr:row>37</xdr:row>
      <xdr:rowOff>114300</xdr:rowOff>
    </xdr:to>
    <xdr:pic>
      <xdr:nvPicPr>
        <xdr:cNvPr id="1593687" name="Picture 215" descr="LOGO DGI">
          <a:extLst>
            <a:ext uri="{FF2B5EF4-FFF2-40B4-BE49-F238E27FC236}">
              <a16:creationId xmlns:a16="http://schemas.microsoft.com/office/drawing/2014/main" id="{6F3686C5-15E6-4666-A4C4-51AEAE490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8102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114300</xdr:rowOff>
    </xdr:from>
    <xdr:to>
      <xdr:col>0</xdr:col>
      <xdr:colOff>552450</xdr:colOff>
      <xdr:row>54</xdr:row>
      <xdr:rowOff>114300</xdr:rowOff>
    </xdr:to>
    <xdr:pic>
      <xdr:nvPicPr>
        <xdr:cNvPr id="1593688" name="Picture 216" descr="LOGO DGI">
          <a:extLst>
            <a:ext uri="{FF2B5EF4-FFF2-40B4-BE49-F238E27FC236}">
              <a16:creationId xmlns:a16="http://schemas.microsoft.com/office/drawing/2014/main" id="{FC356A65-41CC-4F28-919B-2C4D140D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58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114300</xdr:rowOff>
    </xdr:from>
    <xdr:to>
      <xdr:col>0</xdr:col>
      <xdr:colOff>552450</xdr:colOff>
      <xdr:row>71</xdr:row>
      <xdr:rowOff>114300</xdr:rowOff>
    </xdr:to>
    <xdr:pic>
      <xdr:nvPicPr>
        <xdr:cNvPr id="1593689" name="Picture 217" descr="LOGO DGI">
          <a:extLst>
            <a:ext uri="{FF2B5EF4-FFF2-40B4-BE49-F238E27FC236}">
              <a16:creationId xmlns:a16="http://schemas.microsoft.com/office/drawing/2014/main" id="{3820DCBE-39C9-47D2-BD3E-457AED5E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5062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85</xdr:row>
      <xdr:rowOff>114300</xdr:rowOff>
    </xdr:from>
    <xdr:to>
      <xdr:col>0</xdr:col>
      <xdr:colOff>552450</xdr:colOff>
      <xdr:row>88</xdr:row>
      <xdr:rowOff>114300</xdr:rowOff>
    </xdr:to>
    <xdr:pic>
      <xdr:nvPicPr>
        <xdr:cNvPr id="1593690" name="Picture 218" descr="LOGO DGI">
          <a:extLst>
            <a:ext uri="{FF2B5EF4-FFF2-40B4-BE49-F238E27FC236}">
              <a16:creationId xmlns:a16="http://schemas.microsoft.com/office/drawing/2014/main" id="{31C5813C-6699-4674-B7AE-C2D93C6B3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541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114300</xdr:rowOff>
    </xdr:from>
    <xdr:to>
      <xdr:col>0</xdr:col>
      <xdr:colOff>552450</xdr:colOff>
      <xdr:row>105</xdr:row>
      <xdr:rowOff>114300</xdr:rowOff>
    </xdr:to>
    <xdr:pic>
      <xdr:nvPicPr>
        <xdr:cNvPr id="1593691" name="Picture 219" descr="LOGO DGI">
          <a:extLst>
            <a:ext uri="{FF2B5EF4-FFF2-40B4-BE49-F238E27FC236}">
              <a16:creationId xmlns:a16="http://schemas.microsoft.com/office/drawing/2014/main" id="{4E618423-B5AF-4BD7-958F-564E41A4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2021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119</xdr:row>
      <xdr:rowOff>114300</xdr:rowOff>
    </xdr:from>
    <xdr:to>
      <xdr:col>0</xdr:col>
      <xdr:colOff>552450</xdr:colOff>
      <xdr:row>122</xdr:row>
      <xdr:rowOff>114300</xdr:rowOff>
    </xdr:to>
    <xdr:pic>
      <xdr:nvPicPr>
        <xdr:cNvPr id="1593692" name="Picture 220" descr="LOGO DGI">
          <a:extLst>
            <a:ext uri="{FF2B5EF4-FFF2-40B4-BE49-F238E27FC236}">
              <a16:creationId xmlns:a16="http://schemas.microsoft.com/office/drawing/2014/main" id="{0E06B97D-B743-4565-AF5C-73FF4A6A6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050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136</xdr:row>
      <xdr:rowOff>114300</xdr:rowOff>
    </xdr:from>
    <xdr:to>
      <xdr:col>0</xdr:col>
      <xdr:colOff>552450</xdr:colOff>
      <xdr:row>139</xdr:row>
      <xdr:rowOff>114300</xdr:rowOff>
    </xdr:to>
    <xdr:pic>
      <xdr:nvPicPr>
        <xdr:cNvPr id="1593693" name="Picture 221" descr="LOGO DGI">
          <a:extLst>
            <a:ext uri="{FF2B5EF4-FFF2-40B4-BE49-F238E27FC236}">
              <a16:creationId xmlns:a16="http://schemas.microsoft.com/office/drawing/2014/main" id="{131DFDBE-EBF6-4144-9EAA-7B0CF1A5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8981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153</xdr:row>
      <xdr:rowOff>114300</xdr:rowOff>
    </xdr:from>
    <xdr:to>
      <xdr:col>0</xdr:col>
      <xdr:colOff>552450</xdr:colOff>
      <xdr:row>156</xdr:row>
      <xdr:rowOff>114300</xdr:rowOff>
    </xdr:to>
    <xdr:pic>
      <xdr:nvPicPr>
        <xdr:cNvPr id="1593694" name="Picture 222" descr="LOGO DGI">
          <a:extLst>
            <a:ext uri="{FF2B5EF4-FFF2-40B4-BE49-F238E27FC236}">
              <a16:creationId xmlns:a16="http://schemas.microsoft.com/office/drawing/2014/main" id="{F7BDAE26-ECF7-41DC-889F-9489D194C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7460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170</xdr:row>
      <xdr:rowOff>114300</xdr:rowOff>
    </xdr:from>
    <xdr:to>
      <xdr:col>0</xdr:col>
      <xdr:colOff>552450</xdr:colOff>
      <xdr:row>173</xdr:row>
      <xdr:rowOff>114300</xdr:rowOff>
    </xdr:to>
    <xdr:pic>
      <xdr:nvPicPr>
        <xdr:cNvPr id="1593695" name="Picture 223" descr="LOGO DGI">
          <a:extLst>
            <a:ext uri="{FF2B5EF4-FFF2-40B4-BE49-F238E27FC236}">
              <a16:creationId xmlns:a16="http://schemas.microsoft.com/office/drawing/2014/main" id="{6F221E57-5953-403E-9720-F21EF82B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940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187</xdr:row>
      <xdr:rowOff>114300</xdr:rowOff>
    </xdr:from>
    <xdr:to>
      <xdr:col>0</xdr:col>
      <xdr:colOff>552450</xdr:colOff>
      <xdr:row>190</xdr:row>
      <xdr:rowOff>114300</xdr:rowOff>
    </xdr:to>
    <xdr:pic>
      <xdr:nvPicPr>
        <xdr:cNvPr id="1593696" name="Picture 224" descr="LOGO DGI">
          <a:extLst>
            <a:ext uri="{FF2B5EF4-FFF2-40B4-BE49-F238E27FC236}">
              <a16:creationId xmlns:a16="http://schemas.microsoft.com/office/drawing/2014/main" id="{BBAC5ADB-E8E8-4749-B157-29E71E077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14420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204</xdr:row>
      <xdr:rowOff>114300</xdr:rowOff>
    </xdr:from>
    <xdr:to>
      <xdr:col>0</xdr:col>
      <xdr:colOff>552450</xdr:colOff>
      <xdr:row>207</xdr:row>
      <xdr:rowOff>114300</xdr:rowOff>
    </xdr:to>
    <xdr:pic>
      <xdr:nvPicPr>
        <xdr:cNvPr id="1593697" name="Picture 225" descr="LOGO DGI">
          <a:extLst>
            <a:ext uri="{FF2B5EF4-FFF2-40B4-BE49-F238E27FC236}">
              <a16:creationId xmlns:a16="http://schemas.microsoft.com/office/drawing/2014/main" id="{36807A28-F647-4D93-87A3-86316C359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221</xdr:row>
      <xdr:rowOff>114300</xdr:rowOff>
    </xdr:from>
    <xdr:to>
      <xdr:col>0</xdr:col>
      <xdr:colOff>552450</xdr:colOff>
      <xdr:row>224</xdr:row>
      <xdr:rowOff>114300</xdr:rowOff>
    </xdr:to>
    <xdr:pic>
      <xdr:nvPicPr>
        <xdr:cNvPr id="1593698" name="Picture 226" descr="LOGO DGI">
          <a:extLst>
            <a:ext uri="{FF2B5EF4-FFF2-40B4-BE49-F238E27FC236}">
              <a16:creationId xmlns:a16="http://schemas.microsoft.com/office/drawing/2014/main" id="{A94A82D8-F1A3-4CA2-B929-E9191189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13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238</xdr:row>
      <xdr:rowOff>114300</xdr:rowOff>
    </xdr:from>
    <xdr:to>
      <xdr:col>0</xdr:col>
      <xdr:colOff>552450</xdr:colOff>
      <xdr:row>241</xdr:row>
      <xdr:rowOff>114300</xdr:rowOff>
    </xdr:to>
    <xdr:pic>
      <xdr:nvPicPr>
        <xdr:cNvPr id="1593699" name="Picture 227" descr="LOGO DGI">
          <a:extLst>
            <a:ext uri="{FF2B5EF4-FFF2-40B4-BE49-F238E27FC236}">
              <a16:creationId xmlns:a16="http://schemas.microsoft.com/office/drawing/2014/main" id="{7824AEE5-8305-48BA-911F-ED92D117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99859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255</xdr:row>
      <xdr:rowOff>114300</xdr:rowOff>
    </xdr:from>
    <xdr:to>
      <xdr:col>0</xdr:col>
      <xdr:colOff>552450</xdr:colOff>
      <xdr:row>258</xdr:row>
      <xdr:rowOff>114300</xdr:rowOff>
    </xdr:to>
    <xdr:pic>
      <xdr:nvPicPr>
        <xdr:cNvPr id="1593700" name="Picture 228" descr="LOGO DGI">
          <a:extLst>
            <a:ext uri="{FF2B5EF4-FFF2-40B4-BE49-F238E27FC236}">
              <a16:creationId xmlns:a16="http://schemas.microsoft.com/office/drawing/2014/main" id="{48A354FD-AEEC-4F5A-A82F-7185C5BB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33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272</xdr:row>
      <xdr:rowOff>114300</xdr:rowOff>
    </xdr:from>
    <xdr:to>
      <xdr:col>0</xdr:col>
      <xdr:colOff>552450</xdr:colOff>
      <xdr:row>275</xdr:row>
      <xdr:rowOff>114300</xdr:rowOff>
    </xdr:to>
    <xdr:pic>
      <xdr:nvPicPr>
        <xdr:cNvPr id="1593701" name="Picture 229" descr="LOGO DGI">
          <a:extLst>
            <a:ext uri="{FF2B5EF4-FFF2-40B4-BE49-F238E27FC236}">
              <a16:creationId xmlns:a16="http://schemas.microsoft.com/office/drawing/2014/main" id="{13AF6EBA-9AE4-4549-890D-9EBAAAC5C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6819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289</xdr:row>
      <xdr:rowOff>114300</xdr:rowOff>
    </xdr:from>
    <xdr:to>
      <xdr:col>0</xdr:col>
      <xdr:colOff>552450</xdr:colOff>
      <xdr:row>292</xdr:row>
      <xdr:rowOff>114300</xdr:rowOff>
    </xdr:to>
    <xdr:pic>
      <xdr:nvPicPr>
        <xdr:cNvPr id="1593702" name="Picture 230" descr="LOGO DGI">
          <a:extLst>
            <a:ext uri="{FF2B5EF4-FFF2-40B4-BE49-F238E27FC236}">
              <a16:creationId xmlns:a16="http://schemas.microsoft.com/office/drawing/2014/main" id="{4D6EE91A-E8D9-4E06-BA97-7D0D0CE4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85298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306</xdr:row>
      <xdr:rowOff>114300</xdr:rowOff>
    </xdr:from>
    <xdr:to>
      <xdr:col>0</xdr:col>
      <xdr:colOff>552450</xdr:colOff>
      <xdr:row>309</xdr:row>
      <xdr:rowOff>114300</xdr:rowOff>
    </xdr:to>
    <xdr:pic>
      <xdr:nvPicPr>
        <xdr:cNvPr id="1593703" name="Picture 231" descr="LOGO DGI">
          <a:extLst>
            <a:ext uri="{FF2B5EF4-FFF2-40B4-BE49-F238E27FC236}">
              <a16:creationId xmlns:a16="http://schemas.microsoft.com/office/drawing/2014/main" id="{57CAB17E-8F13-4692-AC7A-1A3E3288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3778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323</xdr:row>
      <xdr:rowOff>114300</xdr:rowOff>
    </xdr:from>
    <xdr:to>
      <xdr:col>0</xdr:col>
      <xdr:colOff>552450</xdr:colOff>
      <xdr:row>326</xdr:row>
      <xdr:rowOff>114300</xdr:rowOff>
    </xdr:to>
    <xdr:pic>
      <xdr:nvPicPr>
        <xdr:cNvPr id="1593704" name="Picture 232" descr="LOGO DGI">
          <a:extLst>
            <a:ext uri="{FF2B5EF4-FFF2-40B4-BE49-F238E27FC236}">
              <a16:creationId xmlns:a16="http://schemas.microsoft.com/office/drawing/2014/main" id="{8E8E59F8-445D-4813-8BA9-72E9D2542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42258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340</xdr:row>
      <xdr:rowOff>114300</xdr:rowOff>
    </xdr:from>
    <xdr:to>
      <xdr:col>0</xdr:col>
      <xdr:colOff>552450</xdr:colOff>
      <xdr:row>343</xdr:row>
      <xdr:rowOff>114300</xdr:rowOff>
    </xdr:to>
    <xdr:pic>
      <xdr:nvPicPr>
        <xdr:cNvPr id="1593705" name="Picture 233" descr="LOGO DGI">
          <a:extLst>
            <a:ext uri="{FF2B5EF4-FFF2-40B4-BE49-F238E27FC236}">
              <a16:creationId xmlns:a16="http://schemas.microsoft.com/office/drawing/2014/main" id="{4347046B-C946-436D-8AE4-47EE4D220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0738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357</xdr:row>
      <xdr:rowOff>114300</xdr:rowOff>
    </xdr:from>
    <xdr:to>
      <xdr:col>0</xdr:col>
      <xdr:colOff>552450</xdr:colOff>
      <xdr:row>360</xdr:row>
      <xdr:rowOff>114300</xdr:rowOff>
    </xdr:to>
    <xdr:pic>
      <xdr:nvPicPr>
        <xdr:cNvPr id="1593706" name="Picture 234" descr="LOGO DGI">
          <a:extLst>
            <a:ext uri="{FF2B5EF4-FFF2-40B4-BE49-F238E27FC236}">
              <a16:creationId xmlns:a16="http://schemas.microsoft.com/office/drawing/2014/main" id="{6D52586D-0979-43CC-B805-EE58552D9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99217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374</xdr:row>
      <xdr:rowOff>114300</xdr:rowOff>
    </xdr:from>
    <xdr:to>
      <xdr:col>0</xdr:col>
      <xdr:colOff>552450</xdr:colOff>
      <xdr:row>377</xdr:row>
      <xdr:rowOff>114300</xdr:rowOff>
    </xdr:to>
    <xdr:pic>
      <xdr:nvPicPr>
        <xdr:cNvPr id="1593707" name="Picture 235" descr="LOGO DGI">
          <a:extLst>
            <a:ext uri="{FF2B5EF4-FFF2-40B4-BE49-F238E27FC236}">
              <a16:creationId xmlns:a16="http://schemas.microsoft.com/office/drawing/2014/main" id="{5B746F2B-A8D1-4C34-A36A-D3FA392D5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7697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391</xdr:row>
      <xdr:rowOff>114300</xdr:rowOff>
    </xdr:from>
    <xdr:to>
      <xdr:col>0</xdr:col>
      <xdr:colOff>552450</xdr:colOff>
      <xdr:row>394</xdr:row>
      <xdr:rowOff>114300</xdr:rowOff>
    </xdr:to>
    <xdr:pic>
      <xdr:nvPicPr>
        <xdr:cNvPr id="1593708" name="Picture 236" descr="LOGO DGI">
          <a:extLst>
            <a:ext uri="{FF2B5EF4-FFF2-40B4-BE49-F238E27FC236}">
              <a16:creationId xmlns:a16="http://schemas.microsoft.com/office/drawing/2014/main" id="{1F3215AE-A082-4A8A-971F-A1485684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6177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408</xdr:row>
      <xdr:rowOff>114300</xdr:rowOff>
    </xdr:from>
    <xdr:to>
      <xdr:col>0</xdr:col>
      <xdr:colOff>552450</xdr:colOff>
      <xdr:row>411</xdr:row>
      <xdr:rowOff>114300</xdr:rowOff>
    </xdr:to>
    <xdr:pic>
      <xdr:nvPicPr>
        <xdr:cNvPr id="1593709" name="Picture 237" descr="LOGO DGI">
          <a:extLst>
            <a:ext uri="{FF2B5EF4-FFF2-40B4-BE49-F238E27FC236}">
              <a16:creationId xmlns:a16="http://schemas.microsoft.com/office/drawing/2014/main" id="{670D429A-4863-44CD-830A-F293AB294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84657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425</xdr:row>
      <xdr:rowOff>114300</xdr:rowOff>
    </xdr:from>
    <xdr:to>
      <xdr:col>0</xdr:col>
      <xdr:colOff>552450</xdr:colOff>
      <xdr:row>428</xdr:row>
      <xdr:rowOff>114300</xdr:rowOff>
    </xdr:to>
    <xdr:pic>
      <xdr:nvPicPr>
        <xdr:cNvPr id="1593710" name="Picture 238" descr="LOGO DGI">
          <a:extLst>
            <a:ext uri="{FF2B5EF4-FFF2-40B4-BE49-F238E27FC236}">
              <a16:creationId xmlns:a16="http://schemas.microsoft.com/office/drawing/2014/main" id="{F49FC7E2-59C6-4C70-925E-360E981D8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313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442</xdr:row>
      <xdr:rowOff>114300</xdr:rowOff>
    </xdr:from>
    <xdr:to>
      <xdr:col>0</xdr:col>
      <xdr:colOff>552450</xdr:colOff>
      <xdr:row>445</xdr:row>
      <xdr:rowOff>114300</xdr:rowOff>
    </xdr:to>
    <xdr:pic>
      <xdr:nvPicPr>
        <xdr:cNvPr id="1593711" name="Picture 239" descr="LOGO DGI">
          <a:extLst>
            <a:ext uri="{FF2B5EF4-FFF2-40B4-BE49-F238E27FC236}">
              <a16:creationId xmlns:a16="http://schemas.microsoft.com/office/drawing/2014/main" id="{E327A481-0F14-4184-AC33-0B6F51AAA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1616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7414" name="CommandButton1" hidden="1">
          <a:extLst>
            <a:ext uri="{63B3BB69-23CF-44E3-9099-C40C66FF867C}">
              <a14:compatExt xmlns:a14="http://schemas.microsoft.com/office/drawing/2010/main" spid="_x0000_s17414"/>
            </a:ext>
            <a:ext uri="{FF2B5EF4-FFF2-40B4-BE49-F238E27FC236}">
              <a16:creationId xmlns:a16="http://schemas.microsoft.com/office/drawing/2014/main" id="{F0AC7D48-DAF3-40FB-86A7-2E5DE4B4EEF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17415" name="CommandButton2" hidden="1">
          <a:extLst>
            <a:ext uri="{63B3BB69-23CF-44E3-9099-C40C66FF867C}">
              <a14:compatExt xmlns:a14="http://schemas.microsoft.com/office/drawing/2010/main" spid="_x0000_s17415"/>
            </a:ext>
            <a:ext uri="{FF2B5EF4-FFF2-40B4-BE49-F238E27FC236}">
              <a16:creationId xmlns:a16="http://schemas.microsoft.com/office/drawing/2014/main" id="{8F1D6BD8-66CA-4831-8476-F3EF87B057F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2</xdr:row>
      <xdr:rowOff>0</xdr:rowOff>
    </xdr:from>
    <xdr:to>
      <xdr:col>10</xdr:col>
      <xdr:colOff>485775</xdr:colOff>
      <xdr:row>5</xdr:row>
      <xdr:rowOff>76200</xdr:rowOff>
    </xdr:to>
    <xdr:sp macro="" textlink="">
      <xdr:nvSpPr>
        <xdr:cNvPr id="36865" name="CommandButton2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B54A8032-F612-4277-B8C4-24B6F45C44C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685800</xdr:colOff>
      <xdr:row>2</xdr:row>
      <xdr:rowOff>0</xdr:rowOff>
    </xdr:from>
    <xdr:to>
      <xdr:col>12</xdr:col>
      <xdr:colOff>514350</xdr:colOff>
      <xdr:row>5</xdr:row>
      <xdr:rowOff>104775</xdr:rowOff>
    </xdr:to>
    <xdr:sp macro="" textlink="">
      <xdr:nvSpPr>
        <xdr:cNvPr id="36866" name="CommandButton1" hidden="1">
          <a:extLst>
            <a:ext uri="{63B3BB69-23CF-44E3-9099-C40C66FF867C}">
              <a14:compatExt xmlns:a14="http://schemas.microsoft.com/office/drawing/2010/main" spid="_x0000_s36866"/>
            </a:ext>
            <a:ext uri="{FF2B5EF4-FFF2-40B4-BE49-F238E27FC236}">
              <a16:creationId xmlns:a16="http://schemas.microsoft.com/office/drawing/2014/main" id="{9E45E6E4-1FA8-4252-B76D-9B877DBD94D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381000</xdr:colOff>
      <xdr:row>5</xdr:row>
      <xdr:rowOff>133350</xdr:rowOff>
    </xdr:from>
    <xdr:to>
      <xdr:col>10</xdr:col>
      <xdr:colOff>495300</xdr:colOff>
      <xdr:row>9</xdr:row>
      <xdr:rowOff>66675</xdr:rowOff>
    </xdr:to>
    <xdr:sp macro="" textlink="">
      <xdr:nvSpPr>
        <xdr:cNvPr id="36867" name="CommandButton3" hidden="1">
          <a:extLst>
            <a:ext uri="{63B3BB69-23CF-44E3-9099-C40C66FF867C}">
              <a14:compatExt xmlns:a14="http://schemas.microsoft.com/office/drawing/2010/main" spid="_x0000_s36867"/>
            </a:ext>
            <a:ext uri="{FF2B5EF4-FFF2-40B4-BE49-F238E27FC236}">
              <a16:creationId xmlns:a16="http://schemas.microsoft.com/office/drawing/2014/main" id="{36E8BB8F-6A03-4D79-9B1B-6F711E34A34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704850</xdr:colOff>
      <xdr:row>5</xdr:row>
      <xdr:rowOff>152400</xdr:rowOff>
    </xdr:from>
    <xdr:to>
      <xdr:col>12</xdr:col>
      <xdr:colOff>542925</xdr:colOff>
      <xdr:row>9</xdr:row>
      <xdr:rowOff>66675</xdr:rowOff>
    </xdr:to>
    <xdr:sp macro="" textlink="">
      <xdr:nvSpPr>
        <xdr:cNvPr id="36868" name="CommandButton4" hidden="1">
          <a:extLst>
            <a:ext uri="{63B3BB69-23CF-44E3-9099-C40C66FF867C}">
              <a14:compatExt xmlns:a14="http://schemas.microsoft.com/office/drawing/2010/main" spid="_x0000_s36868"/>
            </a:ext>
            <a:ext uri="{FF2B5EF4-FFF2-40B4-BE49-F238E27FC236}">
              <a16:creationId xmlns:a16="http://schemas.microsoft.com/office/drawing/2014/main" id="{82211DDB-7363-43AB-96DA-206D8C5D03A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381000</xdr:colOff>
      <xdr:row>73</xdr:row>
      <xdr:rowOff>133350</xdr:rowOff>
    </xdr:from>
    <xdr:to>
      <xdr:col>10</xdr:col>
      <xdr:colOff>495300</xdr:colOff>
      <xdr:row>77</xdr:row>
      <xdr:rowOff>66675</xdr:rowOff>
    </xdr:to>
    <xdr:pic>
      <xdr:nvPicPr>
        <xdr:cNvPr id="37485" name="CommandButton3">
          <a:extLst>
            <a:ext uri="{FF2B5EF4-FFF2-40B4-BE49-F238E27FC236}">
              <a16:creationId xmlns:a16="http://schemas.microsoft.com/office/drawing/2014/main" id="{02D7D548-C412-408B-B0E6-902B53817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983075"/>
          <a:ext cx="1066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11</xdr:col>
      <xdr:colOff>704850</xdr:colOff>
      <xdr:row>73</xdr:row>
      <xdr:rowOff>152400</xdr:rowOff>
    </xdr:from>
    <xdr:to>
      <xdr:col>12</xdr:col>
      <xdr:colOff>542925</xdr:colOff>
      <xdr:row>77</xdr:row>
      <xdr:rowOff>66675</xdr:rowOff>
    </xdr:to>
    <xdr:pic>
      <xdr:nvPicPr>
        <xdr:cNvPr id="37486" name="CommandButton4">
          <a:extLst>
            <a:ext uri="{FF2B5EF4-FFF2-40B4-BE49-F238E27FC236}">
              <a16:creationId xmlns:a16="http://schemas.microsoft.com/office/drawing/2014/main" id="{CB2E8B9E-5C96-491C-8405-01C3C7D4E8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7002125"/>
          <a:ext cx="10001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28575</xdr:rowOff>
    </xdr:from>
    <xdr:to>
      <xdr:col>0</xdr:col>
      <xdr:colOff>695325</xdr:colOff>
      <xdr:row>3</xdr:row>
      <xdr:rowOff>28575</xdr:rowOff>
    </xdr:to>
    <xdr:pic>
      <xdr:nvPicPr>
        <xdr:cNvPr id="1580799" name="Picture 1" descr="LOGO DGI">
          <a:extLst>
            <a:ext uri="{FF2B5EF4-FFF2-40B4-BE49-F238E27FC236}">
              <a16:creationId xmlns:a16="http://schemas.microsoft.com/office/drawing/2014/main" id="{2DF3F105-71C5-457A-BCAE-0751B36CE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0" name="Picture 71" descr="LOGO DGI">
          <a:extLst>
            <a:ext uri="{FF2B5EF4-FFF2-40B4-BE49-F238E27FC236}">
              <a16:creationId xmlns:a16="http://schemas.microsoft.com/office/drawing/2014/main" id="{571C2854-2559-4880-B293-DF24D9716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1" name="Picture 72" descr="LOGO DGI">
          <a:extLst>
            <a:ext uri="{FF2B5EF4-FFF2-40B4-BE49-F238E27FC236}">
              <a16:creationId xmlns:a16="http://schemas.microsoft.com/office/drawing/2014/main" id="{D58668E6-6174-4235-BA2D-26080F4D4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2" name="Picture 73" descr="LOGO DGI">
          <a:extLst>
            <a:ext uri="{FF2B5EF4-FFF2-40B4-BE49-F238E27FC236}">
              <a16:creationId xmlns:a16="http://schemas.microsoft.com/office/drawing/2014/main" id="{2CF391BD-95F4-499A-8433-86472C87D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3" name="Picture 74" descr="LOGO DGI">
          <a:extLst>
            <a:ext uri="{FF2B5EF4-FFF2-40B4-BE49-F238E27FC236}">
              <a16:creationId xmlns:a16="http://schemas.microsoft.com/office/drawing/2014/main" id="{B36E1AF3-D228-4E17-B566-585C37CBC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4" name="Picture 75" descr="LOGO DGI">
          <a:extLst>
            <a:ext uri="{FF2B5EF4-FFF2-40B4-BE49-F238E27FC236}">
              <a16:creationId xmlns:a16="http://schemas.microsoft.com/office/drawing/2014/main" id="{9D007520-8B1A-407E-AC40-BABA0841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5" name="Picture 76" descr="LOGO DGI">
          <a:extLst>
            <a:ext uri="{FF2B5EF4-FFF2-40B4-BE49-F238E27FC236}">
              <a16:creationId xmlns:a16="http://schemas.microsoft.com/office/drawing/2014/main" id="{164E350E-EBD4-4A43-B888-6FF9F4723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6" name="Picture 77" descr="LOGO DGI">
          <a:extLst>
            <a:ext uri="{FF2B5EF4-FFF2-40B4-BE49-F238E27FC236}">
              <a16:creationId xmlns:a16="http://schemas.microsoft.com/office/drawing/2014/main" id="{4117E83E-BF9B-4574-B4A4-2CF3AFA6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7" name="Picture 78" descr="LOGO DGI">
          <a:extLst>
            <a:ext uri="{FF2B5EF4-FFF2-40B4-BE49-F238E27FC236}">
              <a16:creationId xmlns:a16="http://schemas.microsoft.com/office/drawing/2014/main" id="{9D383DC5-FCD1-4019-8C36-DB49A87F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8" name="Picture 79" descr="LOGO DGI">
          <a:extLst>
            <a:ext uri="{FF2B5EF4-FFF2-40B4-BE49-F238E27FC236}">
              <a16:creationId xmlns:a16="http://schemas.microsoft.com/office/drawing/2014/main" id="{561B933A-D559-4F4B-BABC-8B0B54851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09" name="Picture 80" descr="LOGO DGI">
          <a:extLst>
            <a:ext uri="{FF2B5EF4-FFF2-40B4-BE49-F238E27FC236}">
              <a16:creationId xmlns:a16="http://schemas.microsoft.com/office/drawing/2014/main" id="{834F7426-FD3C-4B26-9AA8-E08C5BECE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0" name="Picture 81" descr="LOGO DGI">
          <a:extLst>
            <a:ext uri="{FF2B5EF4-FFF2-40B4-BE49-F238E27FC236}">
              <a16:creationId xmlns:a16="http://schemas.microsoft.com/office/drawing/2014/main" id="{99B153B4-9C45-4A5B-9931-2DEB2D7D4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1" name="Picture 82" descr="LOGO DGI">
          <a:extLst>
            <a:ext uri="{FF2B5EF4-FFF2-40B4-BE49-F238E27FC236}">
              <a16:creationId xmlns:a16="http://schemas.microsoft.com/office/drawing/2014/main" id="{EA8B4E98-1146-4C83-A858-58CF1E33E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2" name="Picture 83" descr="LOGO DGI">
          <a:extLst>
            <a:ext uri="{FF2B5EF4-FFF2-40B4-BE49-F238E27FC236}">
              <a16:creationId xmlns:a16="http://schemas.microsoft.com/office/drawing/2014/main" id="{A9CCB933-3561-4E79-8E32-ED13D3C4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3" name="Picture 84" descr="LOGO DGI">
          <a:extLst>
            <a:ext uri="{FF2B5EF4-FFF2-40B4-BE49-F238E27FC236}">
              <a16:creationId xmlns:a16="http://schemas.microsoft.com/office/drawing/2014/main" id="{FD881491-1684-4D7A-8B12-F23D28DE4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4" name="Picture 85" descr="LOGO DGI">
          <a:extLst>
            <a:ext uri="{FF2B5EF4-FFF2-40B4-BE49-F238E27FC236}">
              <a16:creationId xmlns:a16="http://schemas.microsoft.com/office/drawing/2014/main" id="{D153ACDA-F3F1-4616-BF7F-8A3786A76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5" name="Picture 86" descr="LOGO DGI">
          <a:extLst>
            <a:ext uri="{FF2B5EF4-FFF2-40B4-BE49-F238E27FC236}">
              <a16:creationId xmlns:a16="http://schemas.microsoft.com/office/drawing/2014/main" id="{9CF7F624-65BF-46D6-8DFD-15CBA5C6C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6" name="Picture 87" descr="LOGO DGI">
          <a:extLst>
            <a:ext uri="{FF2B5EF4-FFF2-40B4-BE49-F238E27FC236}">
              <a16:creationId xmlns:a16="http://schemas.microsoft.com/office/drawing/2014/main" id="{B2336B55-CFA2-4AA2-B1AE-9EE4AA82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7" name="Picture 88" descr="LOGO DGI">
          <a:extLst>
            <a:ext uri="{FF2B5EF4-FFF2-40B4-BE49-F238E27FC236}">
              <a16:creationId xmlns:a16="http://schemas.microsoft.com/office/drawing/2014/main" id="{8865F888-9F71-41DA-BF82-EC4851DF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8" name="Picture 89" descr="LOGO DGI">
          <a:extLst>
            <a:ext uri="{FF2B5EF4-FFF2-40B4-BE49-F238E27FC236}">
              <a16:creationId xmlns:a16="http://schemas.microsoft.com/office/drawing/2014/main" id="{D88CAE4C-33F5-451D-B5D6-238C72CC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19" name="Picture 90" descr="LOGO DGI">
          <a:extLst>
            <a:ext uri="{FF2B5EF4-FFF2-40B4-BE49-F238E27FC236}">
              <a16:creationId xmlns:a16="http://schemas.microsoft.com/office/drawing/2014/main" id="{204ABC7A-FA9E-40B6-AA05-42D254FAE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0" name="Picture 91" descr="LOGO DGI">
          <a:extLst>
            <a:ext uri="{FF2B5EF4-FFF2-40B4-BE49-F238E27FC236}">
              <a16:creationId xmlns:a16="http://schemas.microsoft.com/office/drawing/2014/main" id="{001C0806-2CD0-4BF0-950F-25F31114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1" name="Picture 92" descr="LOGO DGI">
          <a:extLst>
            <a:ext uri="{FF2B5EF4-FFF2-40B4-BE49-F238E27FC236}">
              <a16:creationId xmlns:a16="http://schemas.microsoft.com/office/drawing/2014/main" id="{24B74416-0E72-4575-9A1E-8023CD41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2" name="Picture 93" descr="LOGO DGI">
          <a:extLst>
            <a:ext uri="{FF2B5EF4-FFF2-40B4-BE49-F238E27FC236}">
              <a16:creationId xmlns:a16="http://schemas.microsoft.com/office/drawing/2014/main" id="{7241D777-95FF-4174-A1A7-E463534B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3" name="Picture 94" descr="LOGO DGI">
          <a:extLst>
            <a:ext uri="{FF2B5EF4-FFF2-40B4-BE49-F238E27FC236}">
              <a16:creationId xmlns:a16="http://schemas.microsoft.com/office/drawing/2014/main" id="{7F2B44DE-0A89-4483-8846-623D248D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4" name="Picture 95" descr="LOGO DGI">
          <a:extLst>
            <a:ext uri="{FF2B5EF4-FFF2-40B4-BE49-F238E27FC236}">
              <a16:creationId xmlns:a16="http://schemas.microsoft.com/office/drawing/2014/main" id="{5C7B72DC-F613-4873-BC31-6927CC83D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5" name="Picture 96" descr="LOGO DGI">
          <a:extLst>
            <a:ext uri="{FF2B5EF4-FFF2-40B4-BE49-F238E27FC236}">
              <a16:creationId xmlns:a16="http://schemas.microsoft.com/office/drawing/2014/main" id="{55970179-2743-4F44-A34B-9E5C431C6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6" name="Picture 97" descr="LOGO DGI">
          <a:extLst>
            <a:ext uri="{FF2B5EF4-FFF2-40B4-BE49-F238E27FC236}">
              <a16:creationId xmlns:a16="http://schemas.microsoft.com/office/drawing/2014/main" id="{20D2F680-4026-49A7-97CF-A38C0E2D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7" name="Picture 98" descr="LOGO DGI">
          <a:extLst>
            <a:ext uri="{FF2B5EF4-FFF2-40B4-BE49-F238E27FC236}">
              <a16:creationId xmlns:a16="http://schemas.microsoft.com/office/drawing/2014/main" id="{A1EDAC18-2336-4190-8FFF-E8BA8119E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8" name="Picture 99" descr="LOGO DGI">
          <a:extLst>
            <a:ext uri="{FF2B5EF4-FFF2-40B4-BE49-F238E27FC236}">
              <a16:creationId xmlns:a16="http://schemas.microsoft.com/office/drawing/2014/main" id="{FD2EC10B-C6DC-4024-B20D-2860AE996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29" name="Picture 100" descr="LOGO DGI">
          <a:extLst>
            <a:ext uri="{FF2B5EF4-FFF2-40B4-BE49-F238E27FC236}">
              <a16:creationId xmlns:a16="http://schemas.microsoft.com/office/drawing/2014/main" id="{11031967-F0B0-4367-AD3B-BEE589AA3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0" name="Picture 101" descr="LOGO DGI">
          <a:extLst>
            <a:ext uri="{FF2B5EF4-FFF2-40B4-BE49-F238E27FC236}">
              <a16:creationId xmlns:a16="http://schemas.microsoft.com/office/drawing/2014/main" id="{A790652C-9D7F-4F86-8898-B866E0F9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1" name="Picture 102" descr="LOGO DGI">
          <a:extLst>
            <a:ext uri="{FF2B5EF4-FFF2-40B4-BE49-F238E27FC236}">
              <a16:creationId xmlns:a16="http://schemas.microsoft.com/office/drawing/2014/main" id="{B3ADC528-4F90-4D4E-91DC-93AAB0B18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2" name="Picture 103" descr="LOGO DGI">
          <a:extLst>
            <a:ext uri="{FF2B5EF4-FFF2-40B4-BE49-F238E27FC236}">
              <a16:creationId xmlns:a16="http://schemas.microsoft.com/office/drawing/2014/main" id="{AEACCB0B-F2AD-4E23-B243-2911ED8D4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3" name="Picture 104" descr="LOGO DGI">
          <a:extLst>
            <a:ext uri="{FF2B5EF4-FFF2-40B4-BE49-F238E27FC236}">
              <a16:creationId xmlns:a16="http://schemas.microsoft.com/office/drawing/2014/main" id="{DBBC65E5-B104-44A2-9C40-B1302922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4" name="Picture 105" descr="LOGO DGI">
          <a:extLst>
            <a:ext uri="{FF2B5EF4-FFF2-40B4-BE49-F238E27FC236}">
              <a16:creationId xmlns:a16="http://schemas.microsoft.com/office/drawing/2014/main" id="{AFD0BB6E-070D-4F0D-87F4-E0E4222E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5" name="Picture 106" descr="LOGO DGI">
          <a:extLst>
            <a:ext uri="{FF2B5EF4-FFF2-40B4-BE49-F238E27FC236}">
              <a16:creationId xmlns:a16="http://schemas.microsoft.com/office/drawing/2014/main" id="{5C7D07AB-28EB-403D-B060-EFBBF5C3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6" name="Picture 107" descr="LOGO DGI">
          <a:extLst>
            <a:ext uri="{FF2B5EF4-FFF2-40B4-BE49-F238E27FC236}">
              <a16:creationId xmlns:a16="http://schemas.microsoft.com/office/drawing/2014/main" id="{B4ECA1A2-89B9-4C6A-8407-25BDB2F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7" name="Picture 108" descr="LOGO DGI">
          <a:extLst>
            <a:ext uri="{FF2B5EF4-FFF2-40B4-BE49-F238E27FC236}">
              <a16:creationId xmlns:a16="http://schemas.microsoft.com/office/drawing/2014/main" id="{615E20CF-30AA-4DFB-9A3F-9F244364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8" name="Picture 109" descr="LOGO DGI">
          <a:extLst>
            <a:ext uri="{FF2B5EF4-FFF2-40B4-BE49-F238E27FC236}">
              <a16:creationId xmlns:a16="http://schemas.microsoft.com/office/drawing/2014/main" id="{3AD9DD07-9F4C-4285-B091-E7EE4622B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39" name="Picture 110" descr="LOGO DGI">
          <a:extLst>
            <a:ext uri="{FF2B5EF4-FFF2-40B4-BE49-F238E27FC236}">
              <a16:creationId xmlns:a16="http://schemas.microsoft.com/office/drawing/2014/main" id="{24D76BD6-878F-4B15-8C4C-5DA3D411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40" name="Picture 111" descr="LOGO DGI">
          <a:extLst>
            <a:ext uri="{FF2B5EF4-FFF2-40B4-BE49-F238E27FC236}">
              <a16:creationId xmlns:a16="http://schemas.microsoft.com/office/drawing/2014/main" id="{43831306-A96D-4852-A148-825EF4DE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41" name="Picture 112" descr="LOGO DGI">
          <a:extLst>
            <a:ext uri="{FF2B5EF4-FFF2-40B4-BE49-F238E27FC236}">
              <a16:creationId xmlns:a16="http://schemas.microsoft.com/office/drawing/2014/main" id="{61DCA331-81EB-4F75-BB37-24EB0A434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42" name="Picture 113" descr="LOGO DGI">
          <a:extLst>
            <a:ext uri="{FF2B5EF4-FFF2-40B4-BE49-F238E27FC236}">
              <a16:creationId xmlns:a16="http://schemas.microsoft.com/office/drawing/2014/main" id="{79B5D173-55A3-4408-B53F-850B1FEB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80843" name="Picture 114" descr="LOGO DGI">
          <a:extLst>
            <a:ext uri="{FF2B5EF4-FFF2-40B4-BE49-F238E27FC236}">
              <a16:creationId xmlns:a16="http://schemas.microsoft.com/office/drawing/2014/main" id="{1C249CD5-2479-446A-AE35-1DECDBE1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4" name="Picture 115" descr="LOGO DGI">
          <a:extLst>
            <a:ext uri="{FF2B5EF4-FFF2-40B4-BE49-F238E27FC236}">
              <a16:creationId xmlns:a16="http://schemas.microsoft.com/office/drawing/2014/main" id="{27391E9F-1DE2-4737-B5D2-1246117AB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5" name="Picture 116" descr="LOGO DGI">
          <a:extLst>
            <a:ext uri="{FF2B5EF4-FFF2-40B4-BE49-F238E27FC236}">
              <a16:creationId xmlns:a16="http://schemas.microsoft.com/office/drawing/2014/main" id="{E2DE95E1-21E0-48A3-BD8E-A21DB30E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6" name="Picture 117" descr="LOGO DGI">
          <a:extLst>
            <a:ext uri="{FF2B5EF4-FFF2-40B4-BE49-F238E27FC236}">
              <a16:creationId xmlns:a16="http://schemas.microsoft.com/office/drawing/2014/main" id="{428D9FAA-FF4F-40C6-9CB9-FBD7AAEE4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7" name="Picture 118" descr="LOGO DGI">
          <a:extLst>
            <a:ext uri="{FF2B5EF4-FFF2-40B4-BE49-F238E27FC236}">
              <a16:creationId xmlns:a16="http://schemas.microsoft.com/office/drawing/2014/main" id="{61BB46AC-6D78-4925-87B3-0362219E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8" name="Picture 119" descr="LOGO DGI">
          <a:extLst>
            <a:ext uri="{FF2B5EF4-FFF2-40B4-BE49-F238E27FC236}">
              <a16:creationId xmlns:a16="http://schemas.microsoft.com/office/drawing/2014/main" id="{DB135861-DCF2-463F-AF39-CE1A9D9F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49" name="Picture 120" descr="LOGO DGI">
          <a:extLst>
            <a:ext uri="{FF2B5EF4-FFF2-40B4-BE49-F238E27FC236}">
              <a16:creationId xmlns:a16="http://schemas.microsoft.com/office/drawing/2014/main" id="{815772C1-61F1-4C72-B151-1F29E8568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0" name="Picture 121" descr="LOGO DGI">
          <a:extLst>
            <a:ext uri="{FF2B5EF4-FFF2-40B4-BE49-F238E27FC236}">
              <a16:creationId xmlns:a16="http://schemas.microsoft.com/office/drawing/2014/main" id="{70DD2C7B-3D43-4685-BCBE-4556449F3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1" name="Picture 122" descr="LOGO DGI">
          <a:extLst>
            <a:ext uri="{FF2B5EF4-FFF2-40B4-BE49-F238E27FC236}">
              <a16:creationId xmlns:a16="http://schemas.microsoft.com/office/drawing/2014/main" id="{D7CC039C-BDE6-4EB2-9A7E-40331F8F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2" name="Picture 123" descr="LOGO DGI">
          <a:extLst>
            <a:ext uri="{FF2B5EF4-FFF2-40B4-BE49-F238E27FC236}">
              <a16:creationId xmlns:a16="http://schemas.microsoft.com/office/drawing/2014/main" id="{6B83AC7B-8700-4396-9A25-ADCAEE05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3" name="Picture 124" descr="LOGO DGI">
          <a:extLst>
            <a:ext uri="{FF2B5EF4-FFF2-40B4-BE49-F238E27FC236}">
              <a16:creationId xmlns:a16="http://schemas.microsoft.com/office/drawing/2014/main" id="{3824CEE5-AAE7-4238-B276-0B8C76CB8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4" name="Picture 125" descr="LOGO DGI">
          <a:extLst>
            <a:ext uri="{FF2B5EF4-FFF2-40B4-BE49-F238E27FC236}">
              <a16:creationId xmlns:a16="http://schemas.microsoft.com/office/drawing/2014/main" id="{07CCC3B4-BBA8-4A10-835A-2F34FCCB0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5" name="Picture 126" descr="LOGO DGI">
          <a:extLst>
            <a:ext uri="{FF2B5EF4-FFF2-40B4-BE49-F238E27FC236}">
              <a16:creationId xmlns:a16="http://schemas.microsoft.com/office/drawing/2014/main" id="{0E901645-6F36-4864-B084-96CDEE55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6" name="Picture 127" descr="LOGO DGI">
          <a:extLst>
            <a:ext uri="{FF2B5EF4-FFF2-40B4-BE49-F238E27FC236}">
              <a16:creationId xmlns:a16="http://schemas.microsoft.com/office/drawing/2014/main" id="{65E96C15-9F29-4732-B406-FCE5CADE0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80857" name="Picture 128" descr="LOGO DGI">
          <a:extLst>
            <a:ext uri="{FF2B5EF4-FFF2-40B4-BE49-F238E27FC236}">
              <a16:creationId xmlns:a16="http://schemas.microsoft.com/office/drawing/2014/main" id="{974D4BBA-896A-4C1D-B448-6E05592B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58" name="Picture 129" descr="LOGO DGI">
          <a:extLst>
            <a:ext uri="{FF2B5EF4-FFF2-40B4-BE49-F238E27FC236}">
              <a16:creationId xmlns:a16="http://schemas.microsoft.com/office/drawing/2014/main" id="{62302D2A-4834-4057-B431-C92DE95C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59" name="Picture 130" descr="LOGO DGI">
          <a:extLst>
            <a:ext uri="{FF2B5EF4-FFF2-40B4-BE49-F238E27FC236}">
              <a16:creationId xmlns:a16="http://schemas.microsoft.com/office/drawing/2014/main" id="{A637C8CD-B4DD-442F-8A3B-2223036D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0" name="Picture 131" descr="LOGO DGI">
          <a:extLst>
            <a:ext uri="{FF2B5EF4-FFF2-40B4-BE49-F238E27FC236}">
              <a16:creationId xmlns:a16="http://schemas.microsoft.com/office/drawing/2014/main" id="{80035F78-5699-4B03-A051-92D57651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1" name="Picture 132" descr="LOGO DGI">
          <a:extLst>
            <a:ext uri="{FF2B5EF4-FFF2-40B4-BE49-F238E27FC236}">
              <a16:creationId xmlns:a16="http://schemas.microsoft.com/office/drawing/2014/main" id="{D7D9B9DF-B58E-4FA2-B551-C6E490DDA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2" name="Picture 133" descr="LOGO DGI">
          <a:extLst>
            <a:ext uri="{FF2B5EF4-FFF2-40B4-BE49-F238E27FC236}">
              <a16:creationId xmlns:a16="http://schemas.microsoft.com/office/drawing/2014/main" id="{07EACDE3-95DB-48D7-8360-7A0C3A9E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3" name="Picture 134" descr="LOGO DGI">
          <a:extLst>
            <a:ext uri="{FF2B5EF4-FFF2-40B4-BE49-F238E27FC236}">
              <a16:creationId xmlns:a16="http://schemas.microsoft.com/office/drawing/2014/main" id="{EDC0E617-3C4B-47F7-A15D-1FA77E74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4" name="Picture 135" descr="LOGO DGI">
          <a:extLst>
            <a:ext uri="{FF2B5EF4-FFF2-40B4-BE49-F238E27FC236}">
              <a16:creationId xmlns:a16="http://schemas.microsoft.com/office/drawing/2014/main" id="{1177350F-A2B4-48CA-A998-9B1D667F3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5" name="Picture 136" descr="LOGO DGI">
          <a:extLst>
            <a:ext uri="{FF2B5EF4-FFF2-40B4-BE49-F238E27FC236}">
              <a16:creationId xmlns:a16="http://schemas.microsoft.com/office/drawing/2014/main" id="{8279FAEE-DE44-4B8C-B4E7-94C26B3A9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6" name="Picture 137" descr="LOGO DGI">
          <a:extLst>
            <a:ext uri="{FF2B5EF4-FFF2-40B4-BE49-F238E27FC236}">
              <a16:creationId xmlns:a16="http://schemas.microsoft.com/office/drawing/2014/main" id="{C52B5A71-E711-48F7-8BDB-901580436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7" name="Picture 138" descr="LOGO DGI">
          <a:extLst>
            <a:ext uri="{FF2B5EF4-FFF2-40B4-BE49-F238E27FC236}">
              <a16:creationId xmlns:a16="http://schemas.microsoft.com/office/drawing/2014/main" id="{1BCE81D9-1FDC-4A22-9CFB-23B91DE1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8" name="Picture 139" descr="LOGO DGI">
          <a:extLst>
            <a:ext uri="{FF2B5EF4-FFF2-40B4-BE49-F238E27FC236}">
              <a16:creationId xmlns:a16="http://schemas.microsoft.com/office/drawing/2014/main" id="{E6153123-98DE-4320-8F2C-2332E3AA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69" name="Picture 140" descr="LOGO DGI">
          <a:extLst>
            <a:ext uri="{FF2B5EF4-FFF2-40B4-BE49-F238E27FC236}">
              <a16:creationId xmlns:a16="http://schemas.microsoft.com/office/drawing/2014/main" id="{26DF43EB-B6A0-4721-A90E-666FA6667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0" name="Picture 141" descr="LOGO DGI">
          <a:extLst>
            <a:ext uri="{FF2B5EF4-FFF2-40B4-BE49-F238E27FC236}">
              <a16:creationId xmlns:a16="http://schemas.microsoft.com/office/drawing/2014/main" id="{099B315A-64FA-4059-AD6D-C81F21EA2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1" name="Picture 142" descr="LOGO DGI">
          <a:extLst>
            <a:ext uri="{FF2B5EF4-FFF2-40B4-BE49-F238E27FC236}">
              <a16:creationId xmlns:a16="http://schemas.microsoft.com/office/drawing/2014/main" id="{F79961CA-8E2F-4BD9-BDEF-8B0AA1A1C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2" name="Picture 143" descr="LOGO DGI">
          <a:extLst>
            <a:ext uri="{FF2B5EF4-FFF2-40B4-BE49-F238E27FC236}">
              <a16:creationId xmlns:a16="http://schemas.microsoft.com/office/drawing/2014/main" id="{D8308973-FD84-4F97-A578-05D1E07A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18436" name="CommandButton1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B71C1C06-16B4-454C-9FC0-53887C5A3E0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85725</xdr:rowOff>
    </xdr:from>
    <xdr:to>
      <xdr:col>10</xdr:col>
      <xdr:colOff>638175</xdr:colOff>
      <xdr:row>6</xdr:row>
      <xdr:rowOff>152400</xdr:rowOff>
    </xdr:to>
    <xdr:sp macro="" textlink="">
      <xdr:nvSpPr>
        <xdr:cNvPr id="18437" name="CommandButton2" hidden="1">
          <a:extLst>
            <a:ext uri="{63B3BB69-23CF-44E3-9099-C40C66FF867C}">
              <a14:compatExt xmlns:a14="http://schemas.microsoft.com/office/drawing/2010/main" spid="_x0000_s18437"/>
            </a:ext>
            <a:ext uri="{FF2B5EF4-FFF2-40B4-BE49-F238E27FC236}">
              <a16:creationId xmlns:a16="http://schemas.microsoft.com/office/drawing/2014/main" id="{3F35D382-22B3-4BF6-9DBA-FF005B74658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3" name="Picture 1" descr="LOGO DGI">
          <a:extLst>
            <a:ext uri="{FF2B5EF4-FFF2-40B4-BE49-F238E27FC236}">
              <a16:creationId xmlns:a16="http://schemas.microsoft.com/office/drawing/2014/main" id="{B812A784-0557-4BD4-9F20-11F9E6BB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4" name="Picture 1" descr="LOGO DGI">
          <a:extLst>
            <a:ext uri="{FF2B5EF4-FFF2-40B4-BE49-F238E27FC236}">
              <a16:creationId xmlns:a16="http://schemas.microsoft.com/office/drawing/2014/main" id="{67BA3134-FA1F-495F-80DF-56663255D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5" name="Picture 1" descr="LOGO DGI">
          <a:extLst>
            <a:ext uri="{FF2B5EF4-FFF2-40B4-BE49-F238E27FC236}">
              <a16:creationId xmlns:a16="http://schemas.microsoft.com/office/drawing/2014/main" id="{A1C29CA9-D3D4-4A52-AF1E-0A67FF12B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6" name="Picture 1" descr="LOGO DGI">
          <a:extLst>
            <a:ext uri="{FF2B5EF4-FFF2-40B4-BE49-F238E27FC236}">
              <a16:creationId xmlns:a16="http://schemas.microsoft.com/office/drawing/2014/main" id="{18C42D2B-DEEB-4D84-BE75-4610A5AB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7" name="Picture 1" descr="LOGO DGI">
          <a:extLst>
            <a:ext uri="{FF2B5EF4-FFF2-40B4-BE49-F238E27FC236}">
              <a16:creationId xmlns:a16="http://schemas.microsoft.com/office/drawing/2014/main" id="{AFCAEEB7-E749-44E4-84CC-680FB7E5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8" name="Picture 1" descr="LOGO DGI">
          <a:extLst>
            <a:ext uri="{FF2B5EF4-FFF2-40B4-BE49-F238E27FC236}">
              <a16:creationId xmlns:a16="http://schemas.microsoft.com/office/drawing/2014/main" id="{2E4B7CA9-C0C1-4AE1-81ED-108FCB2A0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79" name="Picture 1" descr="LOGO DGI">
          <a:extLst>
            <a:ext uri="{FF2B5EF4-FFF2-40B4-BE49-F238E27FC236}">
              <a16:creationId xmlns:a16="http://schemas.microsoft.com/office/drawing/2014/main" id="{DEA154CB-25C2-4BE0-AA85-3B0833A35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0" name="Picture 1" descr="LOGO DGI">
          <a:extLst>
            <a:ext uri="{FF2B5EF4-FFF2-40B4-BE49-F238E27FC236}">
              <a16:creationId xmlns:a16="http://schemas.microsoft.com/office/drawing/2014/main" id="{E85C6D24-12EA-4107-BA24-3B927CFA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1" name="Picture 1" descr="LOGO DGI">
          <a:extLst>
            <a:ext uri="{FF2B5EF4-FFF2-40B4-BE49-F238E27FC236}">
              <a16:creationId xmlns:a16="http://schemas.microsoft.com/office/drawing/2014/main" id="{192ED29C-4058-4C2C-8AEA-4F191E1B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2" name="Picture 1" descr="LOGO DGI">
          <a:extLst>
            <a:ext uri="{FF2B5EF4-FFF2-40B4-BE49-F238E27FC236}">
              <a16:creationId xmlns:a16="http://schemas.microsoft.com/office/drawing/2014/main" id="{4BC99ED0-1233-4293-9474-EDA8C67D2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3" name="Picture 1" descr="LOGO DGI">
          <a:extLst>
            <a:ext uri="{FF2B5EF4-FFF2-40B4-BE49-F238E27FC236}">
              <a16:creationId xmlns:a16="http://schemas.microsoft.com/office/drawing/2014/main" id="{35A518D0-F3FF-45F8-AD3B-A2A458C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4" name="Picture 1" descr="LOGO DGI">
          <a:extLst>
            <a:ext uri="{FF2B5EF4-FFF2-40B4-BE49-F238E27FC236}">
              <a16:creationId xmlns:a16="http://schemas.microsoft.com/office/drawing/2014/main" id="{5454BF70-A5AF-4110-8521-C745D56D6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5" name="Picture 1" descr="LOGO DGI">
          <a:extLst>
            <a:ext uri="{FF2B5EF4-FFF2-40B4-BE49-F238E27FC236}">
              <a16:creationId xmlns:a16="http://schemas.microsoft.com/office/drawing/2014/main" id="{58D09C78-CEB3-4E91-BE1F-1EBF98D3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6" name="Picture 1" descr="LOGO DGI">
          <a:extLst>
            <a:ext uri="{FF2B5EF4-FFF2-40B4-BE49-F238E27FC236}">
              <a16:creationId xmlns:a16="http://schemas.microsoft.com/office/drawing/2014/main" id="{5354877D-4488-4A7B-A63C-A97F7EECF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7" name="Picture 1" descr="LOGO DGI">
          <a:extLst>
            <a:ext uri="{FF2B5EF4-FFF2-40B4-BE49-F238E27FC236}">
              <a16:creationId xmlns:a16="http://schemas.microsoft.com/office/drawing/2014/main" id="{22CA5960-786D-4DF3-9B11-A4D93C7E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8" name="Picture 1" descr="LOGO DGI">
          <a:extLst>
            <a:ext uri="{FF2B5EF4-FFF2-40B4-BE49-F238E27FC236}">
              <a16:creationId xmlns:a16="http://schemas.microsoft.com/office/drawing/2014/main" id="{11E3D03B-D692-4D95-8F0D-488CD8C6E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89" name="Picture 1" descr="LOGO DGI">
          <a:extLst>
            <a:ext uri="{FF2B5EF4-FFF2-40B4-BE49-F238E27FC236}">
              <a16:creationId xmlns:a16="http://schemas.microsoft.com/office/drawing/2014/main" id="{3E7BD163-4264-4B29-A1B3-459F5071E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0" name="Picture 1" descr="LOGO DGI">
          <a:extLst>
            <a:ext uri="{FF2B5EF4-FFF2-40B4-BE49-F238E27FC236}">
              <a16:creationId xmlns:a16="http://schemas.microsoft.com/office/drawing/2014/main" id="{F80CB1F2-DBDF-4A8C-979A-70FB11ED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1" name="Picture 1" descr="LOGO DGI">
          <a:extLst>
            <a:ext uri="{FF2B5EF4-FFF2-40B4-BE49-F238E27FC236}">
              <a16:creationId xmlns:a16="http://schemas.microsoft.com/office/drawing/2014/main" id="{5AA3767D-11D5-487A-8A6D-BB1C72CF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2" name="Picture 1" descr="LOGO DGI">
          <a:extLst>
            <a:ext uri="{FF2B5EF4-FFF2-40B4-BE49-F238E27FC236}">
              <a16:creationId xmlns:a16="http://schemas.microsoft.com/office/drawing/2014/main" id="{86D4CD96-1A29-4164-917A-AFC41F52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3" name="Picture 1" descr="LOGO DGI">
          <a:extLst>
            <a:ext uri="{FF2B5EF4-FFF2-40B4-BE49-F238E27FC236}">
              <a16:creationId xmlns:a16="http://schemas.microsoft.com/office/drawing/2014/main" id="{2ABE889C-CB20-4C6D-A1CB-052E820A6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4" name="Picture 1" descr="LOGO DGI">
          <a:extLst>
            <a:ext uri="{FF2B5EF4-FFF2-40B4-BE49-F238E27FC236}">
              <a16:creationId xmlns:a16="http://schemas.microsoft.com/office/drawing/2014/main" id="{36C4E479-564E-4065-9E9D-94A8EFBC7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5" name="Picture 1" descr="LOGO DGI">
          <a:extLst>
            <a:ext uri="{FF2B5EF4-FFF2-40B4-BE49-F238E27FC236}">
              <a16:creationId xmlns:a16="http://schemas.microsoft.com/office/drawing/2014/main" id="{F1903A0D-56E2-407E-8718-900EA0C53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6" name="Picture 1" descr="LOGO DGI">
          <a:extLst>
            <a:ext uri="{FF2B5EF4-FFF2-40B4-BE49-F238E27FC236}">
              <a16:creationId xmlns:a16="http://schemas.microsoft.com/office/drawing/2014/main" id="{F82ECEEB-38C7-4C2F-8569-4E70C2CFA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7" name="Picture 1" descr="LOGO DGI">
          <a:extLst>
            <a:ext uri="{FF2B5EF4-FFF2-40B4-BE49-F238E27FC236}">
              <a16:creationId xmlns:a16="http://schemas.microsoft.com/office/drawing/2014/main" id="{9560D879-58F2-46CF-8EF7-87465559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8" name="Picture 1" descr="LOGO DGI">
          <a:extLst>
            <a:ext uri="{FF2B5EF4-FFF2-40B4-BE49-F238E27FC236}">
              <a16:creationId xmlns:a16="http://schemas.microsoft.com/office/drawing/2014/main" id="{8D4FCE10-648F-419C-A2D9-978E9A4D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899" name="Picture 1" descr="LOGO DGI">
          <a:extLst>
            <a:ext uri="{FF2B5EF4-FFF2-40B4-BE49-F238E27FC236}">
              <a16:creationId xmlns:a16="http://schemas.microsoft.com/office/drawing/2014/main" id="{6238D18F-516A-449B-8F77-3833D65F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0" name="Picture 1" descr="LOGO DGI">
          <a:extLst>
            <a:ext uri="{FF2B5EF4-FFF2-40B4-BE49-F238E27FC236}">
              <a16:creationId xmlns:a16="http://schemas.microsoft.com/office/drawing/2014/main" id="{889EED03-2CC7-4DEC-8018-99D79F2C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1" name="Picture 1" descr="LOGO DGI">
          <a:extLst>
            <a:ext uri="{FF2B5EF4-FFF2-40B4-BE49-F238E27FC236}">
              <a16:creationId xmlns:a16="http://schemas.microsoft.com/office/drawing/2014/main" id="{77A3784B-6010-427E-8DEF-06F20B08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2" name="Picture 1" descr="LOGO DGI">
          <a:extLst>
            <a:ext uri="{FF2B5EF4-FFF2-40B4-BE49-F238E27FC236}">
              <a16:creationId xmlns:a16="http://schemas.microsoft.com/office/drawing/2014/main" id="{B4726E11-5A5D-4444-A4D0-4E7DA7A1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3" name="Picture 1" descr="LOGO DGI">
          <a:extLst>
            <a:ext uri="{FF2B5EF4-FFF2-40B4-BE49-F238E27FC236}">
              <a16:creationId xmlns:a16="http://schemas.microsoft.com/office/drawing/2014/main" id="{0CBB2D8C-F307-4A3A-AFC5-A50BE5668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4" name="Picture 1" descr="LOGO DGI">
          <a:extLst>
            <a:ext uri="{FF2B5EF4-FFF2-40B4-BE49-F238E27FC236}">
              <a16:creationId xmlns:a16="http://schemas.microsoft.com/office/drawing/2014/main" id="{CC0A6A76-3244-43AB-9EFE-B61A2B88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5" name="Picture 1" descr="LOGO DGI">
          <a:extLst>
            <a:ext uri="{FF2B5EF4-FFF2-40B4-BE49-F238E27FC236}">
              <a16:creationId xmlns:a16="http://schemas.microsoft.com/office/drawing/2014/main" id="{BB909BA3-2A68-4A06-A59F-B8AAF737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6" name="Picture 1" descr="LOGO DGI">
          <a:extLst>
            <a:ext uri="{FF2B5EF4-FFF2-40B4-BE49-F238E27FC236}">
              <a16:creationId xmlns:a16="http://schemas.microsoft.com/office/drawing/2014/main" id="{365D4AE0-E363-4D36-B804-9C0BF500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7" name="Picture 1" descr="LOGO DGI">
          <a:extLst>
            <a:ext uri="{FF2B5EF4-FFF2-40B4-BE49-F238E27FC236}">
              <a16:creationId xmlns:a16="http://schemas.microsoft.com/office/drawing/2014/main" id="{916C17E3-599B-417D-8913-B63411C21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8" name="Picture 1" descr="LOGO DGI">
          <a:extLst>
            <a:ext uri="{FF2B5EF4-FFF2-40B4-BE49-F238E27FC236}">
              <a16:creationId xmlns:a16="http://schemas.microsoft.com/office/drawing/2014/main" id="{C74B3A4C-263B-44A4-AE2E-C413DA03C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09" name="Picture 1" descr="LOGO DGI">
          <a:extLst>
            <a:ext uri="{FF2B5EF4-FFF2-40B4-BE49-F238E27FC236}">
              <a16:creationId xmlns:a16="http://schemas.microsoft.com/office/drawing/2014/main" id="{B28ECF9F-247B-4B39-B8C1-B15F204AB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0" name="Picture 1" descr="LOGO DGI">
          <a:extLst>
            <a:ext uri="{FF2B5EF4-FFF2-40B4-BE49-F238E27FC236}">
              <a16:creationId xmlns:a16="http://schemas.microsoft.com/office/drawing/2014/main" id="{2C9C6748-2553-4719-9371-D5E037AE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1" name="Picture 1" descr="LOGO DGI">
          <a:extLst>
            <a:ext uri="{FF2B5EF4-FFF2-40B4-BE49-F238E27FC236}">
              <a16:creationId xmlns:a16="http://schemas.microsoft.com/office/drawing/2014/main" id="{EC21E2D4-CAE8-42E3-8839-418208ED7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2" name="Picture 1" descr="LOGO DGI">
          <a:extLst>
            <a:ext uri="{FF2B5EF4-FFF2-40B4-BE49-F238E27FC236}">
              <a16:creationId xmlns:a16="http://schemas.microsoft.com/office/drawing/2014/main" id="{A2E5D354-D3A3-4BDC-B34B-1182ED0BC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3" name="Picture 1" descr="LOGO DGI">
          <a:extLst>
            <a:ext uri="{FF2B5EF4-FFF2-40B4-BE49-F238E27FC236}">
              <a16:creationId xmlns:a16="http://schemas.microsoft.com/office/drawing/2014/main" id="{3A29D109-A131-4135-8648-F62D615BA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4" name="Picture 1" descr="LOGO DGI">
          <a:extLst>
            <a:ext uri="{FF2B5EF4-FFF2-40B4-BE49-F238E27FC236}">
              <a16:creationId xmlns:a16="http://schemas.microsoft.com/office/drawing/2014/main" id="{ED0BBC84-7004-408B-89D9-53F42834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5" name="Picture 1" descr="LOGO DGI">
          <a:extLst>
            <a:ext uri="{FF2B5EF4-FFF2-40B4-BE49-F238E27FC236}">
              <a16:creationId xmlns:a16="http://schemas.microsoft.com/office/drawing/2014/main" id="{5967B64D-CC29-4DB2-9AC7-DAD6F838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6" name="Picture 1" descr="LOGO DGI">
          <a:extLst>
            <a:ext uri="{FF2B5EF4-FFF2-40B4-BE49-F238E27FC236}">
              <a16:creationId xmlns:a16="http://schemas.microsoft.com/office/drawing/2014/main" id="{F9BAC206-989D-4095-9395-1B7E982CA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0917" name="Picture 1" descr="LOGO DGI">
          <a:extLst>
            <a:ext uri="{FF2B5EF4-FFF2-40B4-BE49-F238E27FC236}">
              <a16:creationId xmlns:a16="http://schemas.microsoft.com/office/drawing/2014/main" id="{C3CCE09E-C288-4EE7-B263-0F3FD8A58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28575</xdr:rowOff>
    </xdr:from>
    <xdr:to>
      <xdr:col>0</xdr:col>
      <xdr:colOff>695325</xdr:colOff>
      <xdr:row>20</xdr:row>
      <xdr:rowOff>28575</xdr:rowOff>
    </xdr:to>
    <xdr:pic>
      <xdr:nvPicPr>
        <xdr:cNvPr id="1580918" name="Picture 1" descr="LOGO DGI">
          <a:extLst>
            <a:ext uri="{FF2B5EF4-FFF2-40B4-BE49-F238E27FC236}">
              <a16:creationId xmlns:a16="http://schemas.microsoft.com/office/drawing/2014/main" id="{93531110-5F2A-46D5-85CE-2F96AC8F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765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34</xdr:row>
      <xdr:rowOff>28575</xdr:rowOff>
    </xdr:from>
    <xdr:to>
      <xdr:col>0</xdr:col>
      <xdr:colOff>695325</xdr:colOff>
      <xdr:row>37</xdr:row>
      <xdr:rowOff>28575</xdr:rowOff>
    </xdr:to>
    <xdr:pic>
      <xdr:nvPicPr>
        <xdr:cNvPr id="1580919" name="Picture 1" descr="LOGO DGI">
          <a:extLst>
            <a:ext uri="{FF2B5EF4-FFF2-40B4-BE49-F238E27FC236}">
              <a16:creationId xmlns:a16="http://schemas.microsoft.com/office/drawing/2014/main" id="{6327E28B-A11E-434E-B9EB-5FAF7DB3B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724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51</xdr:row>
      <xdr:rowOff>28575</xdr:rowOff>
    </xdr:from>
    <xdr:to>
      <xdr:col>0</xdr:col>
      <xdr:colOff>695325</xdr:colOff>
      <xdr:row>54</xdr:row>
      <xdr:rowOff>28575</xdr:rowOff>
    </xdr:to>
    <xdr:pic>
      <xdr:nvPicPr>
        <xdr:cNvPr id="1580920" name="Picture 1" descr="LOGO DGI">
          <a:extLst>
            <a:ext uri="{FF2B5EF4-FFF2-40B4-BE49-F238E27FC236}">
              <a16:creationId xmlns:a16="http://schemas.microsoft.com/office/drawing/2014/main" id="{7092D1E9-343B-4EB8-B7CA-FB6DDED72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68</xdr:row>
      <xdr:rowOff>28575</xdr:rowOff>
    </xdr:from>
    <xdr:to>
      <xdr:col>0</xdr:col>
      <xdr:colOff>695325</xdr:colOff>
      <xdr:row>71</xdr:row>
      <xdr:rowOff>28575</xdr:rowOff>
    </xdr:to>
    <xdr:pic>
      <xdr:nvPicPr>
        <xdr:cNvPr id="1580921" name="Picture 1" descr="LOGO DGI">
          <a:extLst>
            <a:ext uri="{FF2B5EF4-FFF2-40B4-BE49-F238E27FC236}">
              <a16:creationId xmlns:a16="http://schemas.microsoft.com/office/drawing/2014/main" id="{A481BA95-83B4-4FA0-86B8-0977D5D0D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4204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85</xdr:row>
      <xdr:rowOff>28575</xdr:rowOff>
    </xdr:from>
    <xdr:to>
      <xdr:col>0</xdr:col>
      <xdr:colOff>695325</xdr:colOff>
      <xdr:row>88</xdr:row>
      <xdr:rowOff>28575</xdr:rowOff>
    </xdr:to>
    <xdr:pic>
      <xdr:nvPicPr>
        <xdr:cNvPr id="1580922" name="Picture 1" descr="LOGO DGI">
          <a:extLst>
            <a:ext uri="{FF2B5EF4-FFF2-40B4-BE49-F238E27FC236}">
              <a16:creationId xmlns:a16="http://schemas.microsoft.com/office/drawing/2014/main" id="{80AE0DDE-DB94-4A3A-91A8-10666836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684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102</xdr:row>
      <xdr:rowOff>28575</xdr:rowOff>
    </xdr:from>
    <xdr:to>
      <xdr:col>0</xdr:col>
      <xdr:colOff>695325</xdr:colOff>
      <xdr:row>105</xdr:row>
      <xdr:rowOff>28575</xdr:rowOff>
    </xdr:to>
    <xdr:pic>
      <xdr:nvPicPr>
        <xdr:cNvPr id="1580923" name="Picture 1" descr="LOGO DGI">
          <a:extLst>
            <a:ext uri="{FF2B5EF4-FFF2-40B4-BE49-F238E27FC236}">
              <a16:creationId xmlns:a16="http://schemas.microsoft.com/office/drawing/2014/main" id="{F2B0B227-D6D2-4390-BAA8-0AA842C54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1164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119</xdr:row>
      <xdr:rowOff>28575</xdr:rowOff>
    </xdr:from>
    <xdr:to>
      <xdr:col>0</xdr:col>
      <xdr:colOff>695325</xdr:colOff>
      <xdr:row>122</xdr:row>
      <xdr:rowOff>28575</xdr:rowOff>
    </xdr:to>
    <xdr:pic>
      <xdr:nvPicPr>
        <xdr:cNvPr id="1580924" name="Picture 1" descr="LOGO DGI">
          <a:extLst>
            <a:ext uri="{FF2B5EF4-FFF2-40B4-BE49-F238E27FC236}">
              <a16:creationId xmlns:a16="http://schemas.microsoft.com/office/drawing/2014/main" id="{7F5BBC79-C97A-427F-AA4E-97387DC1A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9644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136</xdr:row>
      <xdr:rowOff>28575</xdr:rowOff>
    </xdr:from>
    <xdr:to>
      <xdr:col>0</xdr:col>
      <xdr:colOff>695325</xdr:colOff>
      <xdr:row>139</xdr:row>
      <xdr:rowOff>28575</xdr:rowOff>
    </xdr:to>
    <xdr:pic>
      <xdr:nvPicPr>
        <xdr:cNvPr id="1580925" name="Picture 1" descr="LOGO DGI">
          <a:extLst>
            <a:ext uri="{FF2B5EF4-FFF2-40B4-BE49-F238E27FC236}">
              <a16:creationId xmlns:a16="http://schemas.microsoft.com/office/drawing/2014/main" id="{F78D559A-13D1-4036-8DAD-628EE5C5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28123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153</xdr:row>
      <xdr:rowOff>28575</xdr:rowOff>
    </xdr:from>
    <xdr:to>
      <xdr:col>0</xdr:col>
      <xdr:colOff>695325</xdr:colOff>
      <xdr:row>156</xdr:row>
      <xdr:rowOff>28575</xdr:rowOff>
    </xdr:to>
    <xdr:pic>
      <xdr:nvPicPr>
        <xdr:cNvPr id="1580926" name="Picture 1" descr="LOGO DGI">
          <a:extLst>
            <a:ext uri="{FF2B5EF4-FFF2-40B4-BE49-F238E27FC236}">
              <a16:creationId xmlns:a16="http://schemas.microsoft.com/office/drawing/2014/main" id="{DF1CFA70-F9D2-4079-9013-06B34BE51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56603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170</xdr:row>
      <xdr:rowOff>28575</xdr:rowOff>
    </xdr:from>
    <xdr:to>
      <xdr:col>0</xdr:col>
      <xdr:colOff>695325</xdr:colOff>
      <xdr:row>173</xdr:row>
      <xdr:rowOff>28575</xdr:rowOff>
    </xdr:to>
    <xdr:pic>
      <xdr:nvPicPr>
        <xdr:cNvPr id="1580927" name="Picture 1" descr="LOGO DGI">
          <a:extLst>
            <a:ext uri="{FF2B5EF4-FFF2-40B4-BE49-F238E27FC236}">
              <a16:creationId xmlns:a16="http://schemas.microsoft.com/office/drawing/2014/main" id="{F706B8A7-95F0-4A57-8E51-FB8CF925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083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187</xdr:row>
      <xdr:rowOff>28575</xdr:rowOff>
    </xdr:from>
    <xdr:to>
      <xdr:col>0</xdr:col>
      <xdr:colOff>695325</xdr:colOff>
      <xdr:row>190</xdr:row>
      <xdr:rowOff>28575</xdr:rowOff>
    </xdr:to>
    <xdr:pic>
      <xdr:nvPicPr>
        <xdr:cNvPr id="1580928" name="Picture 1" descr="LOGO DGI">
          <a:extLst>
            <a:ext uri="{FF2B5EF4-FFF2-40B4-BE49-F238E27FC236}">
              <a16:creationId xmlns:a16="http://schemas.microsoft.com/office/drawing/2014/main" id="{02CE3248-4CA8-44E1-A032-0A939529B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1356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204</xdr:row>
      <xdr:rowOff>28575</xdr:rowOff>
    </xdr:from>
    <xdr:to>
      <xdr:col>0</xdr:col>
      <xdr:colOff>695325</xdr:colOff>
      <xdr:row>207</xdr:row>
      <xdr:rowOff>28575</xdr:rowOff>
    </xdr:to>
    <xdr:pic>
      <xdr:nvPicPr>
        <xdr:cNvPr id="1580929" name="Picture 1" descr="LOGO DGI">
          <a:extLst>
            <a:ext uri="{FF2B5EF4-FFF2-40B4-BE49-F238E27FC236}">
              <a16:creationId xmlns:a16="http://schemas.microsoft.com/office/drawing/2014/main" id="{B28D7669-3BC8-4C0F-A011-5CFD29B85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4204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221</xdr:row>
      <xdr:rowOff>28575</xdr:rowOff>
    </xdr:from>
    <xdr:to>
      <xdr:col>0</xdr:col>
      <xdr:colOff>695325</xdr:colOff>
      <xdr:row>224</xdr:row>
      <xdr:rowOff>28575</xdr:rowOff>
    </xdr:to>
    <xdr:pic>
      <xdr:nvPicPr>
        <xdr:cNvPr id="1580930" name="Picture 1" descr="LOGO DGI">
          <a:extLst>
            <a:ext uri="{FF2B5EF4-FFF2-40B4-BE49-F238E27FC236}">
              <a16:creationId xmlns:a16="http://schemas.microsoft.com/office/drawing/2014/main" id="{3CEAEB32-10F8-4926-9881-230DA94C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0522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238</xdr:row>
      <xdr:rowOff>28575</xdr:rowOff>
    </xdr:from>
    <xdr:to>
      <xdr:col>0</xdr:col>
      <xdr:colOff>695325</xdr:colOff>
      <xdr:row>241</xdr:row>
      <xdr:rowOff>28575</xdr:rowOff>
    </xdr:to>
    <xdr:pic>
      <xdr:nvPicPr>
        <xdr:cNvPr id="1580931" name="Picture 1" descr="LOGO DGI">
          <a:extLst>
            <a:ext uri="{FF2B5EF4-FFF2-40B4-BE49-F238E27FC236}">
              <a16:creationId xmlns:a16="http://schemas.microsoft.com/office/drawing/2014/main" id="{FBC04986-6117-48E3-A9EC-8E3591D1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900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255</xdr:row>
      <xdr:rowOff>28575</xdr:rowOff>
    </xdr:from>
    <xdr:to>
      <xdr:col>0</xdr:col>
      <xdr:colOff>695325</xdr:colOff>
      <xdr:row>258</xdr:row>
      <xdr:rowOff>28575</xdr:rowOff>
    </xdr:to>
    <xdr:pic>
      <xdr:nvPicPr>
        <xdr:cNvPr id="1580932" name="Picture 1" descr="LOGO DGI">
          <a:extLst>
            <a:ext uri="{FF2B5EF4-FFF2-40B4-BE49-F238E27FC236}">
              <a16:creationId xmlns:a16="http://schemas.microsoft.com/office/drawing/2014/main" id="{FE35241A-D654-47A3-8A5E-B96529CB7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27482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28575</xdr:rowOff>
    </xdr:from>
    <xdr:to>
      <xdr:col>0</xdr:col>
      <xdr:colOff>695325</xdr:colOff>
      <xdr:row>3</xdr:row>
      <xdr:rowOff>28575</xdr:rowOff>
    </xdr:to>
    <xdr:pic>
      <xdr:nvPicPr>
        <xdr:cNvPr id="1596604" name="Picture 1" descr="LOGO DGI">
          <a:extLst>
            <a:ext uri="{FF2B5EF4-FFF2-40B4-BE49-F238E27FC236}">
              <a16:creationId xmlns:a16="http://schemas.microsoft.com/office/drawing/2014/main" id="{B0E83CA1-1F51-41A8-898A-3F4628DCE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05" name="Picture 71" descr="LOGO DGI">
          <a:extLst>
            <a:ext uri="{FF2B5EF4-FFF2-40B4-BE49-F238E27FC236}">
              <a16:creationId xmlns:a16="http://schemas.microsoft.com/office/drawing/2014/main" id="{35066773-D55E-4716-8ED1-4FBA1D04F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06" name="Picture 72" descr="LOGO DGI">
          <a:extLst>
            <a:ext uri="{FF2B5EF4-FFF2-40B4-BE49-F238E27FC236}">
              <a16:creationId xmlns:a16="http://schemas.microsoft.com/office/drawing/2014/main" id="{9DA3D75B-27CF-4019-A0E4-F4D06A439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07" name="Picture 73" descr="LOGO DGI">
          <a:extLst>
            <a:ext uri="{FF2B5EF4-FFF2-40B4-BE49-F238E27FC236}">
              <a16:creationId xmlns:a16="http://schemas.microsoft.com/office/drawing/2014/main" id="{840956E9-6C55-42AD-AB6F-A07B19E52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08" name="Picture 74" descr="LOGO DGI">
          <a:extLst>
            <a:ext uri="{FF2B5EF4-FFF2-40B4-BE49-F238E27FC236}">
              <a16:creationId xmlns:a16="http://schemas.microsoft.com/office/drawing/2014/main" id="{AFC6B50E-03E2-41A0-A860-9310426AB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09" name="Picture 75" descr="LOGO DGI">
          <a:extLst>
            <a:ext uri="{FF2B5EF4-FFF2-40B4-BE49-F238E27FC236}">
              <a16:creationId xmlns:a16="http://schemas.microsoft.com/office/drawing/2014/main" id="{D54D64F5-8459-4F42-8E33-69855E39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0" name="Picture 76" descr="LOGO DGI">
          <a:extLst>
            <a:ext uri="{FF2B5EF4-FFF2-40B4-BE49-F238E27FC236}">
              <a16:creationId xmlns:a16="http://schemas.microsoft.com/office/drawing/2014/main" id="{92B69B16-5D69-4326-BDD4-AD457242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1" name="Picture 77" descr="LOGO DGI">
          <a:extLst>
            <a:ext uri="{FF2B5EF4-FFF2-40B4-BE49-F238E27FC236}">
              <a16:creationId xmlns:a16="http://schemas.microsoft.com/office/drawing/2014/main" id="{78440B01-1172-4427-8A4C-3F34FDF5F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2" name="Picture 78" descr="LOGO DGI">
          <a:extLst>
            <a:ext uri="{FF2B5EF4-FFF2-40B4-BE49-F238E27FC236}">
              <a16:creationId xmlns:a16="http://schemas.microsoft.com/office/drawing/2014/main" id="{C087399F-200C-47D0-892E-6C6A87793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3" name="Picture 79" descr="LOGO DGI">
          <a:extLst>
            <a:ext uri="{FF2B5EF4-FFF2-40B4-BE49-F238E27FC236}">
              <a16:creationId xmlns:a16="http://schemas.microsoft.com/office/drawing/2014/main" id="{E6B82002-8224-4EDA-88E0-0137E07A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4" name="Picture 80" descr="LOGO DGI">
          <a:extLst>
            <a:ext uri="{FF2B5EF4-FFF2-40B4-BE49-F238E27FC236}">
              <a16:creationId xmlns:a16="http://schemas.microsoft.com/office/drawing/2014/main" id="{C17396A4-05C0-4E50-A113-8D2CE186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5" name="Picture 81" descr="LOGO DGI">
          <a:extLst>
            <a:ext uri="{FF2B5EF4-FFF2-40B4-BE49-F238E27FC236}">
              <a16:creationId xmlns:a16="http://schemas.microsoft.com/office/drawing/2014/main" id="{3A670860-2E1D-4DE6-92EC-8674A3683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6" name="Picture 82" descr="LOGO DGI">
          <a:extLst>
            <a:ext uri="{FF2B5EF4-FFF2-40B4-BE49-F238E27FC236}">
              <a16:creationId xmlns:a16="http://schemas.microsoft.com/office/drawing/2014/main" id="{3C5D483C-C61F-4B8C-AD5A-95F355BFF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7" name="Picture 83" descr="LOGO DGI">
          <a:extLst>
            <a:ext uri="{FF2B5EF4-FFF2-40B4-BE49-F238E27FC236}">
              <a16:creationId xmlns:a16="http://schemas.microsoft.com/office/drawing/2014/main" id="{A2129142-12C0-4A68-9468-EE3808287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8" name="Picture 84" descr="LOGO DGI">
          <a:extLst>
            <a:ext uri="{FF2B5EF4-FFF2-40B4-BE49-F238E27FC236}">
              <a16:creationId xmlns:a16="http://schemas.microsoft.com/office/drawing/2014/main" id="{8774D85B-C663-4DBC-A7D3-351A221E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19" name="Picture 85" descr="LOGO DGI">
          <a:extLst>
            <a:ext uri="{FF2B5EF4-FFF2-40B4-BE49-F238E27FC236}">
              <a16:creationId xmlns:a16="http://schemas.microsoft.com/office/drawing/2014/main" id="{FC667C06-3DF1-4AA0-8E92-60FC8FE1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0" name="Picture 86" descr="LOGO DGI">
          <a:extLst>
            <a:ext uri="{FF2B5EF4-FFF2-40B4-BE49-F238E27FC236}">
              <a16:creationId xmlns:a16="http://schemas.microsoft.com/office/drawing/2014/main" id="{929E89B3-D138-4B57-A5F8-A130495B5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1" name="Picture 87" descr="LOGO DGI">
          <a:extLst>
            <a:ext uri="{FF2B5EF4-FFF2-40B4-BE49-F238E27FC236}">
              <a16:creationId xmlns:a16="http://schemas.microsoft.com/office/drawing/2014/main" id="{ED4ABCCB-C262-43EA-8E60-8A7AB866A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2" name="Picture 88" descr="LOGO DGI">
          <a:extLst>
            <a:ext uri="{FF2B5EF4-FFF2-40B4-BE49-F238E27FC236}">
              <a16:creationId xmlns:a16="http://schemas.microsoft.com/office/drawing/2014/main" id="{7250A6C6-E0E1-48D0-8E6C-B9DD303F3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3" name="Picture 89" descr="LOGO DGI">
          <a:extLst>
            <a:ext uri="{FF2B5EF4-FFF2-40B4-BE49-F238E27FC236}">
              <a16:creationId xmlns:a16="http://schemas.microsoft.com/office/drawing/2014/main" id="{135177D7-7738-4822-B266-53DE0B2FE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4" name="Picture 90" descr="LOGO DGI">
          <a:extLst>
            <a:ext uri="{FF2B5EF4-FFF2-40B4-BE49-F238E27FC236}">
              <a16:creationId xmlns:a16="http://schemas.microsoft.com/office/drawing/2014/main" id="{8A69E095-6790-4BAA-AC53-98E2C6888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5" name="Picture 91" descr="LOGO DGI">
          <a:extLst>
            <a:ext uri="{FF2B5EF4-FFF2-40B4-BE49-F238E27FC236}">
              <a16:creationId xmlns:a16="http://schemas.microsoft.com/office/drawing/2014/main" id="{F34B3572-5DAB-4BFF-8576-46179018E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6" name="Picture 92" descr="LOGO DGI">
          <a:extLst>
            <a:ext uri="{FF2B5EF4-FFF2-40B4-BE49-F238E27FC236}">
              <a16:creationId xmlns:a16="http://schemas.microsoft.com/office/drawing/2014/main" id="{6BD49237-33BC-4EC2-A513-2FE3C465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7" name="Picture 93" descr="LOGO DGI">
          <a:extLst>
            <a:ext uri="{FF2B5EF4-FFF2-40B4-BE49-F238E27FC236}">
              <a16:creationId xmlns:a16="http://schemas.microsoft.com/office/drawing/2014/main" id="{974C883F-936C-4738-B3E3-A7C5A93A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8" name="Picture 94" descr="LOGO DGI">
          <a:extLst>
            <a:ext uri="{FF2B5EF4-FFF2-40B4-BE49-F238E27FC236}">
              <a16:creationId xmlns:a16="http://schemas.microsoft.com/office/drawing/2014/main" id="{18B53323-97EF-49F5-BC9E-493F632BD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29" name="Picture 95" descr="LOGO DGI">
          <a:extLst>
            <a:ext uri="{FF2B5EF4-FFF2-40B4-BE49-F238E27FC236}">
              <a16:creationId xmlns:a16="http://schemas.microsoft.com/office/drawing/2014/main" id="{AF35EFBA-6FA0-49B9-8CD8-7A30652D5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0" name="Picture 96" descr="LOGO DGI">
          <a:extLst>
            <a:ext uri="{FF2B5EF4-FFF2-40B4-BE49-F238E27FC236}">
              <a16:creationId xmlns:a16="http://schemas.microsoft.com/office/drawing/2014/main" id="{4E330D1C-699A-4263-BA7B-97B5C3B57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1" name="Picture 97" descr="LOGO DGI">
          <a:extLst>
            <a:ext uri="{FF2B5EF4-FFF2-40B4-BE49-F238E27FC236}">
              <a16:creationId xmlns:a16="http://schemas.microsoft.com/office/drawing/2014/main" id="{460440D8-0137-4DBC-8434-7D0864DBA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2" name="Picture 98" descr="LOGO DGI">
          <a:extLst>
            <a:ext uri="{FF2B5EF4-FFF2-40B4-BE49-F238E27FC236}">
              <a16:creationId xmlns:a16="http://schemas.microsoft.com/office/drawing/2014/main" id="{EC4010FC-0A5A-44F1-8CB8-D880AF3FC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3" name="Picture 99" descr="LOGO DGI">
          <a:extLst>
            <a:ext uri="{FF2B5EF4-FFF2-40B4-BE49-F238E27FC236}">
              <a16:creationId xmlns:a16="http://schemas.microsoft.com/office/drawing/2014/main" id="{807E45AB-32F6-4E3C-92AA-B0C777CA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4" name="Picture 100" descr="LOGO DGI">
          <a:extLst>
            <a:ext uri="{FF2B5EF4-FFF2-40B4-BE49-F238E27FC236}">
              <a16:creationId xmlns:a16="http://schemas.microsoft.com/office/drawing/2014/main" id="{75C04A2A-9638-4E9E-9652-E93914F09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5" name="Picture 101" descr="LOGO DGI">
          <a:extLst>
            <a:ext uri="{FF2B5EF4-FFF2-40B4-BE49-F238E27FC236}">
              <a16:creationId xmlns:a16="http://schemas.microsoft.com/office/drawing/2014/main" id="{4BAD6A7C-200F-49BD-BDF9-D6C2786F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6" name="Picture 102" descr="LOGO DGI">
          <a:extLst>
            <a:ext uri="{FF2B5EF4-FFF2-40B4-BE49-F238E27FC236}">
              <a16:creationId xmlns:a16="http://schemas.microsoft.com/office/drawing/2014/main" id="{57727A02-404B-442A-AD49-EB6C8DD0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7" name="Picture 103" descr="LOGO DGI">
          <a:extLst>
            <a:ext uri="{FF2B5EF4-FFF2-40B4-BE49-F238E27FC236}">
              <a16:creationId xmlns:a16="http://schemas.microsoft.com/office/drawing/2014/main" id="{7F27DB98-BE42-47A3-AB4A-F41402F6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8" name="Picture 104" descr="LOGO DGI">
          <a:extLst>
            <a:ext uri="{FF2B5EF4-FFF2-40B4-BE49-F238E27FC236}">
              <a16:creationId xmlns:a16="http://schemas.microsoft.com/office/drawing/2014/main" id="{B457BE90-B1C5-42F3-8E79-70D57549E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39" name="Picture 105" descr="LOGO DGI">
          <a:extLst>
            <a:ext uri="{FF2B5EF4-FFF2-40B4-BE49-F238E27FC236}">
              <a16:creationId xmlns:a16="http://schemas.microsoft.com/office/drawing/2014/main" id="{A0584605-1799-40AE-8CA9-1E5A26FA6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0" name="Picture 106" descr="LOGO DGI">
          <a:extLst>
            <a:ext uri="{FF2B5EF4-FFF2-40B4-BE49-F238E27FC236}">
              <a16:creationId xmlns:a16="http://schemas.microsoft.com/office/drawing/2014/main" id="{B5770EF2-5AF0-4AA9-84AA-C29BEE0B6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1" name="Picture 107" descr="LOGO DGI">
          <a:extLst>
            <a:ext uri="{FF2B5EF4-FFF2-40B4-BE49-F238E27FC236}">
              <a16:creationId xmlns:a16="http://schemas.microsoft.com/office/drawing/2014/main" id="{95122DF4-67E1-41CB-A0DB-30B768E0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2" name="Picture 108" descr="LOGO DGI">
          <a:extLst>
            <a:ext uri="{FF2B5EF4-FFF2-40B4-BE49-F238E27FC236}">
              <a16:creationId xmlns:a16="http://schemas.microsoft.com/office/drawing/2014/main" id="{2FC1507F-280D-4A15-BDE0-F1F4EE8D7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3" name="Picture 109" descr="LOGO DGI">
          <a:extLst>
            <a:ext uri="{FF2B5EF4-FFF2-40B4-BE49-F238E27FC236}">
              <a16:creationId xmlns:a16="http://schemas.microsoft.com/office/drawing/2014/main" id="{76CB266A-F931-4B4F-8ED2-0641153A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4" name="Picture 110" descr="LOGO DGI">
          <a:extLst>
            <a:ext uri="{FF2B5EF4-FFF2-40B4-BE49-F238E27FC236}">
              <a16:creationId xmlns:a16="http://schemas.microsoft.com/office/drawing/2014/main" id="{D3ED09A9-DCFC-4A2A-B142-6C20AA08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5" name="Picture 111" descr="LOGO DGI">
          <a:extLst>
            <a:ext uri="{FF2B5EF4-FFF2-40B4-BE49-F238E27FC236}">
              <a16:creationId xmlns:a16="http://schemas.microsoft.com/office/drawing/2014/main" id="{A901E6EF-C366-4E28-9FB7-1BDAC2493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6" name="Picture 112" descr="LOGO DGI">
          <a:extLst>
            <a:ext uri="{FF2B5EF4-FFF2-40B4-BE49-F238E27FC236}">
              <a16:creationId xmlns:a16="http://schemas.microsoft.com/office/drawing/2014/main" id="{158106B8-2061-4889-9864-00D558DF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7" name="Picture 113" descr="LOGO DGI">
          <a:extLst>
            <a:ext uri="{FF2B5EF4-FFF2-40B4-BE49-F238E27FC236}">
              <a16:creationId xmlns:a16="http://schemas.microsoft.com/office/drawing/2014/main" id="{70E4F328-B02B-4B52-ACAC-A21B5C1C6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552450</xdr:colOff>
      <xdr:row>18</xdr:row>
      <xdr:rowOff>152400</xdr:rowOff>
    </xdr:to>
    <xdr:pic>
      <xdr:nvPicPr>
        <xdr:cNvPr id="1596648" name="Picture 114" descr="LOGO DGI">
          <a:extLst>
            <a:ext uri="{FF2B5EF4-FFF2-40B4-BE49-F238E27FC236}">
              <a16:creationId xmlns:a16="http://schemas.microsoft.com/office/drawing/2014/main" id="{5106D228-60D4-45F8-B80B-DF988361F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49" name="Picture 115" descr="LOGO DGI">
          <a:extLst>
            <a:ext uri="{FF2B5EF4-FFF2-40B4-BE49-F238E27FC236}">
              <a16:creationId xmlns:a16="http://schemas.microsoft.com/office/drawing/2014/main" id="{BF44BC0F-5C01-4137-A2DF-C627186EB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0" name="Picture 116" descr="LOGO DGI">
          <a:extLst>
            <a:ext uri="{FF2B5EF4-FFF2-40B4-BE49-F238E27FC236}">
              <a16:creationId xmlns:a16="http://schemas.microsoft.com/office/drawing/2014/main" id="{2F154236-DC5F-4EFA-933F-2E3B7905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1" name="Picture 117" descr="LOGO DGI">
          <a:extLst>
            <a:ext uri="{FF2B5EF4-FFF2-40B4-BE49-F238E27FC236}">
              <a16:creationId xmlns:a16="http://schemas.microsoft.com/office/drawing/2014/main" id="{FB8642EE-AFC8-4279-B5BA-E105DEA2B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2" name="Picture 118" descr="LOGO DGI">
          <a:extLst>
            <a:ext uri="{FF2B5EF4-FFF2-40B4-BE49-F238E27FC236}">
              <a16:creationId xmlns:a16="http://schemas.microsoft.com/office/drawing/2014/main" id="{2E9C0A0F-8D3C-4E3C-852B-960381362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3" name="Picture 119" descr="LOGO DGI">
          <a:extLst>
            <a:ext uri="{FF2B5EF4-FFF2-40B4-BE49-F238E27FC236}">
              <a16:creationId xmlns:a16="http://schemas.microsoft.com/office/drawing/2014/main" id="{F682B585-74B0-4753-B9E5-883B1EC3D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4" name="Picture 120" descr="LOGO DGI">
          <a:extLst>
            <a:ext uri="{FF2B5EF4-FFF2-40B4-BE49-F238E27FC236}">
              <a16:creationId xmlns:a16="http://schemas.microsoft.com/office/drawing/2014/main" id="{66A66295-55E2-4B0C-B7B3-C9771CB23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5" name="Picture 121" descr="LOGO DGI">
          <a:extLst>
            <a:ext uri="{FF2B5EF4-FFF2-40B4-BE49-F238E27FC236}">
              <a16:creationId xmlns:a16="http://schemas.microsoft.com/office/drawing/2014/main" id="{907C220E-C4CF-46E5-8630-B5985C0C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6" name="Picture 122" descr="LOGO DGI">
          <a:extLst>
            <a:ext uri="{FF2B5EF4-FFF2-40B4-BE49-F238E27FC236}">
              <a16:creationId xmlns:a16="http://schemas.microsoft.com/office/drawing/2014/main" id="{F619E311-2425-4D70-8B60-C73E6BAD9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7" name="Picture 123" descr="LOGO DGI">
          <a:extLst>
            <a:ext uri="{FF2B5EF4-FFF2-40B4-BE49-F238E27FC236}">
              <a16:creationId xmlns:a16="http://schemas.microsoft.com/office/drawing/2014/main" id="{9E8CD8F3-707A-4249-ABA7-7AE3D83C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8" name="Picture 124" descr="LOGO DGI">
          <a:extLst>
            <a:ext uri="{FF2B5EF4-FFF2-40B4-BE49-F238E27FC236}">
              <a16:creationId xmlns:a16="http://schemas.microsoft.com/office/drawing/2014/main" id="{5C567EEF-9464-4873-ADAB-0C25E6B3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59" name="Picture 125" descr="LOGO DGI">
          <a:extLst>
            <a:ext uri="{FF2B5EF4-FFF2-40B4-BE49-F238E27FC236}">
              <a16:creationId xmlns:a16="http://schemas.microsoft.com/office/drawing/2014/main" id="{716432FC-029E-4E42-9B4D-90C6F303F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60" name="Picture 126" descr="LOGO DGI">
          <a:extLst>
            <a:ext uri="{FF2B5EF4-FFF2-40B4-BE49-F238E27FC236}">
              <a16:creationId xmlns:a16="http://schemas.microsoft.com/office/drawing/2014/main" id="{221537A3-6F67-4C2A-857A-AA4F18862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61" name="Picture 127" descr="LOGO DGI">
          <a:extLst>
            <a:ext uri="{FF2B5EF4-FFF2-40B4-BE49-F238E27FC236}">
              <a16:creationId xmlns:a16="http://schemas.microsoft.com/office/drawing/2014/main" id="{7066ACF4-8C59-49F8-8996-6D54CC90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0</xdr:col>
      <xdr:colOff>695325</xdr:colOff>
      <xdr:row>18</xdr:row>
      <xdr:rowOff>152400</xdr:rowOff>
    </xdr:to>
    <xdr:pic>
      <xdr:nvPicPr>
        <xdr:cNvPr id="1596662" name="Picture 128" descr="LOGO DGI">
          <a:extLst>
            <a:ext uri="{FF2B5EF4-FFF2-40B4-BE49-F238E27FC236}">
              <a16:creationId xmlns:a16="http://schemas.microsoft.com/office/drawing/2014/main" id="{00EA5520-6C77-48F5-AFF1-19963A583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3" name="Picture 129" descr="LOGO DGI">
          <a:extLst>
            <a:ext uri="{FF2B5EF4-FFF2-40B4-BE49-F238E27FC236}">
              <a16:creationId xmlns:a16="http://schemas.microsoft.com/office/drawing/2014/main" id="{75F08290-6606-4125-9471-12AE1306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4" name="Picture 130" descr="LOGO DGI">
          <a:extLst>
            <a:ext uri="{FF2B5EF4-FFF2-40B4-BE49-F238E27FC236}">
              <a16:creationId xmlns:a16="http://schemas.microsoft.com/office/drawing/2014/main" id="{99E2127E-1A3D-4FB3-A169-92D7C7616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5" name="Picture 131" descr="LOGO DGI">
          <a:extLst>
            <a:ext uri="{FF2B5EF4-FFF2-40B4-BE49-F238E27FC236}">
              <a16:creationId xmlns:a16="http://schemas.microsoft.com/office/drawing/2014/main" id="{71B1FB9C-39E2-43BB-A5E3-C6342289B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6" name="Picture 132" descr="LOGO DGI">
          <a:extLst>
            <a:ext uri="{FF2B5EF4-FFF2-40B4-BE49-F238E27FC236}">
              <a16:creationId xmlns:a16="http://schemas.microsoft.com/office/drawing/2014/main" id="{2449B45D-3DAC-4083-B2B1-E0DCB0B5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7" name="Picture 133" descr="LOGO DGI">
          <a:extLst>
            <a:ext uri="{FF2B5EF4-FFF2-40B4-BE49-F238E27FC236}">
              <a16:creationId xmlns:a16="http://schemas.microsoft.com/office/drawing/2014/main" id="{D0DD5056-BF46-4B50-839B-93B382B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8" name="Picture 134" descr="LOGO DGI">
          <a:extLst>
            <a:ext uri="{FF2B5EF4-FFF2-40B4-BE49-F238E27FC236}">
              <a16:creationId xmlns:a16="http://schemas.microsoft.com/office/drawing/2014/main" id="{C93C04A3-01D6-48E0-BD0E-8A7D4134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69" name="Picture 135" descr="LOGO DGI">
          <a:extLst>
            <a:ext uri="{FF2B5EF4-FFF2-40B4-BE49-F238E27FC236}">
              <a16:creationId xmlns:a16="http://schemas.microsoft.com/office/drawing/2014/main" id="{3CA30911-9F33-474A-842A-315949E08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0" name="Picture 136" descr="LOGO DGI">
          <a:extLst>
            <a:ext uri="{FF2B5EF4-FFF2-40B4-BE49-F238E27FC236}">
              <a16:creationId xmlns:a16="http://schemas.microsoft.com/office/drawing/2014/main" id="{68F5646F-359E-4B89-BEB5-B775E1F7D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1" name="Picture 137" descr="LOGO DGI">
          <a:extLst>
            <a:ext uri="{FF2B5EF4-FFF2-40B4-BE49-F238E27FC236}">
              <a16:creationId xmlns:a16="http://schemas.microsoft.com/office/drawing/2014/main" id="{A31DDCEF-79A7-4BDD-85B6-6B1B2A2B6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2" name="Picture 138" descr="LOGO DGI">
          <a:extLst>
            <a:ext uri="{FF2B5EF4-FFF2-40B4-BE49-F238E27FC236}">
              <a16:creationId xmlns:a16="http://schemas.microsoft.com/office/drawing/2014/main" id="{437759D5-3C48-41BA-A412-1DAC22A1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3" name="Picture 139" descr="LOGO DGI">
          <a:extLst>
            <a:ext uri="{FF2B5EF4-FFF2-40B4-BE49-F238E27FC236}">
              <a16:creationId xmlns:a16="http://schemas.microsoft.com/office/drawing/2014/main" id="{08AE448A-85B7-454F-8E1B-542838D0A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4" name="Picture 140" descr="LOGO DGI">
          <a:extLst>
            <a:ext uri="{FF2B5EF4-FFF2-40B4-BE49-F238E27FC236}">
              <a16:creationId xmlns:a16="http://schemas.microsoft.com/office/drawing/2014/main" id="{89F154CD-F5A3-4AA6-A6AB-9588DB9E3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5" name="Picture 141" descr="LOGO DGI">
          <a:extLst>
            <a:ext uri="{FF2B5EF4-FFF2-40B4-BE49-F238E27FC236}">
              <a16:creationId xmlns:a16="http://schemas.microsoft.com/office/drawing/2014/main" id="{1C9F74CD-88DE-41B0-97F1-B2E1DC4A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6" name="Picture 142" descr="LOGO DGI">
          <a:extLst>
            <a:ext uri="{FF2B5EF4-FFF2-40B4-BE49-F238E27FC236}">
              <a16:creationId xmlns:a16="http://schemas.microsoft.com/office/drawing/2014/main" id="{584D8B59-CC66-4067-BDE9-E35E3CAB2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7" name="Picture 143" descr="LOGO DGI">
          <a:extLst>
            <a:ext uri="{FF2B5EF4-FFF2-40B4-BE49-F238E27FC236}">
              <a16:creationId xmlns:a16="http://schemas.microsoft.com/office/drawing/2014/main" id="{BDEF53C3-BBC7-44AE-B9DF-E18DDDFD9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8" name="Picture 1" descr="LOGO DGI">
          <a:extLst>
            <a:ext uri="{FF2B5EF4-FFF2-40B4-BE49-F238E27FC236}">
              <a16:creationId xmlns:a16="http://schemas.microsoft.com/office/drawing/2014/main" id="{ED27B27B-E718-4DB3-9AFE-9156B7A0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79" name="Picture 1" descr="LOGO DGI">
          <a:extLst>
            <a:ext uri="{FF2B5EF4-FFF2-40B4-BE49-F238E27FC236}">
              <a16:creationId xmlns:a16="http://schemas.microsoft.com/office/drawing/2014/main" id="{F9E7F354-8352-49E7-93DA-6148D8C8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0" name="Picture 1" descr="LOGO DGI">
          <a:extLst>
            <a:ext uri="{FF2B5EF4-FFF2-40B4-BE49-F238E27FC236}">
              <a16:creationId xmlns:a16="http://schemas.microsoft.com/office/drawing/2014/main" id="{7E087C93-09A9-4CA3-8B5A-B454C909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1" name="Picture 1" descr="LOGO DGI">
          <a:extLst>
            <a:ext uri="{FF2B5EF4-FFF2-40B4-BE49-F238E27FC236}">
              <a16:creationId xmlns:a16="http://schemas.microsoft.com/office/drawing/2014/main" id="{75F33A37-5471-42BC-9D46-2B7D67225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2" name="Picture 1" descr="LOGO DGI">
          <a:extLst>
            <a:ext uri="{FF2B5EF4-FFF2-40B4-BE49-F238E27FC236}">
              <a16:creationId xmlns:a16="http://schemas.microsoft.com/office/drawing/2014/main" id="{47BCB03A-82FF-4B6C-8035-7FA39EFF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3" name="Picture 1" descr="LOGO DGI">
          <a:extLst>
            <a:ext uri="{FF2B5EF4-FFF2-40B4-BE49-F238E27FC236}">
              <a16:creationId xmlns:a16="http://schemas.microsoft.com/office/drawing/2014/main" id="{726BB0E1-1277-4EB0-B672-F138E19E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4" name="Picture 1" descr="LOGO DGI">
          <a:extLst>
            <a:ext uri="{FF2B5EF4-FFF2-40B4-BE49-F238E27FC236}">
              <a16:creationId xmlns:a16="http://schemas.microsoft.com/office/drawing/2014/main" id="{CB398B6D-A315-4C83-9F87-F5B86B875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5" name="Picture 1" descr="LOGO DGI">
          <a:extLst>
            <a:ext uri="{FF2B5EF4-FFF2-40B4-BE49-F238E27FC236}">
              <a16:creationId xmlns:a16="http://schemas.microsoft.com/office/drawing/2014/main" id="{D09CA692-2BB6-4362-85BA-C1761329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6" name="Picture 1" descr="LOGO DGI">
          <a:extLst>
            <a:ext uri="{FF2B5EF4-FFF2-40B4-BE49-F238E27FC236}">
              <a16:creationId xmlns:a16="http://schemas.microsoft.com/office/drawing/2014/main" id="{1254E936-27DC-4082-BD86-EBE6ACBE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7" name="Picture 1" descr="LOGO DGI">
          <a:extLst>
            <a:ext uri="{FF2B5EF4-FFF2-40B4-BE49-F238E27FC236}">
              <a16:creationId xmlns:a16="http://schemas.microsoft.com/office/drawing/2014/main" id="{CE454367-72A2-4650-9507-34176593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8" name="Picture 1" descr="LOGO DGI">
          <a:extLst>
            <a:ext uri="{FF2B5EF4-FFF2-40B4-BE49-F238E27FC236}">
              <a16:creationId xmlns:a16="http://schemas.microsoft.com/office/drawing/2014/main" id="{8E2E8CFC-4D5D-4409-8EDC-06907A31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89" name="Picture 1" descr="LOGO DGI">
          <a:extLst>
            <a:ext uri="{FF2B5EF4-FFF2-40B4-BE49-F238E27FC236}">
              <a16:creationId xmlns:a16="http://schemas.microsoft.com/office/drawing/2014/main" id="{A72F97BA-3ABD-4674-8239-E233C2D09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0" name="Picture 1" descr="LOGO DGI">
          <a:extLst>
            <a:ext uri="{FF2B5EF4-FFF2-40B4-BE49-F238E27FC236}">
              <a16:creationId xmlns:a16="http://schemas.microsoft.com/office/drawing/2014/main" id="{75DFC5C6-9E65-41B3-AD41-C82E1E86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1" name="Picture 1" descr="LOGO DGI">
          <a:extLst>
            <a:ext uri="{FF2B5EF4-FFF2-40B4-BE49-F238E27FC236}">
              <a16:creationId xmlns:a16="http://schemas.microsoft.com/office/drawing/2014/main" id="{6784D39E-CB3E-4B41-80F3-11132517B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2" name="Picture 1" descr="LOGO DGI">
          <a:extLst>
            <a:ext uri="{FF2B5EF4-FFF2-40B4-BE49-F238E27FC236}">
              <a16:creationId xmlns:a16="http://schemas.microsoft.com/office/drawing/2014/main" id="{4202DBFB-2572-4E58-95CB-EEFAB8C9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3" name="Picture 1" descr="LOGO DGI">
          <a:extLst>
            <a:ext uri="{FF2B5EF4-FFF2-40B4-BE49-F238E27FC236}">
              <a16:creationId xmlns:a16="http://schemas.microsoft.com/office/drawing/2014/main" id="{9B93EEC8-B803-4C0D-B21A-F6B8B63F4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4" name="Picture 1" descr="LOGO DGI">
          <a:extLst>
            <a:ext uri="{FF2B5EF4-FFF2-40B4-BE49-F238E27FC236}">
              <a16:creationId xmlns:a16="http://schemas.microsoft.com/office/drawing/2014/main" id="{D6953519-68CD-4559-A775-01C337E6C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5" name="Picture 1" descr="LOGO DGI">
          <a:extLst>
            <a:ext uri="{FF2B5EF4-FFF2-40B4-BE49-F238E27FC236}">
              <a16:creationId xmlns:a16="http://schemas.microsoft.com/office/drawing/2014/main" id="{B81FD52C-B060-4BE0-AF6E-8E676884D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6" name="Picture 1" descr="LOGO DGI">
          <a:extLst>
            <a:ext uri="{FF2B5EF4-FFF2-40B4-BE49-F238E27FC236}">
              <a16:creationId xmlns:a16="http://schemas.microsoft.com/office/drawing/2014/main" id="{DB735071-E728-497F-913C-1B66E9A7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7" name="Picture 1" descr="LOGO DGI">
          <a:extLst>
            <a:ext uri="{FF2B5EF4-FFF2-40B4-BE49-F238E27FC236}">
              <a16:creationId xmlns:a16="http://schemas.microsoft.com/office/drawing/2014/main" id="{E05A6DBE-9719-414A-B775-2DA0274A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8" name="Picture 1" descr="LOGO DGI">
          <a:extLst>
            <a:ext uri="{FF2B5EF4-FFF2-40B4-BE49-F238E27FC236}">
              <a16:creationId xmlns:a16="http://schemas.microsoft.com/office/drawing/2014/main" id="{7E06CA54-275A-494B-BB10-2588A6A53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699" name="Picture 1" descr="LOGO DGI">
          <a:extLst>
            <a:ext uri="{FF2B5EF4-FFF2-40B4-BE49-F238E27FC236}">
              <a16:creationId xmlns:a16="http://schemas.microsoft.com/office/drawing/2014/main" id="{61F15094-99F5-4DC2-B908-F8B4B1F7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0" name="Picture 1" descr="LOGO DGI">
          <a:extLst>
            <a:ext uri="{FF2B5EF4-FFF2-40B4-BE49-F238E27FC236}">
              <a16:creationId xmlns:a16="http://schemas.microsoft.com/office/drawing/2014/main" id="{03721D7A-359C-4BAF-9AFF-0519F4F3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1" name="Picture 1" descr="LOGO DGI">
          <a:extLst>
            <a:ext uri="{FF2B5EF4-FFF2-40B4-BE49-F238E27FC236}">
              <a16:creationId xmlns:a16="http://schemas.microsoft.com/office/drawing/2014/main" id="{1A0AFFF3-2F98-43C5-AB3A-EA2814E7E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2" name="Picture 1" descr="LOGO DGI">
          <a:extLst>
            <a:ext uri="{FF2B5EF4-FFF2-40B4-BE49-F238E27FC236}">
              <a16:creationId xmlns:a16="http://schemas.microsoft.com/office/drawing/2014/main" id="{93C23B7D-82D3-4CDC-A09F-2CD363EC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3" name="Picture 1" descr="LOGO DGI">
          <a:extLst>
            <a:ext uri="{FF2B5EF4-FFF2-40B4-BE49-F238E27FC236}">
              <a16:creationId xmlns:a16="http://schemas.microsoft.com/office/drawing/2014/main" id="{7407D30C-DDED-4082-A649-0BA2CC7D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4" name="Picture 1" descr="LOGO DGI">
          <a:extLst>
            <a:ext uri="{FF2B5EF4-FFF2-40B4-BE49-F238E27FC236}">
              <a16:creationId xmlns:a16="http://schemas.microsoft.com/office/drawing/2014/main" id="{ED17435A-B0F5-4EFD-A73A-0B001DB06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5" name="Picture 1" descr="LOGO DGI">
          <a:extLst>
            <a:ext uri="{FF2B5EF4-FFF2-40B4-BE49-F238E27FC236}">
              <a16:creationId xmlns:a16="http://schemas.microsoft.com/office/drawing/2014/main" id="{E3C6C657-7B92-44ED-B7E7-B207910E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6" name="Picture 1" descr="LOGO DGI">
          <a:extLst>
            <a:ext uri="{FF2B5EF4-FFF2-40B4-BE49-F238E27FC236}">
              <a16:creationId xmlns:a16="http://schemas.microsoft.com/office/drawing/2014/main" id="{C24A9245-D94C-4E0D-919E-0264D29E2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7" name="Picture 1" descr="LOGO DGI">
          <a:extLst>
            <a:ext uri="{FF2B5EF4-FFF2-40B4-BE49-F238E27FC236}">
              <a16:creationId xmlns:a16="http://schemas.microsoft.com/office/drawing/2014/main" id="{81142B08-86EA-403A-BA50-EC3C017C9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8" name="Picture 1" descr="LOGO DGI">
          <a:extLst>
            <a:ext uri="{FF2B5EF4-FFF2-40B4-BE49-F238E27FC236}">
              <a16:creationId xmlns:a16="http://schemas.microsoft.com/office/drawing/2014/main" id="{1C43521E-D001-4613-8F06-F1EBDDE9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09" name="Picture 1" descr="LOGO DGI">
          <a:extLst>
            <a:ext uri="{FF2B5EF4-FFF2-40B4-BE49-F238E27FC236}">
              <a16:creationId xmlns:a16="http://schemas.microsoft.com/office/drawing/2014/main" id="{D50B72F0-8661-4038-A5EA-60CC95F2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0" name="Picture 1" descr="LOGO DGI">
          <a:extLst>
            <a:ext uri="{FF2B5EF4-FFF2-40B4-BE49-F238E27FC236}">
              <a16:creationId xmlns:a16="http://schemas.microsoft.com/office/drawing/2014/main" id="{53E9EB25-0E24-4BFA-BB50-3E28DCB4A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1" name="Picture 1" descr="LOGO DGI">
          <a:extLst>
            <a:ext uri="{FF2B5EF4-FFF2-40B4-BE49-F238E27FC236}">
              <a16:creationId xmlns:a16="http://schemas.microsoft.com/office/drawing/2014/main" id="{AAF65FA1-C2E5-48D4-9DFF-7BE52C186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2" name="Picture 1" descr="LOGO DGI">
          <a:extLst>
            <a:ext uri="{FF2B5EF4-FFF2-40B4-BE49-F238E27FC236}">
              <a16:creationId xmlns:a16="http://schemas.microsoft.com/office/drawing/2014/main" id="{48F34521-8F8D-4EEB-B911-7A577DA94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3" name="Picture 1" descr="LOGO DGI">
          <a:extLst>
            <a:ext uri="{FF2B5EF4-FFF2-40B4-BE49-F238E27FC236}">
              <a16:creationId xmlns:a16="http://schemas.microsoft.com/office/drawing/2014/main" id="{1D4C67CA-7A44-4A54-B66E-ED696E9AA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4" name="Picture 1" descr="LOGO DGI">
          <a:extLst>
            <a:ext uri="{FF2B5EF4-FFF2-40B4-BE49-F238E27FC236}">
              <a16:creationId xmlns:a16="http://schemas.microsoft.com/office/drawing/2014/main" id="{029143DD-7F2B-4046-96C8-69937968B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5" name="Picture 1" descr="LOGO DGI">
          <a:extLst>
            <a:ext uri="{FF2B5EF4-FFF2-40B4-BE49-F238E27FC236}">
              <a16:creationId xmlns:a16="http://schemas.microsoft.com/office/drawing/2014/main" id="{20C17288-53D4-4E0F-89D0-3EA29B17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6" name="Picture 1" descr="LOGO DGI">
          <a:extLst>
            <a:ext uri="{FF2B5EF4-FFF2-40B4-BE49-F238E27FC236}">
              <a16:creationId xmlns:a16="http://schemas.microsoft.com/office/drawing/2014/main" id="{4F70E95D-92A6-4B85-93CE-9ABD02A28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7" name="Picture 1" descr="LOGO DGI">
          <a:extLst>
            <a:ext uri="{FF2B5EF4-FFF2-40B4-BE49-F238E27FC236}">
              <a16:creationId xmlns:a16="http://schemas.microsoft.com/office/drawing/2014/main" id="{CEEE7210-E38B-4341-BA15-9DEB0B6F3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8" name="Picture 1" descr="LOGO DGI">
          <a:extLst>
            <a:ext uri="{FF2B5EF4-FFF2-40B4-BE49-F238E27FC236}">
              <a16:creationId xmlns:a16="http://schemas.microsoft.com/office/drawing/2014/main" id="{2F815684-CA64-487B-B033-74752629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19" name="Picture 1" descr="LOGO DGI">
          <a:extLst>
            <a:ext uri="{FF2B5EF4-FFF2-40B4-BE49-F238E27FC236}">
              <a16:creationId xmlns:a16="http://schemas.microsoft.com/office/drawing/2014/main" id="{E0EB7109-0A59-402B-B1BB-C58C1D60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0" name="Picture 1" descr="LOGO DGI">
          <a:extLst>
            <a:ext uri="{FF2B5EF4-FFF2-40B4-BE49-F238E27FC236}">
              <a16:creationId xmlns:a16="http://schemas.microsoft.com/office/drawing/2014/main" id="{35DF21B4-1110-443E-A931-445F900C7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1" name="Picture 1" descr="LOGO DGI">
          <a:extLst>
            <a:ext uri="{FF2B5EF4-FFF2-40B4-BE49-F238E27FC236}">
              <a16:creationId xmlns:a16="http://schemas.microsoft.com/office/drawing/2014/main" id="{3DB0F71A-7E48-4421-81CF-B385A8E32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2" name="Picture 1" descr="LOGO DGI">
          <a:extLst>
            <a:ext uri="{FF2B5EF4-FFF2-40B4-BE49-F238E27FC236}">
              <a16:creationId xmlns:a16="http://schemas.microsoft.com/office/drawing/2014/main" id="{D01A2DB5-613D-4205-84F4-3E54C2C57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3" name="Picture 1" descr="LOGO DGI">
          <a:extLst>
            <a:ext uri="{FF2B5EF4-FFF2-40B4-BE49-F238E27FC236}">
              <a16:creationId xmlns:a16="http://schemas.microsoft.com/office/drawing/2014/main" id="{F7964B3D-8897-4D19-989F-BF957BC5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4" name="Picture 1" descr="LOGO DGI">
          <a:extLst>
            <a:ext uri="{FF2B5EF4-FFF2-40B4-BE49-F238E27FC236}">
              <a16:creationId xmlns:a16="http://schemas.microsoft.com/office/drawing/2014/main" id="{34B3FB9B-BD73-4374-AD6B-141CB866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5" name="Picture 1" descr="LOGO DGI">
          <a:extLst>
            <a:ext uri="{FF2B5EF4-FFF2-40B4-BE49-F238E27FC236}">
              <a16:creationId xmlns:a16="http://schemas.microsoft.com/office/drawing/2014/main" id="{540A61B1-8788-42FF-A9E4-B35B958C4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6" name="Picture 1" descr="LOGO DGI">
          <a:extLst>
            <a:ext uri="{FF2B5EF4-FFF2-40B4-BE49-F238E27FC236}">
              <a16:creationId xmlns:a16="http://schemas.microsoft.com/office/drawing/2014/main" id="{95F6D7CF-00C4-4632-8398-301D109AE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7" name="Picture 1" descr="LOGO DGI">
          <a:extLst>
            <a:ext uri="{FF2B5EF4-FFF2-40B4-BE49-F238E27FC236}">
              <a16:creationId xmlns:a16="http://schemas.microsoft.com/office/drawing/2014/main" id="{7E054AFC-2104-443B-89F1-D0D31126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8" name="Picture 1" descr="LOGO DGI">
          <a:extLst>
            <a:ext uri="{FF2B5EF4-FFF2-40B4-BE49-F238E27FC236}">
              <a16:creationId xmlns:a16="http://schemas.microsoft.com/office/drawing/2014/main" id="{8EA634EF-7139-48E1-B3E3-336DFDB3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29" name="Picture 1" descr="LOGO DGI">
          <a:extLst>
            <a:ext uri="{FF2B5EF4-FFF2-40B4-BE49-F238E27FC236}">
              <a16:creationId xmlns:a16="http://schemas.microsoft.com/office/drawing/2014/main" id="{F604BA9B-5A1C-4924-88E3-A551BA1E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0" name="Picture 1" descr="LOGO DGI">
          <a:extLst>
            <a:ext uri="{FF2B5EF4-FFF2-40B4-BE49-F238E27FC236}">
              <a16:creationId xmlns:a16="http://schemas.microsoft.com/office/drawing/2014/main" id="{272B9966-3BB5-4719-865F-3AEC0933B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1" name="Picture 1" descr="LOGO DGI">
          <a:extLst>
            <a:ext uri="{FF2B5EF4-FFF2-40B4-BE49-F238E27FC236}">
              <a16:creationId xmlns:a16="http://schemas.microsoft.com/office/drawing/2014/main" id="{E31AF1DD-2308-43E5-9469-1B3118B0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2" name="Picture 1" descr="LOGO DGI">
          <a:extLst>
            <a:ext uri="{FF2B5EF4-FFF2-40B4-BE49-F238E27FC236}">
              <a16:creationId xmlns:a16="http://schemas.microsoft.com/office/drawing/2014/main" id="{82162CE8-5422-4CEC-A114-1E4619CA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3" name="Picture 1" descr="LOGO DGI">
          <a:extLst>
            <a:ext uri="{FF2B5EF4-FFF2-40B4-BE49-F238E27FC236}">
              <a16:creationId xmlns:a16="http://schemas.microsoft.com/office/drawing/2014/main" id="{02E73980-9824-4487-AD68-5E38281D3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4" name="Picture 1" descr="LOGO DGI">
          <a:extLst>
            <a:ext uri="{FF2B5EF4-FFF2-40B4-BE49-F238E27FC236}">
              <a16:creationId xmlns:a16="http://schemas.microsoft.com/office/drawing/2014/main" id="{F30EFA30-0752-4616-A88E-9F4F6D345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5" name="Picture 1" descr="LOGO DGI">
          <a:extLst>
            <a:ext uri="{FF2B5EF4-FFF2-40B4-BE49-F238E27FC236}">
              <a16:creationId xmlns:a16="http://schemas.microsoft.com/office/drawing/2014/main" id="{56142B15-D688-4998-9BB8-0178C156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6" name="Picture 1" descr="LOGO DGI">
          <a:extLst>
            <a:ext uri="{FF2B5EF4-FFF2-40B4-BE49-F238E27FC236}">
              <a16:creationId xmlns:a16="http://schemas.microsoft.com/office/drawing/2014/main" id="{13D25825-4DA7-44E7-BB82-B142C57CC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6737" name="Picture 1" descr="LOGO DGI">
          <a:extLst>
            <a:ext uri="{FF2B5EF4-FFF2-40B4-BE49-F238E27FC236}">
              <a16:creationId xmlns:a16="http://schemas.microsoft.com/office/drawing/2014/main" id="{F20D28F0-ACA4-4967-9171-64661067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28575</xdr:rowOff>
    </xdr:from>
    <xdr:to>
      <xdr:col>0</xdr:col>
      <xdr:colOff>695325</xdr:colOff>
      <xdr:row>20</xdr:row>
      <xdr:rowOff>28575</xdr:rowOff>
    </xdr:to>
    <xdr:pic>
      <xdr:nvPicPr>
        <xdr:cNvPr id="1596738" name="Picture 1" descr="LOGO DGI">
          <a:extLst>
            <a:ext uri="{FF2B5EF4-FFF2-40B4-BE49-F238E27FC236}">
              <a16:creationId xmlns:a16="http://schemas.microsoft.com/office/drawing/2014/main" id="{27FC235F-61E2-496A-B43C-B97021021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765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152400</xdr:rowOff>
    </xdr:from>
    <xdr:to>
      <xdr:col>8</xdr:col>
      <xdr:colOff>438150</xdr:colOff>
      <xdr:row>27</xdr:row>
      <xdr:rowOff>28575</xdr:rowOff>
    </xdr:to>
    <xdr:graphicFrame macro="">
      <xdr:nvGraphicFramePr>
        <xdr:cNvPr id="7043" name="Chart 1">
          <a:extLst>
            <a:ext uri="{FF2B5EF4-FFF2-40B4-BE49-F238E27FC236}">
              <a16:creationId xmlns:a16="http://schemas.microsoft.com/office/drawing/2014/main" id="{F2CDD27E-305F-4432-9DAC-17BCB2E8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142875</xdr:rowOff>
    </xdr:from>
    <xdr:to>
      <xdr:col>11</xdr:col>
      <xdr:colOff>571500</xdr:colOff>
      <xdr:row>27</xdr:row>
      <xdr:rowOff>28575</xdr:rowOff>
    </xdr:to>
    <xdr:graphicFrame macro="">
      <xdr:nvGraphicFramePr>
        <xdr:cNvPr id="7044" name="Chart 4">
          <a:extLst>
            <a:ext uri="{FF2B5EF4-FFF2-40B4-BE49-F238E27FC236}">
              <a16:creationId xmlns:a16="http://schemas.microsoft.com/office/drawing/2014/main" id="{21D6BAAB-930D-48CC-8707-C7EC9A80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752475</xdr:colOff>
      <xdr:row>0</xdr:row>
      <xdr:rowOff>66675</xdr:rowOff>
    </xdr:from>
    <xdr:to>
      <xdr:col>6</xdr:col>
      <xdr:colOff>276225</xdr:colOff>
      <xdr:row>4</xdr:row>
      <xdr:rowOff>19050</xdr:rowOff>
    </xdr:to>
    <xdr:sp macro="" textlink="">
      <xdr:nvSpPr>
        <xdr:cNvPr id="6147" name="CommandButton1" hidden="1">
          <a:extLst>
            <a:ext uri="{63B3BB69-23CF-44E3-9099-C40C66FF867C}">
              <a14:compatExt xmlns:a14="http://schemas.microsoft.com/office/drawing/2010/main" spid="_x0000_s6147"/>
            </a:ext>
            <a:ext uri="{FF2B5EF4-FFF2-40B4-BE49-F238E27FC236}">
              <a16:creationId xmlns:a16="http://schemas.microsoft.com/office/drawing/2014/main" id="{59F42ED0-7896-4873-8043-316ED32EF9A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85725</xdr:rowOff>
    </xdr:from>
    <xdr:to>
      <xdr:col>10</xdr:col>
      <xdr:colOff>133350</xdr:colOff>
      <xdr:row>4</xdr:row>
      <xdr:rowOff>0</xdr:rowOff>
    </xdr:to>
    <xdr:sp macro="" textlink="">
      <xdr:nvSpPr>
        <xdr:cNvPr id="37889" name="CommandButton2" hidden="1">
          <a:extLst>
            <a:ext uri="{63B3BB69-23CF-44E3-9099-C40C66FF867C}">
              <a14:compatExt xmlns:a14="http://schemas.microsoft.com/office/drawing/2010/main" spid="_x0000_s37889"/>
            </a:ext>
            <a:ext uri="{FF2B5EF4-FFF2-40B4-BE49-F238E27FC236}">
              <a16:creationId xmlns:a16="http://schemas.microsoft.com/office/drawing/2014/main" id="{94E78E79-B22D-4FF5-BEC3-0FD071C4B76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561975</xdr:colOff>
      <xdr:row>0</xdr:row>
      <xdr:rowOff>104775</xdr:rowOff>
    </xdr:from>
    <xdr:to>
      <xdr:col>11</xdr:col>
      <xdr:colOff>533400</xdr:colOff>
      <xdr:row>4</xdr:row>
      <xdr:rowOff>0</xdr:rowOff>
    </xdr:to>
    <xdr:sp macro="" textlink="">
      <xdr:nvSpPr>
        <xdr:cNvPr id="37890" name="CommandButton1" hidden="1">
          <a:extLst>
            <a:ext uri="{63B3BB69-23CF-44E3-9099-C40C66FF867C}">
              <a14:compatExt xmlns:a14="http://schemas.microsoft.com/office/drawing/2010/main" spid="_x0000_s37890"/>
            </a:ext>
            <a:ext uri="{FF2B5EF4-FFF2-40B4-BE49-F238E27FC236}">
              <a16:creationId xmlns:a16="http://schemas.microsoft.com/office/drawing/2014/main" id="{0F4E34AC-B541-4095-B8CD-360C941FC50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504825</xdr:colOff>
      <xdr:row>4</xdr:row>
      <xdr:rowOff>95250</xdr:rowOff>
    </xdr:from>
    <xdr:to>
      <xdr:col>10</xdr:col>
      <xdr:colOff>161925</xdr:colOff>
      <xdr:row>8</xdr:row>
      <xdr:rowOff>0</xdr:rowOff>
    </xdr:to>
    <xdr:sp macro="" textlink="">
      <xdr:nvSpPr>
        <xdr:cNvPr id="37891" name="CommandButton3" hidden="1">
          <a:extLst>
            <a:ext uri="{63B3BB69-23CF-44E3-9099-C40C66FF867C}">
              <a14:compatExt xmlns:a14="http://schemas.microsoft.com/office/drawing/2010/main" spid="_x0000_s37891"/>
            </a:ext>
            <a:ext uri="{FF2B5EF4-FFF2-40B4-BE49-F238E27FC236}">
              <a16:creationId xmlns:a16="http://schemas.microsoft.com/office/drawing/2014/main" id="{8D85D91A-2A1C-45C7-942C-DA60B6D345E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571500</xdr:colOff>
      <xdr:row>4</xdr:row>
      <xdr:rowOff>123825</xdr:rowOff>
    </xdr:from>
    <xdr:to>
      <xdr:col>11</xdr:col>
      <xdr:colOff>561975</xdr:colOff>
      <xdr:row>8</xdr:row>
      <xdr:rowOff>76200</xdr:rowOff>
    </xdr:to>
    <xdr:sp macro="" textlink="">
      <xdr:nvSpPr>
        <xdr:cNvPr id="37892" name="CommandButton4" hidden="1">
          <a:extLst>
            <a:ext uri="{63B3BB69-23CF-44E3-9099-C40C66FF867C}">
              <a14:compatExt xmlns:a14="http://schemas.microsoft.com/office/drawing/2010/main" spid="_x0000_s37892"/>
            </a:ext>
            <a:ext uri="{FF2B5EF4-FFF2-40B4-BE49-F238E27FC236}">
              <a16:creationId xmlns:a16="http://schemas.microsoft.com/office/drawing/2014/main" id="{97F02373-7E87-43AE-91A3-0244F078190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4</xdr:row>
      <xdr:rowOff>28575</xdr:rowOff>
    </xdr:from>
    <xdr:to>
      <xdr:col>0</xdr:col>
      <xdr:colOff>600075</xdr:colOff>
      <xdr:row>7</xdr:row>
      <xdr:rowOff>28575</xdr:rowOff>
    </xdr:to>
    <xdr:pic>
      <xdr:nvPicPr>
        <xdr:cNvPr id="1577525" name="Picture 1" descr="LOGO DGI">
          <a:extLst>
            <a:ext uri="{FF2B5EF4-FFF2-40B4-BE49-F238E27FC236}">
              <a16:creationId xmlns:a16="http://schemas.microsoft.com/office/drawing/2014/main" id="{423AA5DA-0EB4-49A3-8553-0DB9F9C3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76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26" name="Picture 118" descr="LOGO DGI">
          <a:extLst>
            <a:ext uri="{FF2B5EF4-FFF2-40B4-BE49-F238E27FC236}">
              <a16:creationId xmlns:a16="http://schemas.microsoft.com/office/drawing/2014/main" id="{B74EC406-F958-4BEC-BE9C-FBCA4BBE1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27" name="Picture 119" descr="LOGO DGI">
          <a:extLst>
            <a:ext uri="{FF2B5EF4-FFF2-40B4-BE49-F238E27FC236}">
              <a16:creationId xmlns:a16="http://schemas.microsoft.com/office/drawing/2014/main" id="{88532CC5-9D2B-4017-9602-B2D807ECA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28" name="Picture 120" descr="LOGO DGI">
          <a:extLst>
            <a:ext uri="{FF2B5EF4-FFF2-40B4-BE49-F238E27FC236}">
              <a16:creationId xmlns:a16="http://schemas.microsoft.com/office/drawing/2014/main" id="{0E626F40-60A0-4CE0-9A5F-FCF2CAE0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29" name="Picture 121" descr="LOGO DGI">
          <a:extLst>
            <a:ext uri="{FF2B5EF4-FFF2-40B4-BE49-F238E27FC236}">
              <a16:creationId xmlns:a16="http://schemas.microsoft.com/office/drawing/2014/main" id="{3003663A-FBFA-4A4B-A234-537B6E5A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0" name="Picture 122" descr="LOGO DGI">
          <a:extLst>
            <a:ext uri="{FF2B5EF4-FFF2-40B4-BE49-F238E27FC236}">
              <a16:creationId xmlns:a16="http://schemas.microsoft.com/office/drawing/2014/main" id="{B997A040-353D-44DD-96FE-7F797483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1" name="Picture 123" descr="LOGO DGI">
          <a:extLst>
            <a:ext uri="{FF2B5EF4-FFF2-40B4-BE49-F238E27FC236}">
              <a16:creationId xmlns:a16="http://schemas.microsoft.com/office/drawing/2014/main" id="{B1E12DDD-D618-4062-AC1C-887BAA5E1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2" name="Picture 124" descr="LOGO DGI">
          <a:extLst>
            <a:ext uri="{FF2B5EF4-FFF2-40B4-BE49-F238E27FC236}">
              <a16:creationId xmlns:a16="http://schemas.microsoft.com/office/drawing/2014/main" id="{4C57C4F8-A8FC-41A3-A4E1-A59732820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3" name="Picture 125" descr="LOGO DGI">
          <a:extLst>
            <a:ext uri="{FF2B5EF4-FFF2-40B4-BE49-F238E27FC236}">
              <a16:creationId xmlns:a16="http://schemas.microsoft.com/office/drawing/2014/main" id="{97610E19-3BD7-4580-BB51-029E4DC59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4" name="Picture 126" descr="LOGO DGI">
          <a:extLst>
            <a:ext uri="{FF2B5EF4-FFF2-40B4-BE49-F238E27FC236}">
              <a16:creationId xmlns:a16="http://schemas.microsoft.com/office/drawing/2014/main" id="{6C712113-B5EF-4FE5-90BA-BA1553053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5" name="Picture 127" descr="LOGO DGI">
          <a:extLst>
            <a:ext uri="{FF2B5EF4-FFF2-40B4-BE49-F238E27FC236}">
              <a16:creationId xmlns:a16="http://schemas.microsoft.com/office/drawing/2014/main" id="{3CD31145-6AEF-4BFE-A32A-75F427C1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6" name="Picture 128" descr="LOGO DGI">
          <a:extLst>
            <a:ext uri="{FF2B5EF4-FFF2-40B4-BE49-F238E27FC236}">
              <a16:creationId xmlns:a16="http://schemas.microsoft.com/office/drawing/2014/main" id="{0200B692-B98C-44E7-A6BC-CC4FF884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7" name="Picture 129" descr="LOGO DGI">
          <a:extLst>
            <a:ext uri="{FF2B5EF4-FFF2-40B4-BE49-F238E27FC236}">
              <a16:creationId xmlns:a16="http://schemas.microsoft.com/office/drawing/2014/main" id="{947702F6-B65A-465C-90CC-8F2AB9BC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8" name="Picture 130" descr="LOGO DGI">
          <a:extLst>
            <a:ext uri="{FF2B5EF4-FFF2-40B4-BE49-F238E27FC236}">
              <a16:creationId xmlns:a16="http://schemas.microsoft.com/office/drawing/2014/main" id="{B1A60A6C-CD43-4D06-B521-5F678243F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39" name="Picture 131" descr="LOGO DGI">
          <a:extLst>
            <a:ext uri="{FF2B5EF4-FFF2-40B4-BE49-F238E27FC236}">
              <a16:creationId xmlns:a16="http://schemas.microsoft.com/office/drawing/2014/main" id="{70CA98E8-7D1D-4D95-9EA7-17DC8BAC8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40" name="Picture 132" descr="LOGO DGI">
          <a:extLst>
            <a:ext uri="{FF2B5EF4-FFF2-40B4-BE49-F238E27FC236}">
              <a16:creationId xmlns:a16="http://schemas.microsoft.com/office/drawing/2014/main" id="{0B88FA50-BB91-4718-9AC8-52ED2042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77541" name="Picture 133" descr="LOGO DGI">
          <a:extLst>
            <a:ext uri="{FF2B5EF4-FFF2-40B4-BE49-F238E27FC236}">
              <a16:creationId xmlns:a16="http://schemas.microsoft.com/office/drawing/2014/main" id="{386FA41F-BFDD-4BEC-9276-EF7E19BF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2" name="Picture 134" descr="LOGO DGI">
          <a:extLst>
            <a:ext uri="{FF2B5EF4-FFF2-40B4-BE49-F238E27FC236}">
              <a16:creationId xmlns:a16="http://schemas.microsoft.com/office/drawing/2014/main" id="{2BF20D4D-68E7-45B2-A507-B1EBE7DD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3" name="Picture 135" descr="LOGO DGI">
          <a:extLst>
            <a:ext uri="{FF2B5EF4-FFF2-40B4-BE49-F238E27FC236}">
              <a16:creationId xmlns:a16="http://schemas.microsoft.com/office/drawing/2014/main" id="{4E1D09DD-E017-4432-BC81-7D3B875DC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4" name="Picture 136" descr="LOGO DGI">
          <a:extLst>
            <a:ext uri="{FF2B5EF4-FFF2-40B4-BE49-F238E27FC236}">
              <a16:creationId xmlns:a16="http://schemas.microsoft.com/office/drawing/2014/main" id="{91F54A11-7047-4320-8127-012D852F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5" name="Picture 137" descr="LOGO DGI">
          <a:extLst>
            <a:ext uri="{FF2B5EF4-FFF2-40B4-BE49-F238E27FC236}">
              <a16:creationId xmlns:a16="http://schemas.microsoft.com/office/drawing/2014/main" id="{CDF6D367-CBB6-49F1-BA41-AAED74AD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6" name="Picture 138" descr="LOGO DGI">
          <a:extLst>
            <a:ext uri="{FF2B5EF4-FFF2-40B4-BE49-F238E27FC236}">
              <a16:creationId xmlns:a16="http://schemas.microsoft.com/office/drawing/2014/main" id="{FB24340E-E694-42BC-9F4E-27D904FD5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7" name="Picture 139" descr="LOGO DGI">
          <a:extLst>
            <a:ext uri="{FF2B5EF4-FFF2-40B4-BE49-F238E27FC236}">
              <a16:creationId xmlns:a16="http://schemas.microsoft.com/office/drawing/2014/main" id="{AA4A516F-2BC6-47F2-9814-3CF06A429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8" name="Picture 140" descr="LOGO DGI">
          <a:extLst>
            <a:ext uri="{FF2B5EF4-FFF2-40B4-BE49-F238E27FC236}">
              <a16:creationId xmlns:a16="http://schemas.microsoft.com/office/drawing/2014/main" id="{F95898DC-6A8C-41B6-8D0E-6804D5BD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49" name="Picture 141" descr="LOGO DGI">
          <a:extLst>
            <a:ext uri="{FF2B5EF4-FFF2-40B4-BE49-F238E27FC236}">
              <a16:creationId xmlns:a16="http://schemas.microsoft.com/office/drawing/2014/main" id="{D03E0563-372D-49B6-AAB2-7E35E61C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0" name="Picture 142" descr="LOGO DGI">
          <a:extLst>
            <a:ext uri="{FF2B5EF4-FFF2-40B4-BE49-F238E27FC236}">
              <a16:creationId xmlns:a16="http://schemas.microsoft.com/office/drawing/2014/main" id="{C80063E1-D4CF-4615-88CE-1B9153226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1" name="Picture 143" descr="LOGO DGI">
          <a:extLst>
            <a:ext uri="{FF2B5EF4-FFF2-40B4-BE49-F238E27FC236}">
              <a16:creationId xmlns:a16="http://schemas.microsoft.com/office/drawing/2014/main" id="{C9CA8C55-37D6-4F02-8335-17D5BC41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2" name="Picture 144" descr="LOGO DGI">
          <a:extLst>
            <a:ext uri="{FF2B5EF4-FFF2-40B4-BE49-F238E27FC236}">
              <a16:creationId xmlns:a16="http://schemas.microsoft.com/office/drawing/2014/main" id="{DFA3D382-D3B4-422D-8191-85551FFF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3" name="Picture 145" descr="LOGO DGI">
          <a:extLst>
            <a:ext uri="{FF2B5EF4-FFF2-40B4-BE49-F238E27FC236}">
              <a16:creationId xmlns:a16="http://schemas.microsoft.com/office/drawing/2014/main" id="{026B304F-0F5D-4D1E-B6F5-F2DCC54B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4" name="Picture 146" descr="LOGO DGI">
          <a:extLst>
            <a:ext uri="{FF2B5EF4-FFF2-40B4-BE49-F238E27FC236}">
              <a16:creationId xmlns:a16="http://schemas.microsoft.com/office/drawing/2014/main" id="{9376BE84-DCFD-44D3-AA5E-D0EE86F9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5" name="Picture 147" descr="LOGO DGI">
          <a:extLst>
            <a:ext uri="{FF2B5EF4-FFF2-40B4-BE49-F238E27FC236}">
              <a16:creationId xmlns:a16="http://schemas.microsoft.com/office/drawing/2014/main" id="{C3B4AF65-35BE-43E2-B601-22B4DD44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6" name="Picture 148" descr="LOGO DGI">
          <a:extLst>
            <a:ext uri="{FF2B5EF4-FFF2-40B4-BE49-F238E27FC236}">
              <a16:creationId xmlns:a16="http://schemas.microsoft.com/office/drawing/2014/main" id="{05142550-80D1-46CC-8699-34A714C1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77557" name="Picture 149" descr="LOGO DGI">
          <a:extLst>
            <a:ext uri="{FF2B5EF4-FFF2-40B4-BE49-F238E27FC236}">
              <a16:creationId xmlns:a16="http://schemas.microsoft.com/office/drawing/2014/main" id="{18658306-9BA4-4585-86A5-658C97257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289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58" name="Picture 150" descr="LOGO DGI">
          <a:extLst>
            <a:ext uri="{FF2B5EF4-FFF2-40B4-BE49-F238E27FC236}">
              <a16:creationId xmlns:a16="http://schemas.microsoft.com/office/drawing/2014/main" id="{6114FE5B-5B86-4255-9BA7-AD2701C57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59" name="Picture 151" descr="LOGO DGI">
          <a:extLst>
            <a:ext uri="{FF2B5EF4-FFF2-40B4-BE49-F238E27FC236}">
              <a16:creationId xmlns:a16="http://schemas.microsoft.com/office/drawing/2014/main" id="{A49B7D3A-6B7E-402D-9A96-EEB162BA7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0" name="Picture 152" descr="LOGO DGI">
          <a:extLst>
            <a:ext uri="{FF2B5EF4-FFF2-40B4-BE49-F238E27FC236}">
              <a16:creationId xmlns:a16="http://schemas.microsoft.com/office/drawing/2014/main" id="{136A79F9-0819-40E4-8EC4-1D850554F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1" name="Picture 153" descr="LOGO DGI">
          <a:extLst>
            <a:ext uri="{FF2B5EF4-FFF2-40B4-BE49-F238E27FC236}">
              <a16:creationId xmlns:a16="http://schemas.microsoft.com/office/drawing/2014/main" id="{AB4B51A8-1D01-4AB1-91EF-4ADEDFE7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2" name="Picture 154" descr="LOGO DGI">
          <a:extLst>
            <a:ext uri="{FF2B5EF4-FFF2-40B4-BE49-F238E27FC236}">
              <a16:creationId xmlns:a16="http://schemas.microsoft.com/office/drawing/2014/main" id="{2BA16153-1DD0-4845-94BB-A03A09B4F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3" name="Picture 155" descr="LOGO DGI">
          <a:extLst>
            <a:ext uri="{FF2B5EF4-FFF2-40B4-BE49-F238E27FC236}">
              <a16:creationId xmlns:a16="http://schemas.microsoft.com/office/drawing/2014/main" id="{883467BE-1982-4F21-8854-32E3D7652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4" name="Picture 156" descr="LOGO DGI">
          <a:extLst>
            <a:ext uri="{FF2B5EF4-FFF2-40B4-BE49-F238E27FC236}">
              <a16:creationId xmlns:a16="http://schemas.microsoft.com/office/drawing/2014/main" id="{9B030048-3E8C-458D-9397-C4E789F3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5" name="Picture 157" descr="LOGO DGI">
          <a:extLst>
            <a:ext uri="{FF2B5EF4-FFF2-40B4-BE49-F238E27FC236}">
              <a16:creationId xmlns:a16="http://schemas.microsoft.com/office/drawing/2014/main" id="{ED3BF212-C40D-4DF6-8517-3BCE9BBC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6" name="Picture 158" descr="LOGO DGI">
          <a:extLst>
            <a:ext uri="{FF2B5EF4-FFF2-40B4-BE49-F238E27FC236}">
              <a16:creationId xmlns:a16="http://schemas.microsoft.com/office/drawing/2014/main" id="{97174FF5-21BA-497E-B3A4-947D3163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7" name="Picture 159" descr="LOGO DGI">
          <a:extLst>
            <a:ext uri="{FF2B5EF4-FFF2-40B4-BE49-F238E27FC236}">
              <a16:creationId xmlns:a16="http://schemas.microsoft.com/office/drawing/2014/main" id="{73D6EB8D-EBB7-41D3-9D7C-771845319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8" name="Picture 160" descr="LOGO DGI">
          <a:extLst>
            <a:ext uri="{FF2B5EF4-FFF2-40B4-BE49-F238E27FC236}">
              <a16:creationId xmlns:a16="http://schemas.microsoft.com/office/drawing/2014/main" id="{891AC7BF-7D6E-47EF-BF42-DA71AD99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69" name="Picture 161" descr="LOGO DGI">
          <a:extLst>
            <a:ext uri="{FF2B5EF4-FFF2-40B4-BE49-F238E27FC236}">
              <a16:creationId xmlns:a16="http://schemas.microsoft.com/office/drawing/2014/main" id="{8611E418-1E25-4C92-9045-7C66B3C73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0" name="Picture 162" descr="LOGO DGI">
          <a:extLst>
            <a:ext uri="{FF2B5EF4-FFF2-40B4-BE49-F238E27FC236}">
              <a16:creationId xmlns:a16="http://schemas.microsoft.com/office/drawing/2014/main" id="{50F5B6EE-AF7B-48E3-8B7A-F5DD21EE5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1" name="Picture 163" descr="LOGO DGI">
          <a:extLst>
            <a:ext uri="{FF2B5EF4-FFF2-40B4-BE49-F238E27FC236}">
              <a16:creationId xmlns:a16="http://schemas.microsoft.com/office/drawing/2014/main" id="{216660A2-96FF-4CB0-93D6-BB40FA46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2" name="Picture 164" descr="LOGO DGI">
          <a:extLst>
            <a:ext uri="{FF2B5EF4-FFF2-40B4-BE49-F238E27FC236}">
              <a16:creationId xmlns:a16="http://schemas.microsoft.com/office/drawing/2014/main" id="{5CB040A5-4711-4114-87B4-579A5040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3" name="Picture 165" descr="LOGO DGI">
          <a:extLst>
            <a:ext uri="{FF2B5EF4-FFF2-40B4-BE49-F238E27FC236}">
              <a16:creationId xmlns:a16="http://schemas.microsoft.com/office/drawing/2014/main" id="{05042F33-AD16-41DB-AC15-529C050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4" name="Picture 166" descr="LOGO DGI">
          <a:extLst>
            <a:ext uri="{FF2B5EF4-FFF2-40B4-BE49-F238E27FC236}">
              <a16:creationId xmlns:a16="http://schemas.microsoft.com/office/drawing/2014/main" id="{4D47AFFC-6A8A-4DC0-8AA9-40F01064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5" name="Picture 167" descr="LOGO DGI">
          <a:extLst>
            <a:ext uri="{FF2B5EF4-FFF2-40B4-BE49-F238E27FC236}">
              <a16:creationId xmlns:a16="http://schemas.microsoft.com/office/drawing/2014/main" id="{BC8BDFDC-3092-4190-92B1-6D53FAF30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6" name="Picture 168" descr="LOGO DGI">
          <a:extLst>
            <a:ext uri="{FF2B5EF4-FFF2-40B4-BE49-F238E27FC236}">
              <a16:creationId xmlns:a16="http://schemas.microsoft.com/office/drawing/2014/main" id="{5AE5C511-B6A9-4DB6-8BF8-A943C0401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7" name="Picture 169" descr="LOGO DGI">
          <a:extLst>
            <a:ext uri="{FF2B5EF4-FFF2-40B4-BE49-F238E27FC236}">
              <a16:creationId xmlns:a16="http://schemas.microsoft.com/office/drawing/2014/main" id="{1B59E9DC-B75F-4F58-BA3F-EE69A00A7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8" name="Picture 170" descr="LOGO DGI">
          <a:extLst>
            <a:ext uri="{FF2B5EF4-FFF2-40B4-BE49-F238E27FC236}">
              <a16:creationId xmlns:a16="http://schemas.microsoft.com/office/drawing/2014/main" id="{AF37B864-C624-454D-AFF7-A15B1C67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79" name="Picture 171" descr="LOGO DGI">
          <a:extLst>
            <a:ext uri="{FF2B5EF4-FFF2-40B4-BE49-F238E27FC236}">
              <a16:creationId xmlns:a16="http://schemas.microsoft.com/office/drawing/2014/main" id="{F4533C4C-0368-43DE-9F91-340F82508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0" name="Picture 172" descr="LOGO DGI">
          <a:extLst>
            <a:ext uri="{FF2B5EF4-FFF2-40B4-BE49-F238E27FC236}">
              <a16:creationId xmlns:a16="http://schemas.microsoft.com/office/drawing/2014/main" id="{F43A9B8B-A104-49AA-B870-9CD7CC79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1" name="Picture 173" descr="LOGO DGI">
          <a:extLst>
            <a:ext uri="{FF2B5EF4-FFF2-40B4-BE49-F238E27FC236}">
              <a16:creationId xmlns:a16="http://schemas.microsoft.com/office/drawing/2014/main" id="{EA6F959C-2533-4855-8AFD-92702F8B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2" name="Picture 174" descr="LOGO DGI">
          <a:extLst>
            <a:ext uri="{FF2B5EF4-FFF2-40B4-BE49-F238E27FC236}">
              <a16:creationId xmlns:a16="http://schemas.microsoft.com/office/drawing/2014/main" id="{73EA2C34-5343-430E-9F12-4F4300652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3" name="Picture 175" descr="LOGO DGI">
          <a:extLst>
            <a:ext uri="{FF2B5EF4-FFF2-40B4-BE49-F238E27FC236}">
              <a16:creationId xmlns:a16="http://schemas.microsoft.com/office/drawing/2014/main" id="{3316DFFA-8E9D-4E39-9751-AC17F929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4" name="Picture 176" descr="LOGO DGI">
          <a:extLst>
            <a:ext uri="{FF2B5EF4-FFF2-40B4-BE49-F238E27FC236}">
              <a16:creationId xmlns:a16="http://schemas.microsoft.com/office/drawing/2014/main" id="{5F3DDA56-3C94-47BD-AB10-A7FE6C684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5" name="Picture 177" descr="LOGO DGI">
          <a:extLst>
            <a:ext uri="{FF2B5EF4-FFF2-40B4-BE49-F238E27FC236}">
              <a16:creationId xmlns:a16="http://schemas.microsoft.com/office/drawing/2014/main" id="{EBC2F055-8D19-491C-B5C7-AE60B0AE9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6" name="Picture 178" descr="LOGO DGI">
          <a:extLst>
            <a:ext uri="{FF2B5EF4-FFF2-40B4-BE49-F238E27FC236}">
              <a16:creationId xmlns:a16="http://schemas.microsoft.com/office/drawing/2014/main" id="{0AF3B7AB-F2D8-42DD-A657-81F2F76CA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7" name="Picture 179" descr="LOGO DGI">
          <a:extLst>
            <a:ext uri="{FF2B5EF4-FFF2-40B4-BE49-F238E27FC236}">
              <a16:creationId xmlns:a16="http://schemas.microsoft.com/office/drawing/2014/main" id="{9CEDA05E-D0FE-4554-A529-2E96F0B1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8" name="Picture 180" descr="LOGO DGI">
          <a:extLst>
            <a:ext uri="{FF2B5EF4-FFF2-40B4-BE49-F238E27FC236}">
              <a16:creationId xmlns:a16="http://schemas.microsoft.com/office/drawing/2014/main" id="{4AEA01B1-EE4D-4BD4-94C5-A3F3DE10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</xdr:row>
      <xdr:rowOff>0</xdr:rowOff>
    </xdr:from>
    <xdr:to>
      <xdr:col>0</xdr:col>
      <xdr:colOff>600075</xdr:colOff>
      <xdr:row>20</xdr:row>
      <xdr:rowOff>0</xdr:rowOff>
    </xdr:to>
    <xdr:pic>
      <xdr:nvPicPr>
        <xdr:cNvPr id="1577589" name="Picture 181" descr="LOGO DGI">
          <a:extLst>
            <a:ext uri="{FF2B5EF4-FFF2-40B4-BE49-F238E27FC236}">
              <a16:creationId xmlns:a16="http://schemas.microsoft.com/office/drawing/2014/main" id="{4EAEDD58-0497-4197-B6A1-CF828C87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2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21</xdr:row>
      <xdr:rowOff>28575</xdr:rowOff>
    </xdr:from>
    <xdr:to>
      <xdr:col>0</xdr:col>
      <xdr:colOff>600075</xdr:colOff>
      <xdr:row>24</xdr:row>
      <xdr:rowOff>28575</xdr:rowOff>
    </xdr:to>
    <xdr:pic>
      <xdr:nvPicPr>
        <xdr:cNvPr id="1577590" name="Picture 182" descr="LOGO DGI">
          <a:extLst>
            <a:ext uri="{FF2B5EF4-FFF2-40B4-BE49-F238E27FC236}">
              <a16:creationId xmlns:a16="http://schemas.microsoft.com/office/drawing/2014/main" id="{E458155F-FCEC-439B-BDE7-99BAAB4F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5052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38</xdr:row>
      <xdr:rowOff>28575</xdr:rowOff>
    </xdr:from>
    <xdr:to>
      <xdr:col>0</xdr:col>
      <xdr:colOff>600075</xdr:colOff>
      <xdr:row>41</xdr:row>
      <xdr:rowOff>28575</xdr:rowOff>
    </xdr:to>
    <xdr:pic>
      <xdr:nvPicPr>
        <xdr:cNvPr id="1577591" name="Picture 183" descr="LOGO DGI">
          <a:extLst>
            <a:ext uri="{FF2B5EF4-FFF2-40B4-BE49-F238E27FC236}">
              <a16:creationId xmlns:a16="http://schemas.microsoft.com/office/drawing/2014/main" id="{5C414EEE-730F-4222-B7F3-FBBB8BAC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334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55</xdr:row>
      <xdr:rowOff>28575</xdr:rowOff>
    </xdr:from>
    <xdr:to>
      <xdr:col>0</xdr:col>
      <xdr:colOff>600075</xdr:colOff>
      <xdr:row>58</xdr:row>
      <xdr:rowOff>28575</xdr:rowOff>
    </xdr:to>
    <xdr:pic>
      <xdr:nvPicPr>
        <xdr:cNvPr id="1577592" name="Picture 184" descr="LOGO DGI">
          <a:extLst>
            <a:ext uri="{FF2B5EF4-FFF2-40B4-BE49-F238E27FC236}">
              <a16:creationId xmlns:a16="http://schemas.microsoft.com/office/drawing/2014/main" id="{A20C46A6-60FB-4C5E-BB8C-C027CB52D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1630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72</xdr:row>
      <xdr:rowOff>28575</xdr:rowOff>
    </xdr:from>
    <xdr:to>
      <xdr:col>0</xdr:col>
      <xdr:colOff>600075</xdr:colOff>
      <xdr:row>75</xdr:row>
      <xdr:rowOff>28575</xdr:rowOff>
    </xdr:to>
    <xdr:pic>
      <xdr:nvPicPr>
        <xdr:cNvPr id="1577593" name="Picture 185" descr="LOGO DGI">
          <a:extLst>
            <a:ext uri="{FF2B5EF4-FFF2-40B4-BE49-F238E27FC236}">
              <a16:creationId xmlns:a16="http://schemas.microsoft.com/office/drawing/2014/main" id="{B8B67819-7D47-482D-8942-CE5F1107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91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89</xdr:row>
      <xdr:rowOff>28575</xdr:rowOff>
    </xdr:from>
    <xdr:to>
      <xdr:col>0</xdr:col>
      <xdr:colOff>600075</xdr:colOff>
      <xdr:row>92</xdr:row>
      <xdr:rowOff>28575</xdr:rowOff>
    </xdr:to>
    <xdr:pic>
      <xdr:nvPicPr>
        <xdr:cNvPr id="1577594" name="Picture 186" descr="LOGO DGI">
          <a:extLst>
            <a:ext uri="{FF2B5EF4-FFF2-40B4-BE49-F238E27FC236}">
              <a16:creationId xmlns:a16="http://schemas.microsoft.com/office/drawing/2014/main" id="{9FBDA169-F00E-4D43-AC0A-F358A0AB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48209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106</xdr:row>
      <xdr:rowOff>28575</xdr:rowOff>
    </xdr:from>
    <xdr:to>
      <xdr:col>0</xdr:col>
      <xdr:colOff>600075</xdr:colOff>
      <xdr:row>109</xdr:row>
      <xdr:rowOff>28575</xdr:rowOff>
    </xdr:to>
    <xdr:pic>
      <xdr:nvPicPr>
        <xdr:cNvPr id="1577595" name="Picture 187" descr="LOGO DGI">
          <a:extLst>
            <a:ext uri="{FF2B5EF4-FFF2-40B4-BE49-F238E27FC236}">
              <a16:creationId xmlns:a16="http://schemas.microsoft.com/office/drawing/2014/main" id="{7A3B35A6-96F5-41CE-8301-89FE4142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76498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123</xdr:row>
      <xdr:rowOff>28575</xdr:rowOff>
    </xdr:from>
    <xdr:to>
      <xdr:col>0</xdr:col>
      <xdr:colOff>600075</xdr:colOff>
      <xdr:row>126</xdr:row>
      <xdr:rowOff>28575</xdr:rowOff>
    </xdr:to>
    <xdr:pic>
      <xdr:nvPicPr>
        <xdr:cNvPr id="1577596" name="Picture 188" descr="LOGO DGI">
          <a:extLst>
            <a:ext uri="{FF2B5EF4-FFF2-40B4-BE49-F238E27FC236}">
              <a16:creationId xmlns:a16="http://schemas.microsoft.com/office/drawing/2014/main" id="{A3B60CE2-A123-49BF-8324-4A1AB7FF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4787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140</xdr:row>
      <xdr:rowOff>28575</xdr:rowOff>
    </xdr:from>
    <xdr:to>
      <xdr:col>0</xdr:col>
      <xdr:colOff>600075</xdr:colOff>
      <xdr:row>143</xdr:row>
      <xdr:rowOff>28575</xdr:rowOff>
    </xdr:to>
    <xdr:pic>
      <xdr:nvPicPr>
        <xdr:cNvPr id="1577597" name="Picture 189" descr="LOGO DGI">
          <a:extLst>
            <a:ext uri="{FF2B5EF4-FFF2-40B4-BE49-F238E27FC236}">
              <a16:creationId xmlns:a16="http://schemas.microsoft.com/office/drawing/2014/main" id="{EDB4B6C7-EB6A-40AE-994A-38BC9984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3307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157</xdr:row>
      <xdr:rowOff>28575</xdr:rowOff>
    </xdr:from>
    <xdr:to>
      <xdr:col>0</xdr:col>
      <xdr:colOff>600075</xdr:colOff>
      <xdr:row>160</xdr:row>
      <xdr:rowOff>28575</xdr:rowOff>
    </xdr:to>
    <xdr:pic>
      <xdr:nvPicPr>
        <xdr:cNvPr id="1577598" name="Picture 190" descr="LOGO DGI">
          <a:extLst>
            <a:ext uri="{FF2B5EF4-FFF2-40B4-BE49-F238E27FC236}">
              <a16:creationId xmlns:a16="http://schemas.microsoft.com/office/drawing/2014/main" id="{17592AA8-CC89-4B3F-B2DD-5BCEFD55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61366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174</xdr:row>
      <xdr:rowOff>28575</xdr:rowOff>
    </xdr:from>
    <xdr:to>
      <xdr:col>0</xdr:col>
      <xdr:colOff>600075</xdr:colOff>
      <xdr:row>177</xdr:row>
      <xdr:rowOff>28575</xdr:rowOff>
    </xdr:to>
    <xdr:pic>
      <xdr:nvPicPr>
        <xdr:cNvPr id="1577599" name="Picture 191" descr="LOGO DGI">
          <a:extLst>
            <a:ext uri="{FF2B5EF4-FFF2-40B4-BE49-F238E27FC236}">
              <a16:creationId xmlns:a16="http://schemas.microsoft.com/office/drawing/2014/main" id="{3418DBAF-F6EB-41AE-9969-BB296BACC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965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191</xdr:row>
      <xdr:rowOff>28575</xdr:rowOff>
    </xdr:from>
    <xdr:to>
      <xdr:col>0</xdr:col>
      <xdr:colOff>600075</xdr:colOff>
      <xdr:row>194</xdr:row>
      <xdr:rowOff>28575</xdr:rowOff>
    </xdr:to>
    <xdr:pic>
      <xdr:nvPicPr>
        <xdr:cNvPr id="1577600" name="Picture 192" descr="LOGO DGI">
          <a:extLst>
            <a:ext uri="{FF2B5EF4-FFF2-40B4-BE49-F238E27FC236}">
              <a16:creationId xmlns:a16="http://schemas.microsoft.com/office/drawing/2014/main" id="{567329BA-D059-44A8-8CF2-4B63CFC0A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7944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208</xdr:row>
      <xdr:rowOff>28575</xdr:rowOff>
    </xdr:from>
    <xdr:to>
      <xdr:col>0</xdr:col>
      <xdr:colOff>600075</xdr:colOff>
      <xdr:row>211</xdr:row>
      <xdr:rowOff>28575</xdr:rowOff>
    </xdr:to>
    <xdr:pic>
      <xdr:nvPicPr>
        <xdr:cNvPr id="1577601" name="Picture 193" descr="LOGO DGI">
          <a:extLst>
            <a:ext uri="{FF2B5EF4-FFF2-40B4-BE49-F238E27FC236}">
              <a16:creationId xmlns:a16="http://schemas.microsoft.com/office/drawing/2014/main" id="{DBAEB02F-71BF-4864-A524-A7BD44116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46233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225</xdr:row>
      <xdr:rowOff>28575</xdr:rowOff>
    </xdr:from>
    <xdr:to>
      <xdr:col>0</xdr:col>
      <xdr:colOff>600075</xdr:colOff>
      <xdr:row>228</xdr:row>
      <xdr:rowOff>28575</xdr:rowOff>
    </xdr:to>
    <xdr:pic>
      <xdr:nvPicPr>
        <xdr:cNvPr id="1577602" name="Picture 194" descr="LOGO DGI">
          <a:extLst>
            <a:ext uri="{FF2B5EF4-FFF2-40B4-BE49-F238E27FC236}">
              <a16:creationId xmlns:a16="http://schemas.microsoft.com/office/drawing/2014/main" id="{D21F23FA-7EBE-4920-AA06-57F6F16F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7452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242</xdr:row>
      <xdr:rowOff>28575</xdr:rowOff>
    </xdr:from>
    <xdr:to>
      <xdr:col>0</xdr:col>
      <xdr:colOff>600075</xdr:colOff>
      <xdr:row>245</xdr:row>
      <xdr:rowOff>28575</xdr:rowOff>
    </xdr:to>
    <xdr:pic>
      <xdr:nvPicPr>
        <xdr:cNvPr id="1577603" name="Picture 195" descr="LOGO DGI">
          <a:extLst>
            <a:ext uri="{FF2B5EF4-FFF2-40B4-BE49-F238E27FC236}">
              <a16:creationId xmlns:a16="http://schemas.microsoft.com/office/drawing/2014/main" id="{61E6FCF9-CF02-4BA7-93FE-0D3B3D7F0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281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259</xdr:row>
      <xdr:rowOff>28575</xdr:rowOff>
    </xdr:from>
    <xdr:to>
      <xdr:col>0</xdr:col>
      <xdr:colOff>600075</xdr:colOff>
      <xdr:row>262</xdr:row>
      <xdr:rowOff>28575</xdr:rowOff>
    </xdr:to>
    <xdr:pic>
      <xdr:nvPicPr>
        <xdr:cNvPr id="1577604" name="Picture 196" descr="LOGO DGI">
          <a:extLst>
            <a:ext uri="{FF2B5EF4-FFF2-40B4-BE49-F238E27FC236}">
              <a16:creationId xmlns:a16="http://schemas.microsoft.com/office/drawing/2014/main" id="{8B7773D3-977C-4A40-A157-0BB412E11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31101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276</xdr:row>
      <xdr:rowOff>28575</xdr:rowOff>
    </xdr:from>
    <xdr:to>
      <xdr:col>0</xdr:col>
      <xdr:colOff>600075</xdr:colOff>
      <xdr:row>279</xdr:row>
      <xdr:rowOff>28575</xdr:rowOff>
    </xdr:to>
    <xdr:pic>
      <xdr:nvPicPr>
        <xdr:cNvPr id="1577605" name="Picture 197" descr="LOGO DGI">
          <a:extLst>
            <a:ext uri="{FF2B5EF4-FFF2-40B4-BE49-F238E27FC236}">
              <a16:creationId xmlns:a16="http://schemas.microsoft.com/office/drawing/2014/main" id="{BD3AEA44-6710-4009-BC73-1884BF8F2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59390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43012" name="CommandButton1" hidden="1">
          <a:extLst>
            <a:ext uri="{63B3BB69-23CF-44E3-9099-C40C66FF867C}">
              <a14:compatExt xmlns:a14="http://schemas.microsoft.com/office/drawing/2010/main" spid="_x0000_s43012"/>
            </a:ext>
            <a:ext uri="{FF2B5EF4-FFF2-40B4-BE49-F238E27FC236}">
              <a16:creationId xmlns:a16="http://schemas.microsoft.com/office/drawing/2014/main" id="{01E7F61B-72B1-4C18-864A-4130C0B5EF0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43013" name="CommandButton2" hidden="1">
          <a:extLst>
            <a:ext uri="{63B3BB69-23CF-44E3-9099-C40C66FF867C}">
              <a14:compatExt xmlns:a14="http://schemas.microsoft.com/office/drawing/2010/main" spid="_x0000_s43013"/>
            </a:ext>
            <a:ext uri="{FF2B5EF4-FFF2-40B4-BE49-F238E27FC236}">
              <a16:creationId xmlns:a16="http://schemas.microsoft.com/office/drawing/2014/main" id="{5D354C5A-18B2-47C9-9056-2FCCC8B8F6A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5</xdr:row>
      <xdr:rowOff>142875</xdr:rowOff>
    </xdr:from>
    <xdr:to>
      <xdr:col>11</xdr:col>
      <xdr:colOff>657225</xdr:colOff>
      <xdr:row>9</xdr:row>
      <xdr:rowOff>85725</xdr:rowOff>
    </xdr:to>
    <xdr:sp macro="" textlink="">
      <xdr:nvSpPr>
        <xdr:cNvPr id="45057" name="CommandButton1" hidden="1">
          <a:extLst>
            <a:ext uri="{63B3BB69-23CF-44E3-9099-C40C66FF867C}">
              <a14:compatExt xmlns:a14="http://schemas.microsoft.com/office/drawing/2010/main" spid="_x0000_s45057"/>
            </a:ext>
            <a:ext uri="{FF2B5EF4-FFF2-40B4-BE49-F238E27FC236}">
              <a16:creationId xmlns:a16="http://schemas.microsoft.com/office/drawing/2014/main" id="{D4AD0BD8-7F23-4CC9-93C8-BBA46D2E4A7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676275</xdr:colOff>
      <xdr:row>2</xdr:row>
      <xdr:rowOff>0</xdr:rowOff>
    </xdr:from>
    <xdr:to>
      <xdr:col>11</xdr:col>
      <xdr:colOff>647700</xdr:colOff>
      <xdr:row>5</xdr:row>
      <xdr:rowOff>85725</xdr:rowOff>
    </xdr:to>
    <xdr:sp macro="" textlink="">
      <xdr:nvSpPr>
        <xdr:cNvPr id="45058" name="CommandButton2" hidden="1">
          <a:extLst>
            <a:ext uri="{63B3BB69-23CF-44E3-9099-C40C66FF867C}">
              <a14:compatExt xmlns:a14="http://schemas.microsoft.com/office/drawing/2010/main" spid="_x0000_s45058"/>
            </a:ext>
            <a:ext uri="{FF2B5EF4-FFF2-40B4-BE49-F238E27FC236}">
              <a16:creationId xmlns:a16="http://schemas.microsoft.com/office/drawing/2014/main" id="{9FA76896-236C-4C2E-9C4C-30D4BBFE709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9525</xdr:colOff>
      <xdr:row>1</xdr:row>
      <xdr:rowOff>152400</xdr:rowOff>
    </xdr:from>
    <xdr:to>
      <xdr:col>10</xdr:col>
      <xdr:colOff>542925</xdr:colOff>
      <xdr:row>5</xdr:row>
      <xdr:rowOff>95250</xdr:rowOff>
    </xdr:to>
    <xdr:sp macro="" textlink="">
      <xdr:nvSpPr>
        <xdr:cNvPr id="45059" name="CommandButton3" hidden="1">
          <a:extLst>
            <a:ext uri="{63B3BB69-23CF-44E3-9099-C40C66FF867C}">
              <a14:compatExt xmlns:a14="http://schemas.microsoft.com/office/drawing/2010/main" spid="_x0000_s45059"/>
            </a:ext>
            <a:ext uri="{FF2B5EF4-FFF2-40B4-BE49-F238E27FC236}">
              <a16:creationId xmlns:a16="http://schemas.microsoft.com/office/drawing/2014/main" id="{0F9C07DF-C61B-4823-8086-5FAC05DCFC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9</xdr:col>
      <xdr:colOff>0</xdr:colOff>
      <xdr:row>5</xdr:row>
      <xdr:rowOff>142875</xdr:rowOff>
    </xdr:from>
    <xdr:to>
      <xdr:col>10</xdr:col>
      <xdr:colOff>552450</xdr:colOff>
      <xdr:row>9</xdr:row>
      <xdr:rowOff>47625</xdr:rowOff>
    </xdr:to>
    <xdr:sp macro="" textlink="">
      <xdr:nvSpPr>
        <xdr:cNvPr id="45060" name="CommandButton4" hidden="1">
          <a:extLst>
            <a:ext uri="{63B3BB69-23CF-44E3-9099-C40C66FF867C}">
              <a14:compatExt xmlns:a14="http://schemas.microsoft.com/office/drawing/2010/main" spid="_x0000_s45060"/>
            </a:ext>
            <a:ext uri="{FF2B5EF4-FFF2-40B4-BE49-F238E27FC236}">
              <a16:creationId xmlns:a16="http://schemas.microsoft.com/office/drawing/2014/main" id="{E938A5A3-2699-4A40-BCAD-55D5CABFC16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85725</xdr:rowOff>
    </xdr:from>
    <xdr:to>
      <xdr:col>0</xdr:col>
      <xdr:colOff>695325</xdr:colOff>
      <xdr:row>4</xdr:row>
      <xdr:rowOff>85725</xdr:rowOff>
    </xdr:to>
    <xdr:pic>
      <xdr:nvPicPr>
        <xdr:cNvPr id="1587576" name="Picture 1" descr="LOGO DGI">
          <a:extLst>
            <a:ext uri="{FF2B5EF4-FFF2-40B4-BE49-F238E27FC236}">
              <a16:creationId xmlns:a16="http://schemas.microsoft.com/office/drawing/2014/main" id="{BF86F884-D547-41D4-9BF0-1EB018F6B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476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77" name="Picture 63" descr="LOGO DGI">
          <a:extLst>
            <a:ext uri="{FF2B5EF4-FFF2-40B4-BE49-F238E27FC236}">
              <a16:creationId xmlns:a16="http://schemas.microsoft.com/office/drawing/2014/main" id="{0B5CDE15-D459-4200-AF94-4968DB71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78" name="Picture 64" descr="LOGO DGI">
          <a:extLst>
            <a:ext uri="{FF2B5EF4-FFF2-40B4-BE49-F238E27FC236}">
              <a16:creationId xmlns:a16="http://schemas.microsoft.com/office/drawing/2014/main" id="{31A211F1-7BA4-46F1-96F8-61BE1D700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79" name="Picture 65" descr="LOGO DGI">
          <a:extLst>
            <a:ext uri="{FF2B5EF4-FFF2-40B4-BE49-F238E27FC236}">
              <a16:creationId xmlns:a16="http://schemas.microsoft.com/office/drawing/2014/main" id="{70432C2A-5F86-44EA-8163-7E545A151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0" name="Picture 66" descr="LOGO DGI">
          <a:extLst>
            <a:ext uri="{FF2B5EF4-FFF2-40B4-BE49-F238E27FC236}">
              <a16:creationId xmlns:a16="http://schemas.microsoft.com/office/drawing/2014/main" id="{6165196A-C545-48B5-8024-1D8387A39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1" name="Picture 67" descr="LOGO DGI">
          <a:extLst>
            <a:ext uri="{FF2B5EF4-FFF2-40B4-BE49-F238E27FC236}">
              <a16:creationId xmlns:a16="http://schemas.microsoft.com/office/drawing/2014/main" id="{2BD1F054-BDC3-4024-BB59-59CEC6C30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2" name="Picture 68" descr="LOGO DGI">
          <a:extLst>
            <a:ext uri="{FF2B5EF4-FFF2-40B4-BE49-F238E27FC236}">
              <a16:creationId xmlns:a16="http://schemas.microsoft.com/office/drawing/2014/main" id="{943FEF1F-3483-4E22-A0F3-16B4FF1C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3" name="Picture 69" descr="LOGO DGI">
          <a:extLst>
            <a:ext uri="{FF2B5EF4-FFF2-40B4-BE49-F238E27FC236}">
              <a16:creationId xmlns:a16="http://schemas.microsoft.com/office/drawing/2014/main" id="{EAE196EB-8137-4FDD-990E-881B892C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4" name="Picture 70" descr="LOGO DGI">
          <a:extLst>
            <a:ext uri="{FF2B5EF4-FFF2-40B4-BE49-F238E27FC236}">
              <a16:creationId xmlns:a16="http://schemas.microsoft.com/office/drawing/2014/main" id="{D746E36F-F73F-4446-B380-634015BF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5" name="Picture 71" descr="LOGO DGI">
          <a:extLst>
            <a:ext uri="{FF2B5EF4-FFF2-40B4-BE49-F238E27FC236}">
              <a16:creationId xmlns:a16="http://schemas.microsoft.com/office/drawing/2014/main" id="{BEF352F4-7969-4EB6-A545-DE8D2779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6" name="Picture 72" descr="LOGO DGI">
          <a:extLst>
            <a:ext uri="{FF2B5EF4-FFF2-40B4-BE49-F238E27FC236}">
              <a16:creationId xmlns:a16="http://schemas.microsoft.com/office/drawing/2014/main" id="{680BB973-FE58-46DF-894E-964BB8DDC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7" name="Picture 73" descr="LOGO DGI">
          <a:extLst>
            <a:ext uri="{FF2B5EF4-FFF2-40B4-BE49-F238E27FC236}">
              <a16:creationId xmlns:a16="http://schemas.microsoft.com/office/drawing/2014/main" id="{FBE7430B-BA95-4B92-8DAF-4AC32652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8" name="Picture 74" descr="LOGO DGI">
          <a:extLst>
            <a:ext uri="{FF2B5EF4-FFF2-40B4-BE49-F238E27FC236}">
              <a16:creationId xmlns:a16="http://schemas.microsoft.com/office/drawing/2014/main" id="{7A05B92C-3E63-4B50-BB41-3D6359CA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89" name="Picture 75" descr="LOGO DGI">
          <a:extLst>
            <a:ext uri="{FF2B5EF4-FFF2-40B4-BE49-F238E27FC236}">
              <a16:creationId xmlns:a16="http://schemas.microsoft.com/office/drawing/2014/main" id="{A7CFF7B0-3F16-4113-9EAD-00BF4A94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0" name="Picture 76" descr="LOGO DGI">
          <a:extLst>
            <a:ext uri="{FF2B5EF4-FFF2-40B4-BE49-F238E27FC236}">
              <a16:creationId xmlns:a16="http://schemas.microsoft.com/office/drawing/2014/main" id="{C291DEFC-65E8-4F13-A345-A2431A66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1" name="Picture 77" descr="LOGO DGI">
          <a:extLst>
            <a:ext uri="{FF2B5EF4-FFF2-40B4-BE49-F238E27FC236}">
              <a16:creationId xmlns:a16="http://schemas.microsoft.com/office/drawing/2014/main" id="{E1818267-59CC-4B8A-8657-3A31403D3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2" name="Picture 78" descr="LOGO DGI">
          <a:extLst>
            <a:ext uri="{FF2B5EF4-FFF2-40B4-BE49-F238E27FC236}">
              <a16:creationId xmlns:a16="http://schemas.microsoft.com/office/drawing/2014/main" id="{F247ECB0-96C4-4CE0-84B0-39F728EE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3" name="Picture 79" descr="LOGO DGI">
          <a:extLst>
            <a:ext uri="{FF2B5EF4-FFF2-40B4-BE49-F238E27FC236}">
              <a16:creationId xmlns:a16="http://schemas.microsoft.com/office/drawing/2014/main" id="{4C0A0D3B-5347-4E71-82CF-0E7F286C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4" name="Picture 80" descr="LOGO DGI">
          <a:extLst>
            <a:ext uri="{FF2B5EF4-FFF2-40B4-BE49-F238E27FC236}">
              <a16:creationId xmlns:a16="http://schemas.microsoft.com/office/drawing/2014/main" id="{633E72AF-4825-4F9A-B64D-ED644614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5" name="Picture 81" descr="LOGO DGI">
          <a:extLst>
            <a:ext uri="{FF2B5EF4-FFF2-40B4-BE49-F238E27FC236}">
              <a16:creationId xmlns:a16="http://schemas.microsoft.com/office/drawing/2014/main" id="{41F80A1A-9DFF-470F-B5A2-0DA7D91F5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6" name="Picture 82" descr="LOGO DGI">
          <a:extLst>
            <a:ext uri="{FF2B5EF4-FFF2-40B4-BE49-F238E27FC236}">
              <a16:creationId xmlns:a16="http://schemas.microsoft.com/office/drawing/2014/main" id="{FAAD9286-CC3D-4B15-ACD6-C05CCA83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7" name="Picture 83" descr="LOGO DGI">
          <a:extLst>
            <a:ext uri="{FF2B5EF4-FFF2-40B4-BE49-F238E27FC236}">
              <a16:creationId xmlns:a16="http://schemas.microsoft.com/office/drawing/2014/main" id="{62D33BB2-34EC-4A5A-ACB5-9C572662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8" name="Picture 84" descr="LOGO DGI">
          <a:extLst>
            <a:ext uri="{FF2B5EF4-FFF2-40B4-BE49-F238E27FC236}">
              <a16:creationId xmlns:a16="http://schemas.microsoft.com/office/drawing/2014/main" id="{F2571155-DC1A-4CAF-ACDA-4D05330E2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599" name="Picture 85" descr="LOGO DGI">
          <a:extLst>
            <a:ext uri="{FF2B5EF4-FFF2-40B4-BE49-F238E27FC236}">
              <a16:creationId xmlns:a16="http://schemas.microsoft.com/office/drawing/2014/main" id="{C5C65FDB-469B-40BC-85ED-58492D2B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0" name="Picture 86" descr="LOGO DGI">
          <a:extLst>
            <a:ext uri="{FF2B5EF4-FFF2-40B4-BE49-F238E27FC236}">
              <a16:creationId xmlns:a16="http://schemas.microsoft.com/office/drawing/2014/main" id="{1DAE4891-6B5C-42A2-986E-0EB04834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1" name="Picture 87" descr="LOGO DGI">
          <a:extLst>
            <a:ext uri="{FF2B5EF4-FFF2-40B4-BE49-F238E27FC236}">
              <a16:creationId xmlns:a16="http://schemas.microsoft.com/office/drawing/2014/main" id="{4ED4F671-C7E5-4FB9-97B7-512B42A6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2" name="Picture 88" descr="LOGO DGI">
          <a:extLst>
            <a:ext uri="{FF2B5EF4-FFF2-40B4-BE49-F238E27FC236}">
              <a16:creationId xmlns:a16="http://schemas.microsoft.com/office/drawing/2014/main" id="{97B848CF-D8BD-4320-A67D-7C02C3A7C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3" name="Picture 89" descr="LOGO DGI">
          <a:extLst>
            <a:ext uri="{FF2B5EF4-FFF2-40B4-BE49-F238E27FC236}">
              <a16:creationId xmlns:a16="http://schemas.microsoft.com/office/drawing/2014/main" id="{313A92A6-BE59-4BA6-AE6C-67F171F2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4" name="Picture 90" descr="LOGO DGI">
          <a:extLst>
            <a:ext uri="{FF2B5EF4-FFF2-40B4-BE49-F238E27FC236}">
              <a16:creationId xmlns:a16="http://schemas.microsoft.com/office/drawing/2014/main" id="{9BD82871-2C6E-467F-BC68-2B4A032CB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5" name="Picture 91" descr="LOGO DGI">
          <a:extLst>
            <a:ext uri="{FF2B5EF4-FFF2-40B4-BE49-F238E27FC236}">
              <a16:creationId xmlns:a16="http://schemas.microsoft.com/office/drawing/2014/main" id="{D4B5A10F-39E0-4C81-A9AD-00DB224C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6" name="Picture 92" descr="LOGO DGI">
          <a:extLst>
            <a:ext uri="{FF2B5EF4-FFF2-40B4-BE49-F238E27FC236}">
              <a16:creationId xmlns:a16="http://schemas.microsoft.com/office/drawing/2014/main" id="{0249EE96-A2DB-4C69-8BBA-294B0C6F1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7" name="Picture 93" descr="LOGO DGI">
          <a:extLst>
            <a:ext uri="{FF2B5EF4-FFF2-40B4-BE49-F238E27FC236}">
              <a16:creationId xmlns:a16="http://schemas.microsoft.com/office/drawing/2014/main" id="{EF0DFE24-D0CF-4A40-992D-6FD920D0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8" name="Picture 94" descr="LOGO DGI">
          <a:extLst>
            <a:ext uri="{FF2B5EF4-FFF2-40B4-BE49-F238E27FC236}">
              <a16:creationId xmlns:a16="http://schemas.microsoft.com/office/drawing/2014/main" id="{24DD007A-0F58-4B26-B949-3E4D24EB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09" name="Picture 95" descr="LOGO DGI">
          <a:extLst>
            <a:ext uri="{FF2B5EF4-FFF2-40B4-BE49-F238E27FC236}">
              <a16:creationId xmlns:a16="http://schemas.microsoft.com/office/drawing/2014/main" id="{2DAB5B4F-9711-4D3A-A925-92AD7A2D9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10" name="Picture 96" descr="LOGO DGI">
          <a:extLst>
            <a:ext uri="{FF2B5EF4-FFF2-40B4-BE49-F238E27FC236}">
              <a16:creationId xmlns:a16="http://schemas.microsoft.com/office/drawing/2014/main" id="{DC90FC4F-3A1B-4ECF-AEA9-ABF946B89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87611" name="Picture 97" descr="LOGO DGI">
          <a:extLst>
            <a:ext uri="{FF2B5EF4-FFF2-40B4-BE49-F238E27FC236}">
              <a16:creationId xmlns:a16="http://schemas.microsoft.com/office/drawing/2014/main" id="{67022AAF-0338-4CB7-9EC7-E106B2BB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2" name="Picture 98" descr="LOGO DGI">
          <a:extLst>
            <a:ext uri="{FF2B5EF4-FFF2-40B4-BE49-F238E27FC236}">
              <a16:creationId xmlns:a16="http://schemas.microsoft.com/office/drawing/2014/main" id="{60A9AF89-1BF6-4098-AAB6-002297B75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3" name="Picture 99" descr="LOGO DGI">
          <a:extLst>
            <a:ext uri="{FF2B5EF4-FFF2-40B4-BE49-F238E27FC236}">
              <a16:creationId xmlns:a16="http://schemas.microsoft.com/office/drawing/2014/main" id="{4A7BFDB8-6046-4A5E-8C57-ABE2EE7D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4" name="Picture 100" descr="LOGO DGI">
          <a:extLst>
            <a:ext uri="{FF2B5EF4-FFF2-40B4-BE49-F238E27FC236}">
              <a16:creationId xmlns:a16="http://schemas.microsoft.com/office/drawing/2014/main" id="{48E13FAF-A2D7-40FC-AC5D-C759836E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5" name="Picture 101" descr="LOGO DGI">
          <a:extLst>
            <a:ext uri="{FF2B5EF4-FFF2-40B4-BE49-F238E27FC236}">
              <a16:creationId xmlns:a16="http://schemas.microsoft.com/office/drawing/2014/main" id="{5192B197-56C4-4DB8-AD8A-563BF7569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6" name="Picture 102" descr="LOGO DGI">
          <a:extLst>
            <a:ext uri="{FF2B5EF4-FFF2-40B4-BE49-F238E27FC236}">
              <a16:creationId xmlns:a16="http://schemas.microsoft.com/office/drawing/2014/main" id="{D96AEC28-050B-4985-9B59-FE3B4DA5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7" name="Picture 103" descr="LOGO DGI">
          <a:extLst>
            <a:ext uri="{FF2B5EF4-FFF2-40B4-BE49-F238E27FC236}">
              <a16:creationId xmlns:a16="http://schemas.microsoft.com/office/drawing/2014/main" id="{2EA51378-6ECE-4132-AD60-65FDF1315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8" name="Picture 104" descr="LOGO DGI">
          <a:extLst>
            <a:ext uri="{FF2B5EF4-FFF2-40B4-BE49-F238E27FC236}">
              <a16:creationId xmlns:a16="http://schemas.microsoft.com/office/drawing/2014/main" id="{24AD3274-2200-41AC-9764-C3CF4D1EC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19" name="Picture 105" descr="LOGO DGI">
          <a:extLst>
            <a:ext uri="{FF2B5EF4-FFF2-40B4-BE49-F238E27FC236}">
              <a16:creationId xmlns:a16="http://schemas.microsoft.com/office/drawing/2014/main" id="{8472DE1D-FD00-474A-97B2-EA5EF3E96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0" name="Picture 106" descr="LOGO DGI">
          <a:extLst>
            <a:ext uri="{FF2B5EF4-FFF2-40B4-BE49-F238E27FC236}">
              <a16:creationId xmlns:a16="http://schemas.microsoft.com/office/drawing/2014/main" id="{5B9A6581-5656-44A4-903D-B17FA4A15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1" name="Picture 107" descr="LOGO DGI">
          <a:extLst>
            <a:ext uri="{FF2B5EF4-FFF2-40B4-BE49-F238E27FC236}">
              <a16:creationId xmlns:a16="http://schemas.microsoft.com/office/drawing/2014/main" id="{BAD3B216-82DD-43FF-8E1A-86C351614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2" name="Picture 108" descr="LOGO DGI">
          <a:extLst>
            <a:ext uri="{FF2B5EF4-FFF2-40B4-BE49-F238E27FC236}">
              <a16:creationId xmlns:a16="http://schemas.microsoft.com/office/drawing/2014/main" id="{520EE94C-9F9A-48EE-AFA6-DED164AA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3" name="Picture 109" descr="LOGO DGI">
          <a:extLst>
            <a:ext uri="{FF2B5EF4-FFF2-40B4-BE49-F238E27FC236}">
              <a16:creationId xmlns:a16="http://schemas.microsoft.com/office/drawing/2014/main" id="{FEC2DFEF-20F9-4AB8-AF3B-683827DD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4" name="Picture 110" descr="LOGO DGI">
          <a:extLst>
            <a:ext uri="{FF2B5EF4-FFF2-40B4-BE49-F238E27FC236}">
              <a16:creationId xmlns:a16="http://schemas.microsoft.com/office/drawing/2014/main" id="{A46154D8-BBF5-4AA3-868F-9666A96F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5" name="Picture 111" descr="LOGO DGI">
          <a:extLst>
            <a:ext uri="{FF2B5EF4-FFF2-40B4-BE49-F238E27FC236}">
              <a16:creationId xmlns:a16="http://schemas.microsoft.com/office/drawing/2014/main" id="{DE1D5640-07CE-4FAB-85FA-488BEDDC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6" name="Picture 112" descr="LOGO DGI">
          <a:extLst>
            <a:ext uri="{FF2B5EF4-FFF2-40B4-BE49-F238E27FC236}">
              <a16:creationId xmlns:a16="http://schemas.microsoft.com/office/drawing/2014/main" id="{42BCC59E-D9D1-4E5B-A9EF-6B0BC27B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7" name="Picture 113" descr="LOGO DGI">
          <a:extLst>
            <a:ext uri="{FF2B5EF4-FFF2-40B4-BE49-F238E27FC236}">
              <a16:creationId xmlns:a16="http://schemas.microsoft.com/office/drawing/2014/main" id="{31BFC084-826B-48E9-8C4A-01749FAE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8" name="Picture 114" descr="LOGO DGI">
          <a:extLst>
            <a:ext uri="{FF2B5EF4-FFF2-40B4-BE49-F238E27FC236}">
              <a16:creationId xmlns:a16="http://schemas.microsoft.com/office/drawing/2014/main" id="{DB8BBA61-5075-48C2-A27F-A1E224FD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29" name="Picture 115" descr="LOGO DGI">
          <a:extLst>
            <a:ext uri="{FF2B5EF4-FFF2-40B4-BE49-F238E27FC236}">
              <a16:creationId xmlns:a16="http://schemas.microsoft.com/office/drawing/2014/main" id="{A54B1DFC-1268-4732-92ED-0452D812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0" name="Picture 116" descr="LOGO DGI">
          <a:extLst>
            <a:ext uri="{FF2B5EF4-FFF2-40B4-BE49-F238E27FC236}">
              <a16:creationId xmlns:a16="http://schemas.microsoft.com/office/drawing/2014/main" id="{CB001DC6-BE80-498F-BF3A-43BC96D19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1" name="Picture 117" descr="LOGO DGI">
          <a:extLst>
            <a:ext uri="{FF2B5EF4-FFF2-40B4-BE49-F238E27FC236}">
              <a16:creationId xmlns:a16="http://schemas.microsoft.com/office/drawing/2014/main" id="{940CD732-F905-4131-8B4F-48885DE3C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2" name="Picture 118" descr="LOGO DGI">
          <a:extLst>
            <a:ext uri="{FF2B5EF4-FFF2-40B4-BE49-F238E27FC236}">
              <a16:creationId xmlns:a16="http://schemas.microsoft.com/office/drawing/2014/main" id="{5D73E49B-01ED-43A5-9CAD-3E87CB19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3" name="Picture 119" descr="LOGO DGI">
          <a:extLst>
            <a:ext uri="{FF2B5EF4-FFF2-40B4-BE49-F238E27FC236}">
              <a16:creationId xmlns:a16="http://schemas.microsoft.com/office/drawing/2014/main" id="{9ABA611D-A95B-4D5D-A0BB-1CDE4F81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4" name="Picture 120" descr="LOGO DGI">
          <a:extLst>
            <a:ext uri="{FF2B5EF4-FFF2-40B4-BE49-F238E27FC236}">
              <a16:creationId xmlns:a16="http://schemas.microsoft.com/office/drawing/2014/main" id="{E00DF619-42AB-4F51-AC7A-B318D570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5" name="Picture 121" descr="LOGO DGI">
          <a:extLst>
            <a:ext uri="{FF2B5EF4-FFF2-40B4-BE49-F238E27FC236}">
              <a16:creationId xmlns:a16="http://schemas.microsoft.com/office/drawing/2014/main" id="{4358C629-128F-40BE-B09B-870B04649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6" name="Picture 122" descr="LOGO DGI">
          <a:extLst>
            <a:ext uri="{FF2B5EF4-FFF2-40B4-BE49-F238E27FC236}">
              <a16:creationId xmlns:a16="http://schemas.microsoft.com/office/drawing/2014/main" id="{4DAC8B6F-825C-464E-9866-2212A043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7" name="Picture 123" descr="LOGO DGI">
          <a:extLst>
            <a:ext uri="{FF2B5EF4-FFF2-40B4-BE49-F238E27FC236}">
              <a16:creationId xmlns:a16="http://schemas.microsoft.com/office/drawing/2014/main" id="{855DC87B-1609-4485-90DA-6CB5E5289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8" name="Picture 124" descr="LOGO DGI">
          <a:extLst>
            <a:ext uri="{FF2B5EF4-FFF2-40B4-BE49-F238E27FC236}">
              <a16:creationId xmlns:a16="http://schemas.microsoft.com/office/drawing/2014/main" id="{96EC9C8A-26BA-439B-B037-4C9EB81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39" name="Picture 125" descr="LOGO DGI">
          <a:extLst>
            <a:ext uri="{FF2B5EF4-FFF2-40B4-BE49-F238E27FC236}">
              <a16:creationId xmlns:a16="http://schemas.microsoft.com/office/drawing/2014/main" id="{8DCEC33A-9A53-4DCE-ADAC-4FB8F463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0" name="Picture 126" descr="LOGO DGI">
          <a:extLst>
            <a:ext uri="{FF2B5EF4-FFF2-40B4-BE49-F238E27FC236}">
              <a16:creationId xmlns:a16="http://schemas.microsoft.com/office/drawing/2014/main" id="{EB772BE8-6D92-47E6-9B2E-AE67EB65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1" name="Picture 127" descr="LOGO DGI">
          <a:extLst>
            <a:ext uri="{FF2B5EF4-FFF2-40B4-BE49-F238E27FC236}">
              <a16:creationId xmlns:a16="http://schemas.microsoft.com/office/drawing/2014/main" id="{436CCF35-D015-4DB1-AA8F-9CE867387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2" name="Picture 128" descr="LOGO DGI">
          <a:extLst>
            <a:ext uri="{FF2B5EF4-FFF2-40B4-BE49-F238E27FC236}">
              <a16:creationId xmlns:a16="http://schemas.microsoft.com/office/drawing/2014/main" id="{C28155ED-99BA-4F5B-B105-A9CE95073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3" name="Picture 129" descr="LOGO DGI">
          <a:extLst>
            <a:ext uri="{FF2B5EF4-FFF2-40B4-BE49-F238E27FC236}">
              <a16:creationId xmlns:a16="http://schemas.microsoft.com/office/drawing/2014/main" id="{7B224A13-15BE-4C3F-93FB-061D54CB0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4" name="Picture 130" descr="LOGO DGI">
          <a:extLst>
            <a:ext uri="{FF2B5EF4-FFF2-40B4-BE49-F238E27FC236}">
              <a16:creationId xmlns:a16="http://schemas.microsoft.com/office/drawing/2014/main" id="{E79FB288-A302-4972-947B-A1F9AC60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5" name="Picture 131" descr="LOGO DGI">
          <a:extLst>
            <a:ext uri="{FF2B5EF4-FFF2-40B4-BE49-F238E27FC236}">
              <a16:creationId xmlns:a16="http://schemas.microsoft.com/office/drawing/2014/main" id="{1269C791-72E1-4822-B80B-9BC3C14F7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6" name="Picture 132" descr="LOGO DGI">
          <a:extLst>
            <a:ext uri="{FF2B5EF4-FFF2-40B4-BE49-F238E27FC236}">
              <a16:creationId xmlns:a16="http://schemas.microsoft.com/office/drawing/2014/main" id="{4938C568-D3EA-41DF-B0D5-732FF3CC7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7" name="Picture 133" descr="LOGO DGI">
          <a:extLst>
            <a:ext uri="{FF2B5EF4-FFF2-40B4-BE49-F238E27FC236}">
              <a16:creationId xmlns:a16="http://schemas.microsoft.com/office/drawing/2014/main" id="{B3D83013-BB3D-4189-9CC3-4E3E4FA2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8" name="Picture 134" descr="LOGO DGI">
          <a:extLst>
            <a:ext uri="{FF2B5EF4-FFF2-40B4-BE49-F238E27FC236}">
              <a16:creationId xmlns:a16="http://schemas.microsoft.com/office/drawing/2014/main" id="{E4052E66-A1DA-4AFC-9EAC-00A1A894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49" name="Picture 135" descr="LOGO DGI">
          <a:extLst>
            <a:ext uri="{FF2B5EF4-FFF2-40B4-BE49-F238E27FC236}">
              <a16:creationId xmlns:a16="http://schemas.microsoft.com/office/drawing/2014/main" id="{D55A0D50-B2D8-457D-BFD9-C26B77EC6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0" name="Picture 136" descr="LOGO DGI">
          <a:extLst>
            <a:ext uri="{FF2B5EF4-FFF2-40B4-BE49-F238E27FC236}">
              <a16:creationId xmlns:a16="http://schemas.microsoft.com/office/drawing/2014/main" id="{2DF36DA5-C5A6-4544-8601-DC52E3D9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1" name="Picture 137" descr="LOGO DGI">
          <a:extLst>
            <a:ext uri="{FF2B5EF4-FFF2-40B4-BE49-F238E27FC236}">
              <a16:creationId xmlns:a16="http://schemas.microsoft.com/office/drawing/2014/main" id="{B0FF375D-9DA8-48B6-93A0-5B3E514D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2" name="Picture 138" descr="LOGO DGI">
          <a:extLst>
            <a:ext uri="{FF2B5EF4-FFF2-40B4-BE49-F238E27FC236}">
              <a16:creationId xmlns:a16="http://schemas.microsoft.com/office/drawing/2014/main" id="{397BCE1B-7F92-46F5-870E-3CB493B3E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3" name="Picture 139" descr="LOGO DGI">
          <a:extLst>
            <a:ext uri="{FF2B5EF4-FFF2-40B4-BE49-F238E27FC236}">
              <a16:creationId xmlns:a16="http://schemas.microsoft.com/office/drawing/2014/main" id="{EC43E08D-E889-4AD7-8898-0F55DA1AA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4" name="Picture 140" descr="LOGO DGI">
          <a:extLst>
            <a:ext uri="{FF2B5EF4-FFF2-40B4-BE49-F238E27FC236}">
              <a16:creationId xmlns:a16="http://schemas.microsoft.com/office/drawing/2014/main" id="{F409A1D5-4B25-438D-9D82-B989D1565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5" name="Picture 141" descr="LOGO DGI">
          <a:extLst>
            <a:ext uri="{FF2B5EF4-FFF2-40B4-BE49-F238E27FC236}">
              <a16:creationId xmlns:a16="http://schemas.microsoft.com/office/drawing/2014/main" id="{9762F33E-3B23-45D9-A849-E455FF84A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6" name="Picture 142" descr="LOGO DGI">
          <a:extLst>
            <a:ext uri="{FF2B5EF4-FFF2-40B4-BE49-F238E27FC236}">
              <a16:creationId xmlns:a16="http://schemas.microsoft.com/office/drawing/2014/main" id="{A9F84C79-00D1-47D6-9170-BE28F23A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7" name="Picture 143" descr="LOGO DGI">
          <a:extLst>
            <a:ext uri="{FF2B5EF4-FFF2-40B4-BE49-F238E27FC236}">
              <a16:creationId xmlns:a16="http://schemas.microsoft.com/office/drawing/2014/main" id="{52409E52-B1B4-4876-8866-27F8B5B64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8" name="Picture 144" descr="LOGO DGI">
          <a:extLst>
            <a:ext uri="{FF2B5EF4-FFF2-40B4-BE49-F238E27FC236}">
              <a16:creationId xmlns:a16="http://schemas.microsoft.com/office/drawing/2014/main" id="{11F18F3B-3056-4468-B898-E6622252C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59" name="Picture 145" descr="LOGO DGI">
          <a:extLst>
            <a:ext uri="{FF2B5EF4-FFF2-40B4-BE49-F238E27FC236}">
              <a16:creationId xmlns:a16="http://schemas.microsoft.com/office/drawing/2014/main" id="{593B7301-7470-4ED3-9D2F-922D21022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0" name="Picture 146" descr="LOGO DGI">
          <a:extLst>
            <a:ext uri="{FF2B5EF4-FFF2-40B4-BE49-F238E27FC236}">
              <a16:creationId xmlns:a16="http://schemas.microsoft.com/office/drawing/2014/main" id="{840857D9-4F70-466F-9522-99AD6B9D2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1" name="Picture 147" descr="LOGO DGI">
          <a:extLst>
            <a:ext uri="{FF2B5EF4-FFF2-40B4-BE49-F238E27FC236}">
              <a16:creationId xmlns:a16="http://schemas.microsoft.com/office/drawing/2014/main" id="{433B90B0-E01F-4383-BC1D-DB4497B2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2" name="Picture 148" descr="LOGO DGI">
          <a:extLst>
            <a:ext uri="{FF2B5EF4-FFF2-40B4-BE49-F238E27FC236}">
              <a16:creationId xmlns:a16="http://schemas.microsoft.com/office/drawing/2014/main" id="{E8561A99-1CCB-48AE-96BC-05E9A7F4E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3" name="Picture 149" descr="LOGO DGI">
          <a:extLst>
            <a:ext uri="{FF2B5EF4-FFF2-40B4-BE49-F238E27FC236}">
              <a16:creationId xmlns:a16="http://schemas.microsoft.com/office/drawing/2014/main" id="{D3EEC354-1CF6-413D-8363-418702176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4" name="Picture 150" descr="LOGO DGI">
          <a:extLst>
            <a:ext uri="{FF2B5EF4-FFF2-40B4-BE49-F238E27FC236}">
              <a16:creationId xmlns:a16="http://schemas.microsoft.com/office/drawing/2014/main" id="{69412C2B-3CFA-4B6A-ABDB-0CF3A5B3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5" name="Picture 151" descr="LOGO DGI">
          <a:extLst>
            <a:ext uri="{FF2B5EF4-FFF2-40B4-BE49-F238E27FC236}">
              <a16:creationId xmlns:a16="http://schemas.microsoft.com/office/drawing/2014/main" id="{FB30BD54-FC34-4251-9565-255DC4F34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6" name="Picture 152" descr="LOGO DGI">
          <a:extLst>
            <a:ext uri="{FF2B5EF4-FFF2-40B4-BE49-F238E27FC236}">
              <a16:creationId xmlns:a16="http://schemas.microsoft.com/office/drawing/2014/main" id="{042F3023-AD56-44F1-832D-F90AFA1F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7" name="Picture 153" descr="LOGO DGI">
          <a:extLst>
            <a:ext uri="{FF2B5EF4-FFF2-40B4-BE49-F238E27FC236}">
              <a16:creationId xmlns:a16="http://schemas.microsoft.com/office/drawing/2014/main" id="{78AC4DB7-0B5E-4FF0-BCE3-E72620563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8" name="Picture 154" descr="LOGO DGI">
          <a:extLst>
            <a:ext uri="{FF2B5EF4-FFF2-40B4-BE49-F238E27FC236}">
              <a16:creationId xmlns:a16="http://schemas.microsoft.com/office/drawing/2014/main" id="{0A4A5BD6-AD7A-4814-9A9F-E13025131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19</xdr:row>
      <xdr:rowOff>152400</xdr:rowOff>
    </xdr:to>
    <xdr:pic>
      <xdr:nvPicPr>
        <xdr:cNvPr id="1587669" name="Picture 155" descr="LOGO DGI">
          <a:extLst>
            <a:ext uri="{FF2B5EF4-FFF2-40B4-BE49-F238E27FC236}">
              <a16:creationId xmlns:a16="http://schemas.microsoft.com/office/drawing/2014/main" id="{FC676AB8-DC5E-4ED4-9BCD-7BA2B59D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44034" name="CommandButton1" hidden="1">
          <a:extLst>
            <a:ext uri="{63B3BB69-23CF-44E3-9099-C40C66FF867C}">
              <a14:compatExt xmlns:a14="http://schemas.microsoft.com/office/drawing/2010/main" spid="_x0000_s44034"/>
            </a:ext>
            <a:ext uri="{FF2B5EF4-FFF2-40B4-BE49-F238E27FC236}">
              <a16:creationId xmlns:a16="http://schemas.microsoft.com/office/drawing/2014/main" id="{BEC3C75D-F55E-4808-8E60-9DB0D55FD50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44035" name="CommandButton2" hidden="1">
          <a:extLst>
            <a:ext uri="{63B3BB69-23CF-44E3-9099-C40C66FF867C}">
              <a14:compatExt xmlns:a14="http://schemas.microsoft.com/office/drawing/2010/main" spid="_x0000_s44035"/>
            </a:ext>
            <a:ext uri="{FF2B5EF4-FFF2-40B4-BE49-F238E27FC236}">
              <a16:creationId xmlns:a16="http://schemas.microsoft.com/office/drawing/2014/main" id="{39150455-3477-4A8C-AEF1-173A96783F3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304800</xdr:colOff>
      <xdr:row>18</xdr:row>
      <xdr:rowOff>85725</xdr:rowOff>
    </xdr:from>
    <xdr:to>
      <xdr:col>0</xdr:col>
      <xdr:colOff>695325</xdr:colOff>
      <xdr:row>21</xdr:row>
      <xdr:rowOff>85725</xdr:rowOff>
    </xdr:to>
    <xdr:pic>
      <xdr:nvPicPr>
        <xdr:cNvPr id="1587670" name="Picture 1" descr="LOGO DGI">
          <a:extLst>
            <a:ext uri="{FF2B5EF4-FFF2-40B4-BE49-F238E27FC236}">
              <a16:creationId xmlns:a16="http://schemas.microsoft.com/office/drawing/2014/main" id="{2450D29A-CEA5-48B0-819A-7FCAA0D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0956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35</xdr:row>
      <xdr:rowOff>85725</xdr:rowOff>
    </xdr:from>
    <xdr:to>
      <xdr:col>0</xdr:col>
      <xdr:colOff>695325</xdr:colOff>
      <xdr:row>38</xdr:row>
      <xdr:rowOff>85725</xdr:rowOff>
    </xdr:to>
    <xdr:pic>
      <xdr:nvPicPr>
        <xdr:cNvPr id="1587671" name="Picture 1" descr="LOGO DGI">
          <a:extLst>
            <a:ext uri="{FF2B5EF4-FFF2-40B4-BE49-F238E27FC236}">
              <a16:creationId xmlns:a16="http://schemas.microsoft.com/office/drawing/2014/main" id="{257324E1-5EEA-477A-B3F7-D24F58F83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9436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52</xdr:row>
      <xdr:rowOff>85725</xdr:rowOff>
    </xdr:from>
    <xdr:to>
      <xdr:col>0</xdr:col>
      <xdr:colOff>695325</xdr:colOff>
      <xdr:row>55</xdr:row>
      <xdr:rowOff>85725</xdr:rowOff>
    </xdr:to>
    <xdr:pic>
      <xdr:nvPicPr>
        <xdr:cNvPr id="1587672" name="Picture 1" descr="LOGO DGI">
          <a:extLst>
            <a:ext uri="{FF2B5EF4-FFF2-40B4-BE49-F238E27FC236}">
              <a16:creationId xmlns:a16="http://schemas.microsoft.com/office/drawing/2014/main" id="{DA062A24-0EA0-4F74-B587-5B3F8937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791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69</xdr:row>
      <xdr:rowOff>85725</xdr:rowOff>
    </xdr:from>
    <xdr:to>
      <xdr:col>0</xdr:col>
      <xdr:colOff>695325</xdr:colOff>
      <xdr:row>72</xdr:row>
      <xdr:rowOff>85725</xdr:rowOff>
    </xdr:to>
    <xdr:pic>
      <xdr:nvPicPr>
        <xdr:cNvPr id="1587673" name="Picture 1" descr="LOGO DGI">
          <a:extLst>
            <a:ext uri="{FF2B5EF4-FFF2-40B4-BE49-F238E27FC236}">
              <a16:creationId xmlns:a16="http://schemas.microsoft.com/office/drawing/2014/main" id="{F7EE291E-C0E0-4731-B8BD-92019D80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395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86</xdr:row>
      <xdr:rowOff>85725</xdr:rowOff>
    </xdr:from>
    <xdr:to>
      <xdr:col>0</xdr:col>
      <xdr:colOff>695325</xdr:colOff>
      <xdr:row>89</xdr:row>
      <xdr:rowOff>85725</xdr:rowOff>
    </xdr:to>
    <xdr:pic>
      <xdr:nvPicPr>
        <xdr:cNvPr id="1587674" name="Picture 1" descr="LOGO DGI">
          <a:extLst>
            <a:ext uri="{FF2B5EF4-FFF2-40B4-BE49-F238E27FC236}">
              <a16:creationId xmlns:a16="http://schemas.microsoft.com/office/drawing/2014/main" id="{0CF970C2-C094-43D7-AF66-67A7D3B9B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487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103</xdr:row>
      <xdr:rowOff>85725</xdr:rowOff>
    </xdr:from>
    <xdr:to>
      <xdr:col>0</xdr:col>
      <xdr:colOff>695325</xdr:colOff>
      <xdr:row>106</xdr:row>
      <xdr:rowOff>85725</xdr:rowOff>
    </xdr:to>
    <xdr:pic>
      <xdr:nvPicPr>
        <xdr:cNvPr id="1587675" name="Picture 1" descr="LOGO DGI">
          <a:extLst>
            <a:ext uri="{FF2B5EF4-FFF2-40B4-BE49-F238E27FC236}">
              <a16:creationId xmlns:a16="http://schemas.microsoft.com/office/drawing/2014/main" id="{0C80EC42-B7AA-4424-B84A-AFF2307A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3355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120</xdr:row>
      <xdr:rowOff>85725</xdr:rowOff>
    </xdr:from>
    <xdr:to>
      <xdr:col>0</xdr:col>
      <xdr:colOff>695325</xdr:colOff>
      <xdr:row>123</xdr:row>
      <xdr:rowOff>85725</xdr:rowOff>
    </xdr:to>
    <xdr:pic>
      <xdr:nvPicPr>
        <xdr:cNvPr id="1587676" name="Picture 1" descr="LOGO DGI">
          <a:extLst>
            <a:ext uri="{FF2B5EF4-FFF2-40B4-BE49-F238E27FC236}">
              <a16:creationId xmlns:a16="http://schemas.microsoft.com/office/drawing/2014/main" id="{9B30AA27-35BC-4FDC-BFEC-E8543A54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1834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137</xdr:row>
      <xdr:rowOff>85725</xdr:rowOff>
    </xdr:from>
    <xdr:to>
      <xdr:col>0</xdr:col>
      <xdr:colOff>695325</xdr:colOff>
      <xdr:row>140</xdr:row>
      <xdr:rowOff>85725</xdr:rowOff>
    </xdr:to>
    <xdr:pic>
      <xdr:nvPicPr>
        <xdr:cNvPr id="1587677" name="Picture 1" descr="LOGO DGI">
          <a:extLst>
            <a:ext uri="{FF2B5EF4-FFF2-40B4-BE49-F238E27FC236}">
              <a16:creationId xmlns:a16="http://schemas.microsoft.com/office/drawing/2014/main" id="{7122C4D5-6B10-431A-8CE4-143E5F03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0314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154</xdr:row>
      <xdr:rowOff>85725</xdr:rowOff>
    </xdr:from>
    <xdr:to>
      <xdr:col>0</xdr:col>
      <xdr:colOff>695325</xdr:colOff>
      <xdr:row>157</xdr:row>
      <xdr:rowOff>85725</xdr:rowOff>
    </xdr:to>
    <xdr:pic>
      <xdr:nvPicPr>
        <xdr:cNvPr id="1587678" name="Picture 1" descr="LOGO DGI">
          <a:extLst>
            <a:ext uri="{FF2B5EF4-FFF2-40B4-BE49-F238E27FC236}">
              <a16:creationId xmlns:a16="http://schemas.microsoft.com/office/drawing/2014/main" id="{5F10EE7B-EB36-4030-8AE5-D07EE512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58794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171</xdr:row>
      <xdr:rowOff>85725</xdr:rowOff>
    </xdr:from>
    <xdr:to>
      <xdr:col>0</xdr:col>
      <xdr:colOff>695325</xdr:colOff>
      <xdr:row>174</xdr:row>
      <xdr:rowOff>85725</xdr:rowOff>
    </xdr:to>
    <xdr:pic>
      <xdr:nvPicPr>
        <xdr:cNvPr id="1587679" name="Picture 1" descr="LOGO DGI">
          <a:extLst>
            <a:ext uri="{FF2B5EF4-FFF2-40B4-BE49-F238E27FC236}">
              <a16:creationId xmlns:a16="http://schemas.microsoft.com/office/drawing/2014/main" id="{13F9B8B9-4076-4B86-BC10-629776C2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7274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971550</xdr:colOff>
      <xdr:row>3</xdr:row>
      <xdr:rowOff>0</xdr:rowOff>
    </xdr:from>
    <xdr:to>
      <xdr:col>11</xdr:col>
      <xdr:colOff>828675</xdr:colOff>
      <xdr:row>6</xdr:row>
      <xdr:rowOff>114300</xdr:rowOff>
    </xdr:to>
    <xdr:sp macro="" textlink="">
      <xdr:nvSpPr>
        <xdr:cNvPr id="46081" name="CommandButton1" hidden="1">
          <a:extLst>
            <a:ext uri="{63B3BB69-23CF-44E3-9099-C40C66FF867C}">
              <a14:compatExt xmlns:a14="http://schemas.microsoft.com/office/drawing/2010/main" spid="_x0000_s46081"/>
            </a:ext>
            <a:ext uri="{FF2B5EF4-FFF2-40B4-BE49-F238E27FC236}">
              <a16:creationId xmlns:a16="http://schemas.microsoft.com/office/drawing/2014/main" id="{026F27D7-B2CA-46FA-8EC0-D9DFC796962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981075</xdr:colOff>
      <xdr:row>7</xdr:row>
      <xdr:rowOff>9525</xdr:rowOff>
    </xdr:from>
    <xdr:to>
      <xdr:col>11</xdr:col>
      <xdr:colOff>828675</xdr:colOff>
      <xdr:row>10</xdr:row>
      <xdr:rowOff>104775</xdr:rowOff>
    </xdr:to>
    <xdr:sp macro="" textlink="">
      <xdr:nvSpPr>
        <xdr:cNvPr id="46082" name="CommandButton2" hidden="1">
          <a:extLst>
            <a:ext uri="{63B3BB69-23CF-44E3-9099-C40C66FF867C}">
              <a14:compatExt xmlns:a14="http://schemas.microsoft.com/office/drawing/2010/main" spid="_x0000_s46082"/>
            </a:ext>
            <a:ext uri="{FF2B5EF4-FFF2-40B4-BE49-F238E27FC236}">
              <a16:creationId xmlns:a16="http://schemas.microsoft.com/office/drawing/2014/main" id="{A8180F7D-0F45-4C3E-BCAE-8C77B7B945D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57150</xdr:colOff>
      <xdr:row>2</xdr:row>
      <xdr:rowOff>152400</xdr:rowOff>
    </xdr:from>
    <xdr:to>
      <xdr:col>12</xdr:col>
      <xdr:colOff>1104900</xdr:colOff>
      <xdr:row>6</xdr:row>
      <xdr:rowOff>95250</xdr:rowOff>
    </xdr:to>
    <xdr:sp macro="" textlink="">
      <xdr:nvSpPr>
        <xdr:cNvPr id="46083" name="CommandButton3" hidden="1">
          <a:extLst>
            <a:ext uri="{63B3BB69-23CF-44E3-9099-C40C66FF867C}">
              <a14:compatExt xmlns:a14="http://schemas.microsoft.com/office/drawing/2010/main" spid="_x0000_s46083"/>
            </a:ext>
            <a:ext uri="{FF2B5EF4-FFF2-40B4-BE49-F238E27FC236}">
              <a16:creationId xmlns:a16="http://schemas.microsoft.com/office/drawing/2014/main" id="{3382349A-A407-4A95-B946-D7BAA45E1A8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28575</xdr:colOff>
      <xdr:row>7</xdr:row>
      <xdr:rowOff>0</xdr:rowOff>
    </xdr:from>
    <xdr:to>
      <xdr:col>12</xdr:col>
      <xdr:colOff>1095375</xdr:colOff>
      <xdr:row>10</xdr:row>
      <xdr:rowOff>76200</xdr:rowOff>
    </xdr:to>
    <xdr:sp macro="" textlink="">
      <xdr:nvSpPr>
        <xdr:cNvPr id="46084" name="CommandButton4" hidden="1">
          <a:extLst>
            <a:ext uri="{63B3BB69-23CF-44E3-9099-C40C66FF867C}">
              <a14:compatExt xmlns:a14="http://schemas.microsoft.com/office/drawing/2010/main" spid="_x0000_s46084"/>
            </a:ext>
            <a:ext uri="{FF2B5EF4-FFF2-40B4-BE49-F238E27FC236}">
              <a16:creationId xmlns:a16="http://schemas.microsoft.com/office/drawing/2014/main" id="{CB6F851C-9356-463D-9253-7327832E9D3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85725</xdr:rowOff>
    </xdr:from>
    <xdr:to>
      <xdr:col>0</xdr:col>
      <xdr:colOff>695325</xdr:colOff>
      <xdr:row>4</xdr:row>
      <xdr:rowOff>85725</xdr:rowOff>
    </xdr:to>
    <xdr:pic>
      <xdr:nvPicPr>
        <xdr:cNvPr id="1597507" name="Picture 1" descr="LOGO DGI">
          <a:extLst>
            <a:ext uri="{FF2B5EF4-FFF2-40B4-BE49-F238E27FC236}">
              <a16:creationId xmlns:a16="http://schemas.microsoft.com/office/drawing/2014/main" id="{AB164146-6B58-4CFD-8CEC-93451E495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476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08" name="Picture 4" descr="LOGO DGI">
          <a:extLst>
            <a:ext uri="{FF2B5EF4-FFF2-40B4-BE49-F238E27FC236}">
              <a16:creationId xmlns:a16="http://schemas.microsoft.com/office/drawing/2014/main" id="{B905E4FE-B40F-4F19-9E8E-DF2CD48F4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09" name="Picture 5" descr="LOGO DGI">
          <a:extLst>
            <a:ext uri="{FF2B5EF4-FFF2-40B4-BE49-F238E27FC236}">
              <a16:creationId xmlns:a16="http://schemas.microsoft.com/office/drawing/2014/main" id="{9EC3CA50-79A8-4BA3-813A-C0CA6ADAA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0" name="Picture 6" descr="LOGO DGI">
          <a:extLst>
            <a:ext uri="{FF2B5EF4-FFF2-40B4-BE49-F238E27FC236}">
              <a16:creationId xmlns:a16="http://schemas.microsoft.com/office/drawing/2014/main" id="{C5F82E0B-4908-423C-A019-065853444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1" name="Picture 7" descr="LOGO DGI">
          <a:extLst>
            <a:ext uri="{FF2B5EF4-FFF2-40B4-BE49-F238E27FC236}">
              <a16:creationId xmlns:a16="http://schemas.microsoft.com/office/drawing/2014/main" id="{CCE200F3-05BB-4EB8-A4E0-0C4431BC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2" name="Picture 8" descr="LOGO DGI">
          <a:extLst>
            <a:ext uri="{FF2B5EF4-FFF2-40B4-BE49-F238E27FC236}">
              <a16:creationId xmlns:a16="http://schemas.microsoft.com/office/drawing/2014/main" id="{914542B3-C966-4DCD-8565-70903BB57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3" name="Picture 9" descr="LOGO DGI">
          <a:extLst>
            <a:ext uri="{FF2B5EF4-FFF2-40B4-BE49-F238E27FC236}">
              <a16:creationId xmlns:a16="http://schemas.microsoft.com/office/drawing/2014/main" id="{9967E243-A75E-474C-8AAE-2522565B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4" name="Picture 10" descr="LOGO DGI">
          <a:extLst>
            <a:ext uri="{FF2B5EF4-FFF2-40B4-BE49-F238E27FC236}">
              <a16:creationId xmlns:a16="http://schemas.microsoft.com/office/drawing/2014/main" id="{C3851D51-8B7C-4150-BD5B-AD8F999B2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5" name="Picture 11" descr="LOGO DGI">
          <a:extLst>
            <a:ext uri="{FF2B5EF4-FFF2-40B4-BE49-F238E27FC236}">
              <a16:creationId xmlns:a16="http://schemas.microsoft.com/office/drawing/2014/main" id="{62277DD9-94E6-4805-A754-D2E2EC59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6" name="Picture 12" descr="LOGO DGI">
          <a:extLst>
            <a:ext uri="{FF2B5EF4-FFF2-40B4-BE49-F238E27FC236}">
              <a16:creationId xmlns:a16="http://schemas.microsoft.com/office/drawing/2014/main" id="{03739521-AD62-4303-AA51-E306A4999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7" name="Picture 13" descr="LOGO DGI">
          <a:extLst>
            <a:ext uri="{FF2B5EF4-FFF2-40B4-BE49-F238E27FC236}">
              <a16:creationId xmlns:a16="http://schemas.microsoft.com/office/drawing/2014/main" id="{DF5BE5BB-455E-478D-9459-7067BEF10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8" name="Picture 14" descr="LOGO DGI">
          <a:extLst>
            <a:ext uri="{FF2B5EF4-FFF2-40B4-BE49-F238E27FC236}">
              <a16:creationId xmlns:a16="http://schemas.microsoft.com/office/drawing/2014/main" id="{5D5AF43D-E265-42D1-845F-7C55080A4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19" name="Picture 15" descr="LOGO DGI">
          <a:extLst>
            <a:ext uri="{FF2B5EF4-FFF2-40B4-BE49-F238E27FC236}">
              <a16:creationId xmlns:a16="http://schemas.microsoft.com/office/drawing/2014/main" id="{AD6CF606-CF6A-4357-B83D-77B2E905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0" name="Picture 16" descr="LOGO DGI">
          <a:extLst>
            <a:ext uri="{FF2B5EF4-FFF2-40B4-BE49-F238E27FC236}">
              <a16:creationId xmlns:a16="http://schemas.microsoft.com/office/drawing/2014/main" id="{AD29CA2C-5AEA-4A19-8FAF-BDE5D2D4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1" name="Picture 17" descr="LOGO DGI">
          <a:extLst>
            <a:ext uri="{FF2B5EF4-FFF2-40B4-BE49-F238E27FC236}">
              <a16:creationId xmlns:a16="http://schemas.microsoft.com/office/drawing/2014/main" id="{1E40FFAB-6C46-4FA7-AAE3-9AFB34609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2" name="Picture 18" descr="LOGO DGI">
          <a:extLst>
            <a:ext uri="{FF2B5EF4-FFF2-40B4-BE49-F238E27FC236}">
              <a16:creationId xmlns:a16="http://schemas.microsoft.com/office/drawing/2014/main" id="{4734D942-3C56-431D-80E2-58BDC9978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3" name="Picture 19" descr="LOGO DGI">
          <a:extLst>
            <a:ext uri="{FF2B5EF4-FFF2-40B4-BE49-F238E27FC236}">
              <a16:creationId xmlns:a16="http://schemas.microsoft.com/office/drawing/2014/main" id="{67D7A75D-993A-45DE-BCA3-496D5528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4" name="Picture 20" descr="LOGO DGI">
          <a:extLst>
            <a:ext uri="{FF2B5EF4-FFF2-40B4-BE49-F238E27FC236}">
              <a16:creationId xmlns:a16="http://schemas.microsoft.com/office/drawing/2014/main" id="{73FD3302-9730-45B1-854A-74AAA8F60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5" name="Picture 21" descr="LOGO DGI">
          <a:extLst>
            <a:ext uri="{FF2B5EF4-FFF2-40B4-BE49-F238E27FC236}">
              <a16:creationId xmlns:a16="http://schemas.microsoft.com/office/drawing/2014/main" id="{69C7DC94-9345-4577-BD16-0167534E0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6" name="Picture 22" descr="LOGO DGI">
          <a:extLst>
            <a:ext uri="{FF2B5EF4-FFF2-40B4-BE49-F238E27FC236}">
              <a16:creationId xmlns:a16="http://schemas.microsoft.com/office/drawing/2014/main" id="{1AB2E593-1AC3-43B5-8BD9-C9483123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7" name="Picture 23" descr="LOGO DGI">
          <a:extLst>
            <a:ext uri="{FF2B5EF4-FFF2-40B4-BE49-F238E27FC236}">
              <a16:creationId xmlns:a16="http://schemas.microsoft.com/office/drawing/2014/main" id="{94AABE8A-03D7-44E2-9B0B-BB4BD8C2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8" name="Picture 24" descr="LOGO DGI">
          <a:extLst>
            <a:ext uri="{FF2B5EF4-FFF2-40B4-BE49-F238E27FC236}">
              <a16:creationId xmlns:a16="http://schemas.microsoft.com/office/drawing/2014/main" id="{00402B6B-A6E5-4C70-9357-A7B9E761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29" name="Picture 25" descr="LOGO DGI">
          <a:extLst>
            <a:ext uri="{FF2B5EF4-FFF2-40B4-BE49-F238E27FC236}">
              <a16:creationId xmlns:a16="http://schemas.microsoft.com/office/drawing/2014/main" id="{C7DE497D-31DA-4416-9902-086599FE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0" name="Picture 26" descr="LOGO DGI">
          <a:extLst>
            <a:ext uri="{FF2B5EF4-FFF2-40B4-BE49-F238E27FC236}">
              <a16:creationId xmlns:a16="http://schemas.microsoft.com/office/drawing/2014/main" id="{60569A63-9447-4F6C-8ED4-2FCDD2DD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1" name="Picture 27" descr="LOGO DGI">
          <a:extLst>
            <a:ext uri="{FF2B5EF4-FFF2-40B4-BE49-F238E27FC236}">
              <a16:creationId xmlns:a16="http://schemas.microsoft.com/office/drawing/2014/main" id="{C8FD0EB1-F0CB-4A1B-9832-37ABDAED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2" name="Picture 28" descr="LOGO DGI">
          <a:extLst>
            <a:ext uri="{FF2B5EF4-FFF2-40B4-BE49-F238E27FC236}">
              <a16:creationId xmlns:a16="http://schemas.microsoft.com/office/drawing/2014/main" id="{C47ED2B3-E063-439C-B8C8-839EFC32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3" name="Picture 29" descr="LOGO DGI">
          <a:extLst>
            <a:ext uri="{FF2B5EF4-FFF2-40B4-BE49-F238E27FC236}">
              <a16:creationId xmlns:a16="http://schemas.microsoft.com/office/drawing/2014/main" id="{0B3926A5-B3B7-4D84-B8B7-A40C94470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4" name="Picture 30" descr="LOGO DGI">
          <a:extLst>
            <a:ext uri="{FF2B5EF4-FFF2-40B4-BE49-F238E27FC236}">
              <a16:creationId xmlns:a16="http://schemas.microsoft.com/office/drawing/2014/main" id="{7CDE4DFC-45E5-4494-913C-6909E25D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5" name="Picture 31" descr="LOGO DGI">
          <a:extLst>
            <a:ext uri="{FF2B5EF4-FFF2-40B4-BE49-F238E27FC236}">
              <a16:creationId xmlns:a16="http://schemas.microsoft.com/office/drawing/2014/main" id="{96946958-86F2-4982-966D-A4DB544F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6" name="Picture 32" descr="LOGO DGI">
          <a:extLst>
            <a:ext uri="{FF2B5EF4-FFF2-40B4-BE49-F238E27FC236}">
              <a16:creationId xmlns:a16="http://schemas.microsoft.com/office/drawing/2014/main" id="{5EEC9AB0-CF36-483F-AD5F-489AD3329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7" name="Picture 33" descr="LOGO DGI">
          <a:extLst>
            <a:ext uri="{FF2B5EF4-FFF2-40B4-BE49-F238E27FC236}">
              <a16:creationId xmlns:a16="http://schemas.microsoft.com/office/drawing/2014/main" id="{A5A2BB51-FB2F-45B6-9ED5-DC424C7F4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8" name="Picture 34" descr="LOGO DGI">
          <a:extLst>
            <a:ext uri="{FF2B5EF4-FFF2-40B4-BE49-F238E27FC236}">
              <a16:creationId xmlns:a16="http://schemas.microsoft.com/office/drawing/2014/main" id="{EE82F312-2019-4F18-BD7B-BA568B8C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17</xdr:row>
      <xdr:rowOff>0</xdr:rowOff>
    </xdr:from>
    <xdr:to>
      <xdr:col>0</xdr:col>
      <xdr:colOff>695325</xdr:colOff>
      <xdr:row>20</xdr:row>
      <xdr:rowOff>0</xdr:rowOff>
    </xdr:to>
    <xdr:pic>
      <xdr:nvPicPr>
        <xdr:cNvPr id="1597539" name="Picture 35" descr="LOGO DGI">
          <a:extLst>
            <a:ext uri="{FF2B5EF4-FFF2-40B4-BE49-F238E27FC236}">
              <a16:creationId xmlns:a16="http://schemas.microsoft.com/office/drawing/2014/main" id="{318F2052-8772-4772-9B1D-B5A7467C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18</xdr:row>
      <xdr:rowOff>85725</xdr:rowOff>
    </xdr:from>
    <xdr:to>
      <xdr:col>0</xdr:col>
      <xdr:colOff>695325</xdr:colOff>
      <xdr:row>21</xdr:row>
      <xdr:rowOff>85725</xdr:rowOff>
    </xdr:to>
    <xdr:pic>
      <xdr:nvPicPr>
        <xdr:cNvPr id="1597540" name="Picture 36" descr="LOGO DGI">
          <a:extLst>
            <a:ext uri="{FF2B5EF4-FFF2-40B4-BE49-F238E27FC236}">
              <a16:creationId xmlns:a16="http://schemas.microsoft.com/office/drawing/2014/main" id="{E350F132-5217-4FCF-AB02-D8617D2B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0956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35</xdr:row>
      <xdr:rowOff>85725</xdr:rowOff>
    </xdr:from>
    <xdr:to>
      <xdr:col>0</xdr:col>
      <xdr:colOff>695325</xdr:colOff>
      <xdr:row>38</xdr:row>
      <xdr:rowOff>85725</xdr:rowOff>
    </xdr:to>
    <xdr:pic>
      <xdr:nvPicPr>
        <xdr:cNvPr id="1597541" name="Picture 37" descr="LOGO DGI">
          <a:extLst>
            <a:ext uri="{FF2B5EF4-FFF2-40B4-BE49-F238E27FC236}">
              <a16:creationId xmlns:a16="http://schemas.microsoft.com/office/drawing/2014/main" id="{75577B25-1A3B-4C79-A931-63FC7119C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9436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52</xdr:row>
      <xdr:rowOff>85725</xdr:rowOff>
    </xdr:from>
    <xdr:to>
      <xdr:col>0</xdr:col>
      <xdr:colOff>695325</xdr:colOff>
      <xdr:row>55</xdr:row>
      <xdr:rowOff>85725</xdr:rowOff>
    </xdr:to>
    <xdr:pic>
      <xdr:nvPicPr>
        <xdr:cNvPr id="1597542" name="Picture 38" descr="LOGO DGI">
          <a:extLst>
            <a:ext uri="{FF2B5EF4-FFF2-40B4-BE49-F238E27FC236}">
              <a16:creationId xmlns:a16="http://schemas.microsoft.com/office/drawing/2014/main" id="{65AD6A40-50E1-4A56-90BA-842AA1F9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791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69</xdr:row>
      <xdr:rowOff>85725</xdr:rowOff>
    </xdr:from>
    <xdr:to>
      <xdr:col>0</xdr:col>
      <xdr:colOff>695325</xdr:colOff>
      <xdr:row>72</xdr:row>
      <xdr:rowOff>85725</xdr:rowOff>
    </xdr:to>
    <xdr:pic>
      <xdr:nvPicPr>
        <xdr:cNvPr id="1597543" name="Picture 39" descr="LOGO DGI">
          <a:extLst>
            <a:ext uri="{FF2B5EF4-FFF2-40B4-BE49-F238E27FC236}">
              <a16:creationId xmlns:a16="http://schemas.microsoft.com/office/drawing/2014/main" id="{6C0DE3D5-C433-47E5-A2B2-A2E15911A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3955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86</xdr:row>
      <xdr:rowOff>85725</xdr:rowOff>
    </xdr:from>
    <xdr:to>
      <xdr:col>0</xdr:col>
      <xdr:colOff>695325</xdr:colOff>
      <xdr:row>89</xdr:row>
      <xdr:rowOff>85725</xdr:rowOff>
    </xdr:to>
    <xdr:pic>
      <xdr:nvPicPr>
        <xdr:cNvPr id="1597544" name="Picture 40" descr="LOGO DGI">
          <a:extLst>
            <a:ext uri="{FF2B5EF4-FFF2-40B4-BE49-F238E27FC236}">
              <a16:creationId xmlns:a16="http://schemas.microsoft.com/office/drawing/2014/main" id="{4DE1AF85-A10D-48B7-933A-C26037A51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487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103</xdr:row>
      <xdr:rowOff>85725</xdr:rowOff>
    </xdr:from>
    <xdr:to>
      <xdr:col>0</xdr:col>
      <xdr:colOff>695325</xdr:colOff>
      <xdr:row>106</xdr:row>
      <xdr:rowOff>85725</xdr:rowOff>
    </xdr:to>
    <xdr:pic>
      <xdr:nvPicPr>
        <xdr:cNvPr id="1597545" name="Picture 41" descr="LOGO DGI">
          <a:extLst>
            <a:ext uri="{FF2B5EF4-FFF2-40B4-BE49-F238E27FC236}">
              <a16:creationId xmlns:a16="http://schemas.microsoft.com/office/drawing/2014/main" id="{AD7AD9B2-BD19-47EC-91C4-70D135927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3355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</xdr:row>
      <xdr:rowOff>28575</xdr:rowOff>
    </xdr:from>
    <xdr:to>
      <xdr:col>10</xdr:col>
      <xdr:colOff>123825</xdr:colOff>
      <xdr:row>4</xdr:row>
      <xdr:rowOff>76200</xdr:rowOff>
    </xdr:to>
    <xdr:sp macro="" textlink="">
      <xdr:nvSpPr>
        <xdr:cNvPr id="69634" name="CommandButton1" hidden="1">
          <a:extLst>
            <a:ext uri="{63B3BB69-23CF-44E3-9099-C40C66FF867C}">
              <a14:compatExt xmlns:a14="http://schemas.microsoft.com/office/drawing/2010/main" spid="_x0000_s69634"/>
            </a:ext>
            <a:ext uri="{FF2B5EF4-FFF2-40B4-BE49-F238E27FC236}">
              <a16:creationId xmlns:a16="http://schemas.microsoft.com/office/drawing/2014/main" id="{6009EF75-C6AB-4FEB-8C88-A1D26EF61B3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</xdr:row>
      <xdr:rowOff>95250</xdr:rowOff>
    </xdr:from>
    <xdr:to>
      <xdr:col>10</xdr:col>
      <xdr:colOff>638175</xdr:colOff>
      <xdr:row>7</xdr:row>
      <xdr:rowOff>0</xdr:rowOff>
    </xdr:to>
    <xdr:sp macro="" textlink="">
      <xdr:nvSpPr>
        <xdr:cNvPr id="69635" name="CommandButton2" hidden="1">
          <a:extLst>
            <a:ext uri="{63B3BB69-23CF-44E3-9099-C40C66FF867C}">
              <a14:compatExt xmlns:a14="http://schemas.microsoft.com/office/drawing/2010/main" spid="_x0000_s69635"/>
            </a:ext>
            <a:ext uri="{FF2B5EF4-FFF2-40B4-BE49-F238E27FC236}">
              <a16:creationId xmlns:a16="http://schemas.microsoft.com/office/drawing/2014/main" id="{1659A8B7-8656-441B-B26F-84D348AA94A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971550</xdr:colOff>
      <xdr:row>1</xdr:row>
      <xdr:rowOff>0</xdr:rowOff>
    </xdr:from>
    <xdr:to>
      <xdr:col>11</xdr:col>
      <xdr:colOff>247650</xdr:colOff>
      <xdr:row>4</xdr:row>
      <xdr:rowOff>104775</xdr:rowOff>
    </xdr:to>
    <xdr:sp macro="" textlink="">
      <xdr:nvSpPr>
        <xdr:cNvPr id="48129" name="CommandButton1" hidden="1">
          <a:extLst>
            <a:ext uri="{63B3BB69-23CF-44E3-9099-C40C66FF867C}">
              <a14:compatExt xmlns:a14="http://schemas.microsoft.com/office/drawing/2010/main" spid="_x0000_s48129"/>
            </a:ext>
            <a:ext uri="{FF2B5EF4-FFF2-40B4-BE49-F238E27FC236}">
              <a16:creationId xmlns:a16="http://schemas.microsoft.com/office/drawing/2014/main" id="{F8A003EA-FB29-4380-A765-1BFE92D785A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981075</xdr:colOff>
      <xdr:row>4</xdr:row>
      <xdr:rowOff>9525</xdr:rowOff>
    </xdr:from>
    <xdr:to>
      <xdr:col>11</xdr:col>
      <xdr:colOff>247650</xdr:colOff>
      <xdr:row>7</xdr:row>
      <xdr:rowOff>95250</xdr:rowOff>
    </xdr:to>
    <xdr:sp macro="" textlink="">
      <xdr:nvSpPr>
        <xdr:cNvPr id="48130" name="CommandButton2" hidden="1">
          <a:extLst>
            <a:ext uri="{63B3BB69-23CF-44E3-9099-C40C66FF867C}">
              <a14:compatExt xmlns:a14="http://schemas.microsoft.com/office/drawing/2010/main" spid="_x0000_s48130"/>
            </a:ext>
            <a:ext uri="{FF2B5EF4-FFF2-40B4-BE49-F238E27FC236}">
              <a16:creationId xmlns:a16="http://schemas.microsoft.com/office/drawing/2014/main" id="{8AE8FC6F-B26A-4062-9A1B-B92BA127C96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57150</xdr:colOff>
      <xdr:row>0</xdr:row>
      <xdr:rowOff>152400</xdr:rowOff>
    </xdr:from>
    <xdr:to>
      <xdr:col>12</xdr:col>
      <xdr:colOff>1104900</xdr:colOff>
      <xdr:row>4</xdr:row>
      <xdr:rowOff>57150</xdr:rowOff>
    </xdr:to>
    <xdr:sp macro="" textlink="">
      <xdr:nvSpPr>
        <xdr:cNvPr id="48131" name="CommandButton3" hidden="1">
          <a:extLst>
            <a:ext uri="{63B3BB69-23CF-44E3-9099-C40C66FF867C}">
              <a14:compatExt xmlns:a14="http://schemas.microsoft.com/office/drawing/2010/main" spid="_x0000_s48131"/>
            </a:ext>
            <a:ext uri="{FF2B5EF4-FFF2-40B4-BE49-F238E27FC236}">
              <a16:creationId xmlns:a16="http://schemas.microsoft.com/office/drawing/2014/main" id="{29CB57FF-3A88-42D4-ADD1-452117AE82C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28575</xdr:colOff>
      <xdr:row>4</xdr:row>
      <xdr:rowOff>0</xdr:rowOff>
    </xdr:from>
    <xdr:to>
      <xdr:col>12</xdr:col>
      <xdr:colOff>1095375</xdr:colOff>
      <xdr:row>7</xdr:row>
      <xdr:rowOff>76200</xdr:rowOff>
    </xdr:to>
    <xdr:sp macro="" textlink="">
      <xdr:nvSpPr>
        <xdr:cNvPr id="48132" name="CommandButton4" hidden="1">
          <a:extLst>
            <a:ext uri="{63B3BB69-23CF-44E3-9099-C40C66FF867C}">
              <a14:compatExt xmlns:a14="http://schemas.microsoft.com/office/drawing/2010/main" spid="_x0000_s48132"/>
            </a:ext>
            <a:ext uri="{FF2B5EF4-FFF2-40B4-BE49-F238E27FC236}">
              <a16:creationId xmlns:a16="http://schemas.microsoft.com/office/drawing/2014/main" id="{E576403D-EC69-44AA-B95E-E0CEA0F24B0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66675</xdr:rowOff>
    </xdr:from>
    <xdr:to>
      <xdr:col>3</xdr:col>
      <xdr:colOff>114300</xdr:colOff>
      <xdr:row>3</xdr:row>
      <xdr:rowOff>66675</xdr:rowOff>
    </xdr:to>
    <xdr:pic>
      <xdr:nvPicPr>
        <xdr:cNvPr id="1581581" name="Picture 1" descr="LOGO DGI">
          <a:extLst>
            <a:ext uri="{FF2B5EF4-FFF2-40B4-BE49-F238E27FC236}">
              <a16:creationId xmlns:a16="http://schemas.microsoft.com/office/drawing/2014/main" id="{8B4FE9AE-CE0E-4C0D-A243-1F70942DA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6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2" name="Picture 78" descr="LOGO DGI">
          <a:extLst>
            <a:ext uri="{FF2B5EF4-FFF2-40B4-BE49-F238E27FC236}">
              <a16:creationId xmlns:a16="http://schemas.microsoft.com/office/drawing/2014/main" id="{D42EB7DB-5331-4D6C-9199-36FA1956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3" name="Picture 79" descr="LOGO DGI">
          <a:extLst>
            <a:ext uri="{FF2B5EF4-FFF2-40B4-BE49-F238E27FC236}">
              <a16:creationId xmlns:a16="http://schemas.microsoft.com/office/drawing/2014/main" id="{32F790F4-A37A-43FF-870E-988CC8520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4" name="Picture 80" descr="LOGO DGI">
          <a:extLst>
            <a:ext uri="{FF2B5EF4-FFF2-40B4-BE49-F238E27FC236}">
              <a16:creationId xmlns:a16="http://schemas.microsoft.com/office/drawing/2014/main" id="{D176C680-FE95-41C0-9D8D-40EC03FE2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5" name="Picture 81" descr="LOGO DGI">
          <a:extLst>
            <a:ext uri="{FF2B5EF4-FFF2-40B4-BE49-F238E27FC236}">
              <a16:creationId xmlns:a16="http://schemas.microsoft.com/office/drawing/2014/main" id="{B2A7E6FC-8DF4-49EF-8BD1-B2A162C78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6" name="Picture 82" descr="LOGO DGI">
          <a:extLst>
            <a:ext uri="{FF2B5EF4-FFF2-40B4-BE49-F238E27FC236}">
              <a16:creationId xmlns:a16="http://schemas.microsoft.com/office/drawing/2014/main" id="{5C3EC1B1-99BD-4E78-BEF6-000F1BA22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7" name="Picture 83" descr="LOGO DGI">
          <a:extLst>
            <a:ext uri="{FF2B5EF4-FFF2-40B4-BE49-F238E27FC236}">
              <a16:creationId xmlns:a16="http://schemas.microsoft.com/office/drawing/2014/main" id="{36FE3528-D7EA-427E-9BDF-0785E9F5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8" name="Picture 84" descr="LOGO DGI">
          <a:extLst>
            <a:ext uri="{FF2B5EF4-FFF2-40B4-BE49-F238E27FC236}">
              <a16:creationId xmlns:a16="http://schemas.microsoft.com/office/drawing/2014/main" id="{05899958-04CE-4EB8-80E6-C1FB9CB67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89" name="Picture 85" descr="LOGO DGI">
          <a:extLst>
            <a:ext uri="{FF2B5EF4-FFF2-40B4-BE49-F238E27FC236}">
              <a16:creationId xmlns:a16="http://schemas.microsoft.com/office/drawing/2014/main" id="{DCC7EB34-35A2-4FA5-9468-357ED656A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0" name="Picture 86" descr="LOGO DGI">
          <a:extLst>
            <a:ext uri="{FF2B5EF4-FFF2-40B4-BE49-F238E27FC236}">
              <a16:creationId xmlns:a16="http://schemas.microsoft.com/office/drawing/2014/main" id="{68A8E282-8E99-42B7-811B-3AB25E684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1" name="Picture 87" descr="LOGO DGI">
          <a:extLst>
            <a:ext uri="{FF2B5EF4-FFF2-40B4-BE49-F238E27FC236}">
              <a16:creationId xmlns:a16="http://schemas.microsoft.com/office/drawing/2014/main" id="{48EC7FFB-DD5B-48BB-B59D-7BE0341AE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2" name="Picture 88" descr="LOGO DGI">
          <a:extLst>
            <a:ext uri="{FF2B5EF4-FFF2-40B4-BE49-F238E27FC236}">
              <a16:creationId xmlns:a16="http://schemas.microsoft.com/office/drawing/2014/main" id="{CF06FB04-D686-4F52-8767-51FC0BB07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3" name="Picture 89" descr="LOGO DGI">
          <a:extLst>
            <a:ext uri="{FF2B5EF4-FFF2-40B4-BE49-F238E27FC236}">
              <a16:creationId xmlns:a16="http://schemas.microsoft.com/office/drawing/2014/main" id="{4B5BE964-82EE-4E74-9642-74251C74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4" name="Picture 90" descr="LOGO DGI">
          <a:extLst>
            <a:ext uri="{FF2B5EF4-FFF2-40B4-BE49-F238E27FC236}">
              <a16:creationId xmlns:a16="http://schemas.microsoft.com/office/drawing/2014/main" id="{613E4800-1A77-4C66-8626-D35C9DD13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5" name="Picture 91" descr="LOGO DGI">
          <a:extLst>
            <a:ext uri="{FF2B5EF4-FFF2-40B4-BE49-F238E27FC236}">
              <a16:creationId xmlns:a16="http://schemas.microsoft.com/office/drawing/2014/main" id="{4C119D66-1E40-400E-884B-5A606981F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6" name="Picture 92" descr="LOGO DGI">
          <a:extLst>
            <a:ext uri="{FF2B5EF4-FFF2-40B4-BE49-F238E27FC236}">
              <a16:creationId xmlns:a16="http://schemas.microsoft.com/office/drawing/2014/main" id="{A909A850-9D5B-4448-A955-A5E531A9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7" name="Picture 93" descr="LOGO DGI">
          <a:extLst>
            <a:ext uri="{FF2B5EF4-FFF2-40B4-BE49-F238E27FC236}">
              <a16:creationId xmlns:a16="http://schemas.microsoft.com/office/drawing/2014/main" id="{16508EB7-40EE-4283-A3FD-61E020D8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8" name="Picture 94" descr="LOGO DGI">
          <a:extLst>
            <a:ext uri="{FF2B5EF4-FFF2-40B4-BE49-F238E27FC236}">
              <a16:creationId xmlns:a16="http://schemas.microsoft.com/office/drawing/2014/main" id="{36FB871F-1F18-4CD4-8063-D2FC0BD9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599" name="Picture 95" descr="LOGO DGI">
          <a:extLst>
            <a:ext uri="{FF2B5EF4-FFF2-40B4-BE49-F238E27FC236}">
              <a16:creationId xmlns:a16="http://schemas.microsoft.com/office/drawing/2014/main" id="{35507987-787C-4BE2-8859-9B6D1986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0" name="Picture 96" descr="LOGO DGI">
          <a:extLst>
            <a:ext uri="{FF2B5EF4-FFF2-40B4-BE49-F238E27FC236}">
              <a16:creationId xmlns:a16="http://schemas.microsoft.com/office/drawing/2014/main" id="{AB7C07D9-F2A8-4116-86EC-4F983B866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1" name="Picture 97" descr="LOGO DGI">
          <a:extLst>
            <a:ext uri="{FF2B5EF4-FFF2-40B4-BE49-F238E27FC236}">
              <a16:creationId xmlns:a16="http://schemas.microsoft.com/office/drawing/2014/main" id="{4585712F-CA0C-42AB-9D07-9EC57211F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2" name="Picture 98" descr="LOGO DGI">
          <a:extLst>
            <a:ext uri="{FF2B5EF4-FFF2-40B4-BE49-F238E27FC236}">
              <a16:creationId xmlns:a16="http://schemas.microsoft.com/office/drawing/2014/main" id="{0B9314DC-31FA-4C0D-B206-32CF2F997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3" name="Picture 99" descr="LOGO DGI">
          <a:extLst>
            <a:ext uri="{FF2B5EF4-FFF2-40B4-BE49-F238E27FC236}">
              <a16:creationId xmlns:a16="http://schemas.microsoft.com/office/drawing/2014/main" id="{B6F03EEF-6198-4A12-B5C4-CA5C736C9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4" name="Picture 100" descr="LOGO DGI">
          <a:extLst>
            <a:ext uri="{FF2B5EF4-FFF2-40B4-BE49-F238E27FC236}">
              <a16:creationId xmlns:a16="http://schemas.microsoft.com/office/drawing/2014/main" id="{506108A2-7105-4444-B833-FBDC3481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5" name="Picture 101" descr="LOGO DGI">
          <a:extLst>
            <a:ext uri="{FF2B5EF4-FFF2-40B4-BE49-F238E27FC236}">
              <a16:creationId xmlns:a16="http://schemas.microsoft.com/office/drawing/2014/main" id="{711C0160-4035-4E8F-94B2-C3766F4C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6" name="Picture 102" descr="LOGO DGI">
          <a:extLst>
            <a:ext uri="{FF2B5EF4-FFF2-40B4-BE49-F238E27FC236}">
              <a16:creationId xmlns:a16="http://schemas.microsoft.com/office/drawing/2014/main" id="{D4BD5DF1-051B-4D95-933F-9633A243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7" name="Picture 103" descr="LOGO DGI">
          <a:extLst>
            <a:ext uri="{FF2B5EF4-FFF2-40B4-BE49-F238E27FC236}">
              <a16:creationId xmlns:a16="http://schemas.microsoft.com/office/drawing/2014/main" id="{30E544FF-4557-46ED-A27F-72B6254F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8" name="Picture 104" descr="LOGO DGI">
          <a:extLst>
            <a:ext uri="{FF2B5EF4-FFF2-40B4-BE49-F238E27FC236}">
              <a16:creationId xmlns:a16="http://schemas.microsoft.com/office/drawing/2014/main" id="{F130992F-7308-4EBC-938C-A782EF63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09" name="Picture 105" descr="LOGO DGI">
          <a:extLst>
            <a:ext uri="{FF2B5EF4-FFF2-40B4-BE49-F238E27FC236}">
              <a16:creationId xmlns:a16="http://schemas.microsoft.com/office/drawing/2014/main" id="{E4B9CA94-0A13-4EE2-96F2-642C9409F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0" name="Picture 106" descr="LOGO DGI">
          <a:extLst>
            <a:ext uri="{FF2B5EF4-FFF2-40B4-BE49-F238E27FC236}">
              <a16:creationId xmlns:a16="http://schemas.microsoft.com/office/drawing/2014/main" id="{7035A949-D580-4CB5-A579-49056F5C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1" name="Picture 107" descr="LOGO DGI">
          <a:extLst>
            <a:ext uri="{FF2B5EF4-FFF2-40B4-BE49-F238E27FC236}">
              <a16:creationId xmlns:a16="http://schemas.microsoft.com/office/drawing/2014/main" id="{1F8DFE1B-31B5-4022-BB1F-BDF4950F5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2" name="Picture 108" descr="LOGO DGI">
          <a:extLst>
            <a:ext uri="{FF2B5EF4-FFF2-40B4-BE49-F238E27FC236}">
              <a16:creationId xmlns:a16="http://schemas.microsoft.com/office/drawing/2014/main" id="{BA80F374-C37A-44D5-A307-4F4E0B92C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3" name="Picture 109" descr="LOGO DGI">
          <a:extLst>
            <a:ext uri="{FF2B5EF4-FFF2-40B4-BE49-F238E27FC236}">
              <a16:creationId xmlns:a16="http://schemas.microsoft.com/office/drawing/2014/main" id="{0F85E58F-01D8-45EE-8720-B3C8A0C1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4" name="Picture 110" descr="LOGO DGI">
          <a:extLst>
            <a:ext uri="{FF2B5EF4-FFF2-40B4-BE49-F238E27FC236}">
              <a16:creationId xmlns:a16="http://schemas.microsoft.com/office/drawing/2014/main" id="{65B74DC8-5356-45DD-8041-2068A7BD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5" name="Picture 111" descr="LOGO DGI">
          <a:extLst>
            <a:ext uri="{FF2B5EF4-FFF2-40B4-BE49-F238E27FC236}">
              <a16:creationId xmlns:a16="http://schemas.microsoft.com/office/drawing/2014/main" id="{185487D8-3AA3-4BBE-801A-C137EC0CC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6" name="Picture 112" descr="LOGO DGI">
          <a:extLst>
            <a:ext uri="{FF2B5EF4-FFF2-40B4-BE49-F238E27FC236}">
              <a16:creationId xmlns:a16="http://schemas.microsoft.com/office/drawing/2014/main" id="{74E60754-592C-40BE-957E-EE7DE836C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7" name="Picture 113" descr="LOGO DGI">
          <a:extLst>
            <a:ext uri="{FF2B5EF4-FFF2-40B4-BE49-F238E27FC236}">
              <a16:creationId xmlns:a16="http://schemas.microsoft.com/office/drawing/2014/main" id="{C8DCC1D9-DE88-4D9F-A46B-F39362EA7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561975</xdr:colOff>
      <xdr:row>19</xdr:row>
      <xdr:rowOff>0</xdr:rowOff>
    </xdr:to>
    <xdr:pic>
      <xdr:nvPicPr>
        <xdr:cNvPr id="1581618" name="Picture 114" descr="LOGO DGI">
          <a:extLst>
            <a:ext uri="{FF2B5EF4-FFF2-40B4-BE49-F238E27FC236}">
              <a16:creationId xmlns:a16="http://schemas.microsoft.com/office/drawing/2014/main" id="{ED1D9C9C-E78F-478F-8A7A-0851C6986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76525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19" name="Picture 115" descr="LOGO DGI">
          <a:extLst>
            <a:ext uri="{FF2B5EF4-FFF2-40B4-BE49-F238E27FC236}">
              <a16:creationId xmlns:a16="http://schemas.microsoft.com/office/drawing/2014/main" id="{76A2F18D-85B0-4AAE-B2D3-6F58FA29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0" name="Picture 116" descr="LOGO DGI">
          <a:extLst>
            <a:ext uri="{FF2B5EF4-FFF2-40B4-BE49-F238E27FC236}">
              <a16:creationId xmlns:a16="http://schemas.microsoft.com/office/drawing/2014/main" id="{41239AA5-4519-4125-A136-F1766B085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1" name="Picture 117" descr="LOGO DGI">
          <a:extLst>
            <a:ext uri="{FF2B5EF4-FFF2-40B4-BE49-F238E27FC236}">
              <a16:creationId xmlns:a16="http://schemas.microsoft.com/office/drawing/2014/main" id="{A91706B1-9667-49B9-811A-40B76636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2" name="Picture 118" descr="LOGO DGI">
          <a:extLst>
            <a:ext uri="{FF2B5EF4-FFF2-40B4-BE49-F238E27FC236}">
              <a16:creationId xmlns:a16="http://schemas.microsoft.com/office/drawing/2014/main" id="{016154B7-ED25-4C57-9929-23DC733E9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3" name="Picture 119" descr="LOGO DGI">
          <a:extLst>
            <a:ext uri="{FF2B5EF4-FFF2-40B4-BE49-F238E27FC236}">
              <a16:creationId xmlns:a16="http://schemas.microsoft.com/office/drawing/2014/main" id="{CA67ECE8-C4F1-4218-8794-F45CB2F3E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4" name="Picture 120" descr="LOGO DGI">
          <a:extLst>
            <a:ext uri="{FF2B5EF4-FFF2-40B4-BE49-F238E27FC236}">
              <a16:creationId xmlns:a16="http://schemas.microsoft.com/office/drawing/2014/main" id="{BEAFB8D0-29EC-46FF-A874-141A8AE4C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5" name="Picture 121" descr="LOGO DGI">
          <a:extLst>
            <a:ext uri="{FF2B5EF4-FFF2-40B4-BE49-F238E27FC236}">
              <a16:creationId xmlns:a16="http://schemas.microsoft.com/office/drawing/2014/main" id="{86B787A0-BE56-446A-B065-C33E72EC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6" name="Picture 122" descr="LOGO DGI">
          <a:extLst>
            <a:ext uri="{FF2B5EF4-FFF2-40B4-BE49-F238E27FC236}">
              <a16:creationId xmlns:a16="http://schemas.microsoft.com/office/drawing/2014/main" id="{4EB8572B-E051-4212-8496-391A01A9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7" name="Picture 123" descr="LOGO DGI">
          <a:extLst>
            <a:ext uri="{FF2B5EF4-FFF2-40B4-BE49-F238E27FC236}">
              <a16:creationId xmlns:a16="http://schemas.microsoft.com/office/drawing/2014/main" id="{9CB3DE48-5BA3-48BC-A728-F554CC716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8" name="Picture 124" descr="LOGO DGI">
          <a:extLst>
            <a:ext uri="{FF2B5EF4-FFF2-40B4-BE49-F238E27FC236}">
              <a16:creationId xmlns:a16="http://schemas.microsoft.com/office/drawing/2014/main" id="{978AA8F7-5766-4D41-9C38-3B77C255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29" name="Picture 125" descr="LOGO DGI">
          <a:extLst>
            <a:ext uri="{FF2B5EF4-FFF2-40B4-BE49-F238E27FC236}">
              <a16:creationId xmlns:a16="http://schemas.microsoft.com/office/drawing/2014/main" id="{445EFB38-EAA5-40FF-AA67-2AD08D491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0" name="Picture 126" descr="LOGO DGI">
          <a:extLst>
            <a:ext uri="{FF2B5EF4-FFF2-40B4-BE49-F238E27FC236}">
              <a16:creationId xmlns:a16="http://schemas.microsoft.com/office/drawing/2014/main" id="{14ADAAC6-C862-4F04-AF7B-B0330E70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1" name="Picture 127" descr="LOGO DGI">
          <a:extLst>
            <a:ext uri="{FF2B5EF4-FFF2-40B4-BE49-F238E27FC236}">
              <a16:creationId xmlns:a16="http://schemas.microsoft.com/office/drawing/2014/main" id="{55564F0F-F2D2-4E14-9464-A7C388F4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2" name="Picture 128" descr="LOGO DGI">
          <a:extLst>
            <a:ext uri="{FF2B5EF4-FFF2-40B4-BE49-F238E27FC236}">
              <a16:creationId xmlns:a16="http://schemas.microsoft.com/office/drawing/2014/main" id="{47F3A4AC-156E-49D0-BECA-519CB70EA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3" name="Picture 129" descr="LOGO DGI">
          <a:extLst>
            <a:ext uri="{FF2B5EF4-FFF2-40B4-BE49-F238E27FC236}">
              <a16:creationId xmlns:a16="http://schemas.microsoft.com/office/drawing/2014/main" id="{1479D811-A7F6-4AA6-BF11-6B7A0E8C4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4" name="Picture 130" descr="LOGO DGI">
          <a:extLst>
            <a:ext uri="{FF2B5EF4-FFF2-40B4-BE49-F238E27FC236}">
              <a16:creationId xmlns:a16="http://schemas.microsoft.com/office/drawing/2014/main" id="{911A911E-9997-43D3-8223-64CD0EBC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5" name="Picture 131" descr="LOGO DGI">
          <a:extLst>
            <a:ext uri="{FF2B5EF4-FFF2-40B4-BE49-F238E27FC236}">
              <a16:creationId xmlns:a16="http://schemas.microsoft.com/office/drawing/2014/main" id="{2AEE4EB6-7133-43E3-9340-DF0265D1A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6" name="Picture 132" descr="LOGO DGI">
          <a:extLst>
            <a:ext uri="{FF2B5EF4-FFF2-40B4-BE49-F238E27FC236}">
              <a16:creationId xmlns:a16="http://schemas.microsoft.com/office/drawing/2014/main" id="{E8BD0990-B747-4E26-8525-0057327C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7" name="Picture 133" descr="LOGO DGI">
          <a:extLst>
            <a:ext uri="{FF2B5EF4-FFF2-40B4-BE49-F238E27FC236}">
              <a16:creationId xmlns:a16="http://schemas.microsoft.com/office/drawing/2014/main" id="{818BAD09-8402-416F-9DDC-E3B78B4ED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8" name="Picture 134" descr="LOGO DGI">
          <a:extLst>
            <a:ext uri="{FF2B5EF4-FFF2-40B4-BE49-F238E27FC236}">
              <a16:creationId xmlns:a16="http://schemas.microsoft.com/office/drawing/2014/main" id="{FA928059-1C34-40B8-91F2-83169A7A4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39" name="Picture 135" descr="LOGO DGI">
          <a:extLst>
            <a:ext uri="{FF2B5EF4-FFF2-40B4-BE49-F238E27FC236}">
              <a16:creationId xmlns:a16="http://schemas.microsoft.com/office/drawing/2014/main" id="{D9F258B2-605D-4E57-A8C8-E19E6FA33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0" name="Picture 136" descr="LOGO DGI">
          <a:extLst>
            <a:ext uri="{FF2B5EF4-FFF2-40B4-BE49-F238E27FC236}">
              <a16:creationId xmlns:a16="http://schemas.microsoft.com/office/drawing/2014/main" id="{CDCF4921-8D4A-46A5-BBB2-6896C64D4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1" name="Picture 137" descr="LOGO DGI">
          <a:extLst>
            <a:ext uri="{FF2B5EF4-FFF2-40B4-BE49-F238E27FC236}">
              <a16:creationId xmlns:a16="http://schemas.microsoft.com/office/drawing/2014/main" id="{489B4E38-5B42-49B5-A788-C47BAE380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2" name="Picture 138" descr="LOGO DGI">
          <a:extLst>
            <a:ext uri="{FF2B5EF4-FFF2-40B4-BE49-F238E27FC236}">
              <a16:creationId xmlns:a16="http://schemas.microsoft.com/office/drawing/2014/main" id="{8B0FE49E-14CE-49A5-9FEA-0EBA05F0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3" name="Picture 139" descr="LOGO DGI">
          <a:extLst>
            <a:ext uri="{FF2B5EF4-FFF2-40B4-BE49-F238E27FC236}">
              <a16:creationId xmlns:a16="http://schemas.microsoft.com/office/drawing/2014/main" id="{60FFAC41-EF29-4786-AF02-26263D131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4" name="Picture 140" descr="LOGO DGI">
          <a:extLst>
            <a:ext uri="{FF2B5EF4-FFF2-40B4-BE49-F238E27FC236}">
              <a16:creationId xmlns:a16="http://schemas.microsoft.com/office/drawing/2014/main" id="{E1B0DEF9-B409-4B72-8F5A-043A1769C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5" name="Picture 141" descr="LOGO DGI">
          <a:extLst>
            <a:ext uri="{FF2B5EF4-FFF2-40B4-BE49-F238E27FC236}">
              <a16:creationId xmlns:a16="http://schemas.microsoft.com/office/drawing/2014/main" id="{880A9279-2E72-441B-B54B-B27D1C90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</xdr:row>
      <xdr:rowOff>0</xdr:rowOff>
    </xdr:from>
    <xdr:to>
      <xdr:col>3</xdr:col>
      <xdr:colOff>114300</xdr:colOff>
      <xdr:row>19</xdr:row>
      <xdr:rowOff>0</xdr:rowOff>
    </xdr:to>
    <xdr:pic>
      <xdr:nvPicPr>
        <xdr:cNvPr id="1581646" name="Picture 142" descr="LOGO DGI">
          <a:extLst>
            <a:ext uri="{FF2B5EF4-FFF2-40B4-BE49-F238E27FC236}">
              <a16:creationId xmlns:a16="http://schemas.microsoft.com/office/drawing/2014/main" id="{1D92F18E-1005-412C-B00B-76ECD2C2B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0</xdr:rowOff>
    </xdr:from>
    <xdr:to>
      <xdr:col>0</xdr:col>
      <xdr:colOff>533400</xdr:colOff>
      <xdr:row>19</xdr:row>
      <xdr:rowOff>0</xdr:rowOff>
    </xdr:to>
    <xdr:pic>
      <xdr:nvPicPr>
        <xdr:cNvPr id="1581647" name="Picture 143" descr="LOGO DGI">
          <a:extLst>
            <a:ext uri="{FF2B5EF4-FFF2-40B4-BE49-F238E27FC236}">
              <a16:creationId xmlns:a16="http://schemas.microsoft.com/office/drawing/2014/main" id="{5750B35D-2257-40CF-A495-085A6637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67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17</xdr:row>
      <xdr:rowOff>66675</xdr:rowOff>
    </xdr:from>
    <xdr:to>
      <xdr:col>3</xdr:col>
      <xdr:colOff>114300</xdr:colOff>
      <xdr:row>20</xdr:row>
      <xdr:rowOff>66675</xdr:rowOff>
    </xdr:to>
    <xdr:pic>
      <xdr:nvPicPr>
        <xdr:cNvPr id="1581648" name="Picture 144" descr="LOGO DGI">
          <a:extLst>
            <a:ext uri="{FF2B5EF4-FFF2-40B4-BE49-F238E27FC236}">
              <a16:creationId xmlns:a16="http://schemas.microsoft.com/office/drawing/2014/main" id="{9F157424-912D-4E3E-8D57-D2AC14CA7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905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34</xdr:row>
      <xdr:rowOff>66675</xdr:rowOff>
    </xdr:from>
    <xdr:to>
      <xdr:col>3</xdr:col>
      <xdr:colOff>114300</xdr:colOff>
      <xdr:row>37</xdr:row>
      <xdr:rowOff>66675</xdr:rowOff>
    </xdr:to>
    <xdr:pic>
      <xdr:nvPicPr>
        <xdr:cNvPr id="1581649" name="Picture 145" descr="LOGO DGI">
          <a:extLst>
            <a:ext uri="{FF2B5EF4-FFF2-40B4-BE49-F238E27FC236}">
              <a16:creationId xmlns:a16="http://schemas.microsoft.com/office/drawing/2014/main" id="{A77F67F0-825F-4BA1-83C9-AB4CFBC5B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743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51</xdr:row>
      <xdr:rowOff>66675</xdr:rowOff>
    </xdr:from>
    <xdr:to>
      <xdr:col>3</xdr:col>
      <xdr:colOff>114300</xdr:colOff>
      <xdr:row>54</xdr:row>
      <xdr:rowOff>66675</xdr:rowOff>
    </xdr:to>
    <xdr:pic>
      <xdr:nvPicPr>
        <xdr:cNvPr id="1581650" name="Picture 146" descr="LOGO DGI">
          <a:extLst>
            <a:ext uri="{FF2B5EF4-FFF2-40B4-BE49-F238E27FC236}">
              <a16:creationId xmlns:a16="http://schemas.microsoft.com/office/drawing/2014/main" id="{2BD0910C-5DDF-4034-B9C3-F2691E2D4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85820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68</xdr:row>
      <xdr:rowOff>66675</xdr:rowOff>
    </xdr:from>
    <xdr:to>
      <xdr:col>3</xdr:col>
      <xdr:colOff>114300</xdr:colOff>
      <xdr:row>71</xdr:row>
      <xdr:rowOff>66675</xdr:rowOff>
    </xdr:to>
    <xdr:pic>
      <xdr:nvPicPr>
        <xdr:cNvPr id="1581651" name="Picture 147" descr="LOGO DGI">
          <a:extLst>
            <a:ext uri="{FF2B5EF4-FFF2-40B4-BE49-F238E27FC236}">
              <a16:creationId xmlns:a16="http://schemas.microsoft.com/office/drawing/2014/main" id="{E358D826-F8AD-421F-8C5C-6AC309FBB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14204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85</xdr:row>
      <xdr:rowOff>66675</xdr:rowOff>
    </xdr:from>
    <xdr:to>
      <xdr:col>3</xdr:col>
      <xdr:colOff>114300</xdr:colOff>
      <xdr:row>88</xdr:row>
      <xdr:rowOff>66675</xdr:rowOff>
    </xdr:to>
    <xdr:pic>
      <xdr:nvPicPr>
        <xdr:cNvPr id="1581652" name="Picture 148" descr="LOGO DGI">
          <a:extLst>
            <a:ext uri="{FF2B5EF4-FFF2-40B4-BE49-F238E27FC236}">
              <a16:creationId xmlns:a16="http://schemas.microsoft.com/office/drawing/2014/main" id="{803D9930-8F23-4355-97BD-0A3E3253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4258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102</xdr:row>
      <xdr:rowOff>66675</xdr:rowOff>
    </xdr:from>
    <xdr:to>
      <xdr:col>3</xdr:col>
      <xdr:colOff>114300</xdr:colOff>
      <xdr:row>105</xdr:row>
      <xdr:rowOff>66675</xdr:rowOff>
    </xdr:to>
    <xdr:pic>
      <xdr:nvPicPr>
        <xdr:cNvPr id="1581653" name="Picture 149" descr="LOGO DGI">
          <a:extLst>
            <a:ext uri="{FF2B5EF4-FFF2-40B4-BE49-F238E27FC236}">
              <a16:creationId xmlns:a16="http://schemas.microsoft.com/office/drawing/2014/main" id="{7CC6E05D-9AFC-4185-B913-6E7ACC7E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70973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119</xdr:row>
      <xdr:rowOff>66675</xdr:rowOff>
    </xdr:from>
    <xdr:to>
      <xdr:col>3</xdr:col>
      <xdr:colOff>114300</xdr:colOff>
      <xdr:row>122</xdr:row>
      <xdr:rowOff>66675</xdr:rowOff>
    </xdr:to>
    <xdr:pic>
      <xdr:nvPicPr>
        <xdr:cNvPr id="1581654" name="Picture 150" descr="LOGO DGI">
          <a:extLst>
            <a:ext uri="{FF2B5EF4-FFF2-40B4-BE49-F238E27FC236}">
              <a16:creationId xmlns:a16="http://schemas.microsoft.com/office/drawing/2014/main" id="{11BC9A56-22FA-4678-AECA-F732700B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99358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136</xdr:row>
      <xdr:rowOff>66675</xdr:rowOff>
    </xdr:from>
    <xdr:to>
      <xdr:col>3</xdr:col>
      <xdr:colOff>114300</xdr:colOff>
      <xdr:row>139</xdr:row>
      <xdr:rowOff>66675</xdr:rowOff>
    </xdr:to>
    <xdr:pic>
      <xdr:nvPicPr>
        <xdr:cNvPr id="1581655" name="Picture 151" descr="LOGO DGI">
          <a:extLst>
            <a:ext uri="{FF2B5EF4-FFF2-40B4-BE49-F238E27FC236}">
              <a16:creationId xmlns:a16="http://schemas.microsoft.com/office/drawing/2014/main" id="{BBC752EC-D85B-4CF5-8092-33DDC8C7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2774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153</xdr:row>
      <xdr:rowOff>66675</xdr:rowOff>
    </xdr:from>
    <xdr:to>
      <xdr:col>3</xdr:col>
      <xdr:colOff>114300</xdr:colOff>
      <xdr:row>156</xdr:row>
      <xdr:rowOff>66675</xdr:rowOff>
    </xdr:to>
    <xdr:pic>
      <xdr:nvPicPr>
        <xdr:cNvPr id="1581656" name="Picture 152" descr="LOGO DGI">
          <a:extLst>
            <a:ext uri="{FF2B5EF4-FFF2-40B4-BE49-F238E27FC236}">
              <a16:creationId xmlns:a16="http://schemas.microsoft.com/office/drawing/2014/main" id="{05C5D7EB-F99A-4C6D-8DC7-6F34013E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56127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170</xdr:row>
      <xdr:rowOff>66675</xdr:rowOff>
    </xdr:from>
    <xdr:to>
      <xdr:col>3</xdr:col>
      <xdr:colOff>114300</xdr:colOff>
      <xdr:row>173</xdr:row>
      <xdr:rowOff>66675</xdr:rowOff>
    </xdr:to>
    <xdr:pic>
      <xdr:nvPicPr>
        <xdr:cNvPr id="1581657" name="Picture 153" descr="LOGO DGI">
          <a:extLst>
            <a:ext uri="{FF2B5EF4-FFF2-40B4-BE49-F238E27FC236}">
              <a16:creationId xmlns:a16="http://schemas.microsoft.com/office/drawing/2014/main" id="{5B7B5629-FFCF-46C1-83DA-19CAAAD1B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84511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187</xdr:row>
      <xdr:rowOff>66675</xdr:rowOff>
    </xdr:from>
    <xdr:to>
      <xdr:col>3</xdr:col>
      <xdr:colOff>114300</xdr:colOff>
      <xdr:row>190</xdr:row>
      <xdr:rowOff>66675</xdr:rowOff>
    </xdr:to>
    <xdr:pic>
      <xdr:nvPicPr>
        <xdr:cNvPr id="1581658" name="Picture 154" descr="LOGO DGI">
          <a:extLst>
            <a:ext uri="{FF2B5EF4-FFF2-40B4-BE49-F238E27FC236}">
              <a16:creationId xmlns:a16="http://schemas.microsoft.com/office/drawing/2014/main" id="{7CB61255-5FFF-4434-B83A-89FAF63A8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12896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204</xdr:row>
      <xdr:rowOff>66675</xdr:rowOff>
    </xdr:from>
    <xdr:to>
      <xdr:col>3</xdr:col>
      <xdr:colOff>114300</xdr:colOff>
      <xdr:row>207</xdr:row>
      <xdr:rowOff>66675</xdr:rowOff>
    </xdr:to>
    <xdr:pic>
      <xdr:nvPicPr>
        <xdr:cNvPr id="1581659" name="Picture 155" descr="LOGO DGI">
          <a:extLst>
            <a:ext uri="{FF2B5EF4-FFF2-40B4-BE49-F238E27FC236}">
              <a16:creationId xmlns:a16="http://schemas.microsoft.com/office/drawing/2014/main" id="{2EF5634C-19C7-4565-8BF9-2C8E3F50C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41280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221</xdr:row>
      <xdr:rowOff>66675</xdr:rowOff>
    </xdr:from>
    <xdr:to>
      <xdr:col>3</xdr:col>
      <xdr:colOff>114300</xdr:colOff>
      <xdr:row>224</xdr:row>
      <xdr:rowOff>66675</xdr:rowOff>
    </xdr:to>
    <xdr:pic>
      <xdr:nvPicPr>
        <xdr:cNvPr id="1581660" name="Picture 156" descr="LOGO DGI">
          <a:extLst>
            <a:ext uri="{FF2B5EF4-FFF2-40B4-BE49-F238E27FC236}">
              <a16:creationId xmlns:a16="http://schemas.microsoft.com/office/drawing/2014/main" id="{2952AF2D-250F-46A1-9DBA-FF5EC0BE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69665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238</xdr:row>
      <xdr:rowOff>66675</xdr:rowOff>
    </xdr:from>
    <xdr:to>
      <xdr:col>3</xdr:col>
      <xdr:colOff>114300</xdr:colOff>
      <xdr:row>241</xdr:row>
      <xdr:rowOff>66675</xdr:rowOff>
    </xdr:to>
    <xdr:pic>
      <xdr:nvPicPr>
        <xdr:cNvPr id="1581661" name="Picture 157" descr="LOGO DGI">
          <a:extLst>
            <a:ext uri="{FF2B5EF4-FFF2-40B4-BE49-F238E27FC236}">
              <a16:creationId xmlns:a16="http://schemas.microsoft.com/office/drawing/2014/main" id="{C595BC34-C8C2-40A8-A82F-2740BCBB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9804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255</xdr:row>
      <xdr:rowOff>66675</xdr:rowOff>
    </xdr:from>
    <xdr:to>
      <xdr:col>3</xdr:col>
      <xdr:colOff>114300</xdr:colOff>
      <xdr:row>258</xdr:row>
      <xdr:rowOff>66675</xdr:rowOff>
    </xdr:to>
    <xdr:pic>
      <xdr:nvPicPr>
        <xdr:cNvPr id="1581662" name="Picture 158" descr="LOGO DGI">
          <a:extLst>
            <a:ext uri="{FF2B5EF4-FFF2-40B4-BE49-F238E27FC236}">
              <a16:creationId xmlns:a16="http://schemas.microsoft.com/office/drawing/2014/main" id="{B84881FF-255B-4E92-B336-92B0636D1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26434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272</xdr:row>
      <xdr:rowOff>66675</xdr:rowOff>
    </xdr:from>
    <xdr:to>
      <xdr:col>3</xdr:col>
      <xdr:colOff>114300</xdr:colOff>
      <xdr:row>275</xdr:row>
      <xdr:rowOff>66675</xdr:rowOff>
    </xdr:to>
    <xdr:pic>
      <xdr:nvPicPr>
        <xdr:cNvPr id="1581663" name="Picture 159" descr="LOGO DGI">
          <a:extLst>
            <a:ext uri="{FF2B5EF4-FFF2-40B4-BE49-F238E27FC236}">
              <a16:creationId xmlns:a16="http://schemas.microsoft.com/office/drawing/2014/main" id="{D66A1FA4-D2E3-4640-9924-A4B93806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54818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289</xdr:row>
      <xdr:rowOff>66675</xdr:rowOff>
    </xdr:from>
    <xdr:to>
      <xdr:col>3</xdr:col>
      <xdr:colOff>114300</xdr:colOff>
      <xdr:row>292</xdr:row>
      <xdr:rowOff>66675</xdr:rowOff>
    </xdr:to>
    <xdr:pic>
      <xdr:nvPicPr>
        <xdr:cNvPr id="1581664" name="Picture 160" descr="LOGO DGI">
          <a:extLst>
            <a:ext uri="{FF2B5EF4-FFF2-40B4-BE49-F238E27FC236}">
              <a16:creationId xmlns:a16="http://schemas.microsoft.com/office/drawing/2014/main" id="{F29AAE40-54F4-4C8D-A6B9-5736BF9FD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83203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306</xdr:row>
      <xdr:rowOff>66675</xdr:rowOff>
    </xdr:from>
    <xdr:to>
      <xdr:col>3</xdr:col>
      <xdr:colOff>114300</xdr:colOff>
      <xdr:row>309</xdr:row>
      <xdr:rowOff>66675</xdr:rowOff>
    </xdr:to>
    <xdr:pic>
      <xdr:nvPicPr>
        <xdr:cNvPr id="1581665" name="Picture 161" descr="LOGO DGI">
          <a:extLst>
            <a:ext uri="{FF2B5EF4-FFF2-40B4-BE49-F238E27FC236}">
              <a16:creationId xmlns:a16="http://schemas.microsoft.com/office/drawing/2014/main" id="{56605E52-2314-48C2-AD83-78985FF0E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11587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323</xdr:row>
      <xdr:rowOff>66675</xdr:rowOff>
    </xdr:from>
    <xdr:to>
      <xdr:col>3</xdr:col>
      <xdr:colOff>114300</xdr:colOff>
      <xdr:row>326</xdr:row>
      <xdr:rowOff>66675</xdr:rowOff>
    </xdr:to>
    <xdr:pic>
      <xdr:nvPicPr>
        <xdr:cNvPr id="1581666" name="Picture 162" descr="LOGO DGI">
          <a:extLst>
            <a:ext uri="{FF2B5EF4-FFF2-40B4-BE49-F238E27FC236}">
              <a16:creationId xmlns:a16="http://schemas.microsoft.com/office/drawing/2014/main" id="{E47ECD33-76DB-4220-AF8B-3DABB7F6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39972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340</xdr:row>
      <xdr:rowOff>66675</xdr:rowOff>
    </xdr:from>
    <xdr:to>
      <xdr:col>3</xdr:col>
      <xdr:colOff>114300</xdr:colOff>
      <xdr:row>343</xdr:row>
      <xdr:rowOff>66675</xdr:rowOff>
    </xdr:to>
    <xdr:pic>
      <xdr:nvPicPr>
        <xdr:cNvPr id="1581667" name="Picture 163" descr="LOGO DGI">
          <a:extLst>
            <a:ext uri="{FF2B5EF4-FFF2-40B4-BE49-F238E27FC236}">
              <a16:creationId xmlns:a16="http://schemas.microsoft.com/office/drawing/2014/main" id="{CF5079F4-2B1F-41DE-AC12-99D292DF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68356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357</xdr:row>
      <xdr:rowOff>66675</xdr:rowOff>
    </xdr:from>
    <xdr:to>
      <xdr:col>3</xdr:col>
      <xdr:colOff>114300</xdr:colOff>
      <xdr:row>360</xdr:row>
      <xdr:rowOff>66675</xdr:rowOff>
    </xdr:to>
    <xdr:pic>
      <xdr:nvPicPr>
        <xdr:cNvPr id="1581668" name="Picture 164" descr="LOGO DGI">
          <a:extLst>
            <a:ext uri="{FF2B5EF4-FFF2-40B4-BE49-F238E27FC236}">
              <a16:creationId xmlns:a16="http://schemas.microsoft.com/office/drawing/2014/main" id="{EFE53A81-68E7-4311-9AA4-7CF02DD65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96741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374</xdr:row>
      <xdr:rowOff>66675</xdr:rowOff>
    </xdr:from>
    <xdr:to>
      <xdr:col>3</xdr:col>
      <xdr:colOff>114300</xdr:colOff>
      <xdr:row>377</xdr:row>
      <xdr:rowOff>66675</xdr:rowOff>
    </xdr:to>
    <xdr:pic>
      <xdr:nvPicPr>
        <xdr:cNvPr id="1581669" name="Picture 165" descr="LOGO DGI">
          <a:extLst>
            <a:ext uri="{FF2B5EF4-FFF2-40B4-BE49-F238E27FC236}">
              <a16:creationId xmlns:a16="http://schemas.microsoft.com/office/drawing/2014/main" id="{F4773EC0-DB96-47A4-9B25-802BB3AD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25125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391</xdr:row>
      <xdr:rowOff>66675</xdr:rowOff>
    </xdr:from>
    <xdr:to>
      <xdr:col>3</xdr:col>
      <xdr:colOff>114300</xdr:colOff>
      <xdr:row>394</xdr:row>
      <xdr:rowOff>66675</xdr:rowOff>
    </xdr:to>
    <xdr:pic>
      <xdr:nvPicPr>
        <xdr:cNvPr id="1581670" name="Picture 166" descr="LOGO DGI">
          <a:extLst>
            <a:ext uri="{FF2B5EF4-FFF2-40B4-BE49-F238E27FC236}">
              <a16:creationId xmlns:a16="http://schemas.microsoft.com/office/drawing/2014/main" id="{D4DCA04C-326F-4FF2-A575-A8317708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53510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408</xdr:row>
      <xdr:rowOff>66675</xdr:rowOff>
    </xdr:from>
    <xdr:to>
      <xdr:col>3</xdr:col>
      <xdr:colOff>114300</xdr:colOff>
      <xdr:row>411</xdr:row>
      <xdr:rowOff>66675</xdr:rowOff>
    </xdr:to>
    <xdr:pic>
      <xdr:nvPicPr>
        <xdr:cNvPr id="1581671" name="Picture 167" descr="LOGO DGI">
          <a:extLst>
            <a:ext uri="{FF2B5EF4-FFF2-40B4-BE49-F238E27FC236}">
              <a16:creationId xmlns:a16="http://schemas.microsoft.com/office/drawing/2014/main" id="{22F08A1A-E419-4A20-A323-26A979C10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81894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425</xdr:row>
      <xdr:rowOff>66675</xdr:rowOff>
    </xdr:from>
    <xdr:to>
      <xdr:col>3</xdr:col>
      <xdr:colOff>114300</xdr:colOff>
      <xdr:row>428</xdr:row>
      <xdr:rowOff>66675</xdr:rowOff>
    </xdr:to>
    <xdr:pic>
      <xdr:nvPicPr>
        <xdr:cNvPr id="1581672" name="Picture 168" descr="LOGO DGI">
          <a:extLst>
            <a:ext uri="{FF2B5EF4-FFF2-40B4-BE49-F238E27FC236}">
              <a16:creationId xmlns:a16="http://schemas.microsoft.com/office/drawing/2014/main" id="{11E31152-90C2-4741-82DA-4753949C4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10279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442</xdr:row>
      <xdr:rowOff>66675</xdr:rowOff>
    </xdr:from>
    <xdr:to>
      <xdr:col>3</xdr:col>
      <xdr:colOff>114300</xdr:colOff>
      <xdr:row>445</xdr:row>
      <xdr:rowOff>66675</xdr:rowOff>
    </xdr:to>
    <xdr:pic>
      <xdr:nvPicPr>
        <xdr:cNvPr id="1581673" name="Picture 169" descr="LOGO DGI">
          <a:extLst>
            <a:ext uri="{FF2B5EF4-FFF2-40B4-BE49-F238E27FC236}">
              <a16:creationId xmlns:a16="http://schemas.microsoft.com/office/drawing/2014/main" id="{98A1C61C-0F9E-45F8-9DB4-94FEF99BA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38663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459</xdr:row>
      <xdr:rowOff>66675</xdr:rowOff>
    </xdr:from>
    <xdr:to>
      <xdr:col>3</xdr:col>
      <xdr:colOff>114300</xdr:colOff>
      <xdr:row>462</xdr:row>
      <xdr:rowOff>66675</xdr:rowOff>
    </xdr:to>
    <xdr:pic>
      <xdr:nvPicPr>
        <xdr:cNvPr id="1581674" name="Picture 170" descr="LOGO DGI">
          <a:extLst>
            <a:ext uri="{FF2B5EF4-FFF2-40B4-BE49-F238E27FC236}">
              <a16:creationId xmlns:a16="http://schemas.microsoft.com/office/drawing/2014/main" id="{91054485-1CAA-45BD-8C5A-2763025ED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67048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476</xdr:row>
      <xdr:rowOff>66675</xdr:rowOff>
    </xdr:from>
    <xdr:to>
      <xdr:col>3</xdr:col>
      <xdr:colOff>114300</xdr:colOff>
      <xdr:row>479</xdr:row>
      <xdr:rowOff>66675</xdr:rowOff>
    </xdr:to>
    <xdr:pic>
      <xdr:nvPicPr>
        <xdr:cNvPr id="1581675" name="Picture 171" descr="LOGO DGI">
          <a:extLst>
            <a:ext uri="{FF2B5EF4-FFF2-40B4-BE49-F238E27FC236}">
              <a16:creationId xmlns:a16="http://schemas.microsoft.com/office/drawing/2014/main" id="{FC2DECCC-DA27-4397-8C98-057EF9191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95432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493</xdr:row>
      <xdr:rowOff>66675</xdr:rowOff>
    </xdr:from>
    <xdr:to>
      <xdr:col>3</xdr:col>
      <xdr:colOff>114300</xdr:colOff>
      <xdr:row>496</xdr:row>
      <xdr:rowOff>66675</xdr:rowOff>
    </xdr:to>
    <xdr:pic>
      <xdr:nvPicPr>
        <xdr:cNvPr id="1581676" name="Picture 172" descr="LOGO DGI">
          <a:extLst>
            <a:ext uri="{FF2B5EF4-FFF2-40B4-BE49-F238E27FC236}">
              <a16:creationId xmlns:a16="http://schemas.microsoft.com/office/drawing/2014/main" id="{49166CDC-14CE-4973-BD16-42B6EFA2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8238172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510</xdr:row>
      <xdr:rowOff>66675</xdr:rowOff>
    </xdr:from>
    <xdr:to>
      <xdr:col>3</xdr:col>
      <xdr:colOff>114300</xdr:colOff>
      <xdr:row>513</xdr:row>
      <xdr:rowOff>66675</xdr:rowOff>
    </xdr:to>
    <xdr:pic>
      <xdr:nvPicPr>
        <xdr:cNvPr id="1581677" name="Picture 173" descr="LOGO DGI">
          <a:extLst>
            <a:ext uri="{FF2B5EF4-FFF2-40B4-BE49-F238E27FC236}">
              <a16:creationId xmlns:a16="http://schemas.microsoft.com/office/drawing/2014/main" id="{8C6DD8CA-43F1-42FE-95D0-0BF0D0943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852201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28575</xdr:rowOff>
    </xdr:from>
    <xdr:to>
      <xdr:col>10</xdr:col>
      <xdr:colOff>209550</xdr:colOff>
      <xdr:row>5</xdr:row>
      <xdr:rowOff>76200</xdr:rowOff>
    </xdr:to>
    <xdr:sp macro="" textlink="">
      <xdr:nvSpPr>
        <xdr:cNvPr id="49154" name="CommandButton1" hidden="1">
          <a:extLst>
            <a:ext uri="{63B3BB69-23CF-44E3-9099-C40C66FF867C}">
              <a14:compatExt xmlns:a14="http://schemas.microsoft.com/office/drawing/2010/main" spid="_x0000_s49154"/>
            </a:ext>
            <a:ext uri="{FF2B5EF4-FFF2-40B4-BE49-F238E27FC236}">
              <a16:creationId xmlns:a16="http://schemas.microsoft.com/office/drawing/2014/main" id="{8322435D-286B-4151-BE23-DC775806505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85725</xdr:colOff>
      <xdr:row>6</xdr:row>
      <xdr:rowOff>95250</xdr:rowOff>
    </xdr:from>
    <xdr:to>
      <xdr:col>10</xdr:col>
      <xdr:colOff>723900</xdr:colOff>
      <xdr:row>9</xdr:row>
      <xdr:rowOff>0</xdr:rowOff>
    </xdr:to>
    <xdr:sp macro="" textlink="">
      <xdr:nvSpPr>
        <xdr:cNvPr id="49155" name="CommandButton2" hidden="1">
          <a:extLst>
            <a:ext uri="{63B3BB69-23CF-44E3-9099-C40C66FF867C}">
              <a14:compatExt xmlns:a14="http://schemas.microsoft.com/office/drawing/2010/main" spid="_x0000_s49155"/>
            </a:ext>
            <a:ext uri="{FF2B5EF4-FFF2-40B4-BE49-F238E27FC236}">
              <a16:creationId xmlns:a16="http://schemas.microsoft.com/office/drawing/2014/main" id="{38B9B033-4B7C-4A20-8931-7BDE1E7855D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971550</xdr:colOff>
      <xdr:row>3</xdr:row>
      <xdr:rowOff>0</xdr:rowOff>
    </xdr:from>
    <xdr:to>
      <xdr:col>11</xdr:col>
      <xdr:colOff>952500</xdr:colOff>
      <xdr:row>6</xdr:row>
      <xdr:rowOff>114300</xdr:rowOff>
    </xdr:to>
    <xdr:sp macro="" textlink="">
      <xdr:nvSpPr>
        <xdr:cNvPr id="50177" name="CommandButton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D4421564-FC6B-4B72-B8EA-3173D885E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981075</xdr:colOff>
      <xdr:row>7</xdr:row>
      <xdr:rowOff>9525</xdr:rowOff>
    </xdr:from>
    <xdr:to>
      <xdr:col>11</xdr:col>
      <xdr:colOff>952500</xdr:colOff>
      <xdr:row>10</xdr:row>
      <xdr:rowOff>104775</xdr:rowOff>
    </xdr:to>
    <xdr:sp macro="" textlink="">
      <xdr:nvSpPr>
        <xdr:cNvPr id="50178" name="CommandButton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1CED28F6-36EE-4594-A8B9-80CD051BE7F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57150</xdr:colOff>
      <xdr:row>2</xdr:row>
      <xdr:rowOff>152400</xdr:rowOff>
    </xdr:from>
    <xdr:to>
      <xdr:col>12</xdr:col>
      <xdr:colOff>1104900</xdr:colOff>
      <xdr:row>6</xdr:row>
      <xdr:rowOff>95250</xdr:rowOff>
    </xdr:to>
    <xdr:sp macro="" textlink="">
      <xdr:nvSpPr>
        <xdr:cNvPr id="50179" name="CommandButton3" hidden="1">
          <a:extLst>
            <a:ext uri="{63B3BB69-23CF-44E3-9099-C40C66FF867C}">
              <a14:compatExt xmlns:a14="http://schemas.microsoft.com/office/drawing/2010/main" spid="_x0000_s50179"/>
            </a:ext>
            <a:ext uri="{FF2B5EF4-FFF2-40B4-BE49-F238E27FC236}">
              <a16:creationId xmlns:a16="http://schemas.microsoft.com/office/drawing/2014/main" id="{D22BA83D-4006-43B5-903B-37A28D83282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28575</xdr:colOff>
      <xdr:row>7</xdr:row>
      <xdr:rowOff>0</xdr:rowOff>
    </xdr:from>
    <xdr:to>
      <xdr:col>12</xdr:col>
      <xdr:colOff>1095375</xdr:colOff>
      <xdr:row>10</xdr:row>
      <xdr:rowOff>76200</xdr:rowOff>
    </xdr:to>
    <xdr:sp macro="" textlink="">
      <xdr:nvSpPr>
        <xdr:cNvPr id="50180" name="CommandButton4" hidden="1">
          <a:extLst>
            <a:ext uri="{63B3BB69-23CF-44E3-9099-C40C66FF867C}">
              <a14:compatExt xmlns:a14="http://schemas.microsoft.com/office/drawing/2010/main" spid="_x0000_s50180"/>
            </a:ext>
            <a:ext uri="{FF2B5EF4-FFF2-40B4-BE49-F238E27FC236}">
              <a16:creationId xmlns:a16="http://schemas.microsoft.com/office/drawing/2014/main" id="{97B6B983-C42A-4DB5-934A-72778BBE17D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457357" name="Picture 1" descr="LOGO DGI">
          <a:extLst>
            <a:ext uri="{FF2B5EF4-FFF2-40B4-BE49-F238E27FC236}">
              <a16:creationId xmlns:a16="http://schemas.microsoft.com/office/drawing/2014/main" id="{93F5D95D-4273-453E-A97F-42BEB80E4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114300</xdr:rowOff>
    </xdr:from>
    <xdr:to>
      <xdr:col>0</xdr:col>
      <xdr:colOff>561975</xdr:colOff>
      <xdr:row>20</xdr:row>
      <xdr:rowOff>114300</xdr:rowOff>
    </xdr:to>
    <xdr:pic>
      <xdr:nvPicPr>
        <xdr:cNvPr id="1457358" name="Picture 14" descr="LOGO DGI">
          <a:extLst>
            <a:ext uri="{FF2B5EF4-FFF2-40B4-BE49-F238E27FC236}">
              <a16:creationId xmlns:a16="http://schemas.microsoft.com/office/drawing/2014/main" id="{ECE2D7D9-39E2-4C61-9751-EFCD6437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527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114300</xdr:rowOff>
    </xdr:from>
    <xdr:to>
      <xdr:col>0</xdr:col>
      <xdr:colOff>561975</xdr:colOff>
      <xdr:row>37</xdr:row>
      <xdr:rowOff>114300</xdr:rowOff>
    </xdr:to>
    <xdr:pic>
      <xdr:nvPicPr>
        <xdr:cNvPr id="1457359" name="Picture 15" descr="LOGO DGI">
          <a:extLst>
            <a:ext uri="{FF2B5EF4-FFF2-40B4-BE49-F238E27FC236}">
              <a16:creationId xmlns:a16="http://schemas.microsoft.com/office/drawing/2014/main" id="{2176544C-C76B-4C52-B230-7614F6FDC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912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114300</xdr:rowOff>
    </xdr:from>
    <xdr:to>
      <xdr:col>0</xdr:col>
      <xdr:colOff>561975</xdr:colOff>
      <xdr:row>54</xdr:row>
      <xdr:rowOff>114300</xdr:rowOff>
    </xdr:to>
    <xdr:pic>
      <xdr:nvPicPr>
        <xdr:cNvPr id="1457360" name="Picture 16" descr="LOGO DGI">
          <a:extLst>
            <a:ext uri="{FF2B5EF4-FFF2-40B4-BE49-F238E27FC236}">
              <a16:creationId xmlns:a16="http://schemas.microsoft.com/office/drawing/2014/main" id="{A525B587-CDDC-460F-BBF6-FF4FA10CD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296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114300</xdr:rowOff>
    </xdr:from>
    <xdr:to>
      <xdr:col>0</xdr:col>
      <xdr:colOff>561975</xdr:colOff>
      <xdr:row>71</xdr:row>
      <xdr:rowOff>114300</xdr:rowOff>
    </xdr:to>
    <xdr:pic>
      <xdr:nvPicPr>
        <xdr:cNvPr id="1457361" name="Picture 17" descr="LOGO DGI">
          <a:extLst>
            <a:ext uri="{FF2B5EF4-FFF2-40B4-BE49-F238E27FC236}">
              <a16:creationId xmlns:a16="http://schemas.microsoft.com/office/drawing/2014/main" id="{0B5A4C61-221B-4FC7-8479-7B794819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681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28575</xdr:rowOff>
    </xdr:from>
    <xdr:to>
      <xdr:col>10</xdr:col>
      <xdr:colOff>209550</xdr:colOff>
      <xdr:row>5</xdr:row>
      <xdr:rowOff>76200</xdr:rowOff>
    </xdr:to>
    <xdr:sp macro="" textlink="">
      <xdr:nvSpPr>
        <xdr:cNvPr id="51202" name="CommandButton1" hidden="1">
          <a:extLst>
            <a:ext uri="{63B3BB69-23CF-44E3-9099-C40C66FF867C}">
              <a14:compatExt xmlns:a14="http://schemas.microsoft.com/office/drawing/2010/main" spid="_x0000_s51202"/>
            </a:ext>
            <a:ext uri="{FF2B5EF4-FFF2-40B4-BE49-F238E27FC236}">
              <a16:creationId xmlns:a16="http://schemas.microsoft.com/office/drawing/2014/main" id="{FEE70AF2-07A5-4803-9244-DF3BC9761F8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85725</xdr:colOff>
      <xdr:row>6</xdr:row>
      <xdr:rowOff>95250</xdr:rowOff>
    </xdr:from>
    <xdr:to>
      <xdr:col>10</xdr:col>
      <xdr:colOff>723900</xdr:colOff>
      <xdr:row>9</xdr:row>
      <xdr:rowOff>0</xdr:rowOff>
    </xdr:to>
    <xdr:sp macro="" textlink="">
      <xdr:nvSpPr>
        <xdr:cNvPr id="51203" name="CommandButton2" hidden="1">
          <a:extLst>
            <a:ext uri="{63B3BB69-23CF-44E3-9099-C40C66FF867C}">
              <a14:compatExt xmlns:a14="http://schemas.microsoft.com/office/drawing/2010/main" spid="_x0000_s51203"/>
            </a:ext>
            <a:ext uri="{FF2B5EF4-FFF2-40B4-BE49-F238E27FC236}">
              <a16:creationId xmlns:a16="http://schemas.microsoft.com/office/drawing/2014/main" id="{9A127951-4E93-400B-A20D-7CCE0F3CE2B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66675</xdr:rowOff>
    </xdr:from>
    <xdr:to>
      <xdr:col>0</xdr:col>
      <xdr:colOff>752475</xdr:colOff>
      <xdr:row>5</xdr:row>
      <xdr:rowOff>28575</xdr:rowOff>
    </xdr:to>
    <xdr:pic>
      <xdr:nvPicPr>
        <xdr:cNvPr id="4753" name="Picture 23" descr="LOGO DGI">
          <a:extLst>
            <a:ext uri="{FF2B5EF4-FFF2-40B4-BE49-F238E27FC236}">
              <a16:creationId xmlns:a16="http://schemas.microsoft.com/office/drawing/2014/main" id="{2626B072-605B-45FD-8B41-9FCA0E26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38125"/>
          <a:ext cx="5905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4</xdr:row>
      <xdr:rowOff>123825</xdr:rowOff>
    </xdr:from>
    <xdr:to>
      <xdr:col>1</xdr:col>
      <xdr:colOff>1114425</xdr:colOff>
      <xdr:row>5</xdr:row>
      <xdr:rowOff>161925</xdr:rowOff>
    </xdr:to>
    <xdr:sp macro="" textlink="">
      <xdr:nvSpPr>
        <xdr:cNvPr id="4097" name="CommandButton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761098-AD85-41A9-BF41-FBE95960229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200025</xdr:colOff>
      <xdr:row>6</xdr:row>
      <xdr:rowOff>38100</xdr:rowOff>
    </xdr:from>
    <xdr:to>
      <xdr:col>1</xdr:col>
      <xdr:colOff>1095375</xdr:colOff>
      <xdr:row>7</xdr:row>
      <xdr:rowOff>123825</xdr:rowOff>
    </xdr:to>
    <xdr:sp macro="" textlink="">
      <xdr:nvSpPr>
        <xdr:cNvPr id="4098" name="CommandButton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FA337B11-37F9-4890-807A-9EEC65CB47B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257175</xdr:colOff>
      <xdr:row>3</xdr:row>
      <xdr:rowOff>104775</xdr:rowOff>
    </xdr:from>
    <xdr:to>
      <xdr:col>1</xdr:col>
      <xdr:colOff>1152525</xdr:colOff>
      <xdr:row>4</xdr:row>
      <xdr:rowOff>142875</xdr:rowOff>
    </xdr:to>
    <xdr:sp macro="" textlink="">
      <xdr:nvSpPr>
        <xdr:cNvPr id="4099" name="CommandButton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1E1A1866-317D-4F2C-AEC5-3E7D664B860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9</xdr:row>
      <xdr:rowOff>47625</xdr:rowOff>
    </xdr:from>
    <xdr:to>
      <xdr:col>0</xdr:col>
      <xdr:colOff>771525</xdr:colOff>
      <xdr:row>9</xdr:row>
      <xdr:rowOff>295275</xdr:rowOff>
    </xdr:to>
    <xdr:sp macro="" textlink="">
      <xdr:nvSpPr>
        <xdr:cNvPr id="4101" name="CommandButton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1E7EFDB6-38DA-4CE3-A192-7F4CBC638B0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10</xdr:row>
      <xdr:rowOff>38100</xdr:rowOff>
    </xdr:from>
    <xdr:to>
      <xdr:col>0</xdr:col>
      <xdr:colOff>771525</xdr:colOff>
      <xdr:row>10</xdr:row>
      <xdr:rowOff>314325</xdr:rowOff>
    </xdr:to>
    <xdr:sp macro="" textlink="">
      <xdr:nvSpPr>
        <xdr:cNvPr id="4102" name="CommandButton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B9CF1E5F-09C3-484A-9D00-7509F4D0042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11</xdr:row>
      <xdr:rowOff>38100</xdr:rowOff>
    </xdr:from>
    <xdr:to>
      <xdr:col>0</xdr:col>
      <xdr:colOff>771525</xdr:colOff>
      <xdr:row>11</xdr:row>
      <xdr:rowOff>295275</xdr:rowOff>
    </xdr:to>
    <xdr:sp macro="" textlink="">
      <xdr:nvSpPr>
        <xdr:cNvPr id="4103" name="CommandButton9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:a16="http://schemas.microsoft.com/office/drawing/2014/main" id="{DC540043-F654-4382-9B14-922F1DE3F93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12</xdr:row>
      <xdr:rowOff>38100</xdr:rowOff>
    </xdr:from>
    <xdr:to>
      <xdr:col>0</xdr:col>
      <xdr:colOff>771525</xdr:colOff>
      <xdr:row>12</xdr:row>
      <xdr:rowOff>295275</xdr:rowOff>
    </xdr:to>
    <xdr:sp macro="" textlink="">
      <xdr:nvSpPr>
        <xdr:cNvPr id="4104" name="CommandButton7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:a16="http://schemas.microsoft.com/office/drawing/2014/main" id="{345802EE-8027-4D90-ACEC-1328206DF84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13</xdr:row>
      <xdr:rowOff>38100</xdr:rowOff>
    </xdr:from>
    <xdr:to>
      <xdr:col>0</xdr:col>
      <xdr:colOff>781050</xdr:colOff>
      <xdr:row>13</xdr:row>
      <xdr:rowOff>295275</xdr:rowOff>
    </xdr:to>
    <xdr:sp macro="" textlink="">
      <xdr:nvSpPr>
        <xdr:cNvPr id="4105" name="CommandButton8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613FC879-3400-4096-9ED4-0987D04A2D6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14</xdr:row>
      <xdr:rowOff>38100</xdr:rowOff>
    </xdr:from>
    <xdr:to>
      <xdr:col>0</xdr:col>
      <xdr:colOff>771525</xdr:colOff>
      <xdr:row>14</xdr:row>
      <xdr:rowOff>295275</xdr:rowOff>
    </xdr:to>
    <xdr:sp macro="" textlink="">
      <xdr:nvSpPr>
        <xdr:cNvPr id="4109" name="CommandButton13" hidden="1">
          <a:extLst>
            <a:ext uri="{63B3BB69-23CF-44E3-9099-C40C66FF867C}">
              <a14:compatExt xmlns:a14="http://schemas.microsoft.com/office/drawing/2010/main" spid="_x0000_s4109"/>
            </a:ext>
            <a:ext uri="{FF2B5EF4-FFF2-40B4-BE49-F238E27FC236}">
              <a16:creationId xmlns:a16="http://schemas.microsoft.com/office/drawing/2014/main" id="{0382558D-3354-476D-8B4D-014C35DFA49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</xdr:row>
      <xdr:rowOff>47625</xdr:rowOff>
    </xdr:from>
    <xdr:to>
      <xdr:col>0</xdr:col>
      <xdr:colOff>781050</xdr:colOff>
      <xdr:row>15</xdr:row>
      <xdr:rowOff>304800</xdr:rowOff>
    </xdr:to>
    <xdr:sp macro="" textlink="">
      <xdr:nvSpPr>
        <xdr:cNvPr id="4110" name="CommandButton14" hidden="1">
          <a:extLst>
            <a:ext uri="{63B3BB69-23CF-44E3-9099-C40C66FF867C}">
              <a14:compatExt xmlns:a14="http://schemas.microsoft.com/office/drawing/2010/main" spid="_x0000_s4110"/>
            </a:ext>
            <a:ext uri="{FF2B5EF4-FFF2-40B4-BE49-F238E27FC236}">
              <a16:creationId xmlns:a16="http://schemas.microsoft.com/office/drawing/2014/main" id="{88BA0C49-66A1-4D9C-8C73-8ABA0A28FE3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</xdr:row>
      <xdr:rowOff>47625</xdr:rowOff>
    </xdr:from>
    <xdr:to>
      <xdr:col>0</xdr:col>
      <xdr:colOff>771525</xdr:colOff>
      <xdr:row>16</xdr:row>
      <xdr:rowOff>304800</xdr:rowOff>
    </xdr:to>
    <xdr:sp macro="" textlink="">
      <xdr:nvSpPr>
        <xdr:cNvPr id="4111" name="CommandButton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35C1A41D-054F-4D9B-A293-F11C35A23AA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17</xdr:row>
      <xdr:rowOff>38100</xdr:rowOff>
    </xdr:from>
    <xdr:to>
      <xdr:col>0</xdr:col>
      <xdr:colOff>771525</xdr:colOff>
      <xdr:row>17</xdr:row>
      <xdr:rowOff>295275</xdr:rowOff>
    </xdr:to>
    <xdr:sp macro="" textlink="">
      <xdr:nvSpPr>
        <xdr:cNvPr id="4112" name="CommandButton16" hidden="1">
          <a:extLst>
            <a:ext uri="{63B3BB69-23CF-44E3-9099-C40C66FF867C}">
              <a14:compatExt xmlns:a14="http://schemas.microsoft.com/office/drawing/2010/main" spid="_x0000_s4112"/>
            </a:ext>
            <a:ext uri="{FF2B5EF4-FFF2-40B4-BE49-F238E27FC236}">
              <a16:creationId xmlns:a16="http://schemas.microsoft.com/office/drawing/2014/main" id="{DF58F423-8DF3-45C5-902B-BE372FA66D7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</xdr:row>
      <xdr:rowOff>38100</xdr:rowOff>
    </xdr:from>
    <xdr:to>
      <xdr:col>0</xdr:col>
      <xdr:colOff>771525</xdr:colOff>
      <xdr:row>18</xdr:row>
      <xdr:rowOff>295275</xdr:rowOff>
    </xdr:to>
    <xdr:sp macro="" textlink="">
      <xdr:nvSpPr>
        <xdr:cNvPr id="4113" name="CommandButton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C4ADE643-C7CF-4A06-AE66-FAF6CD657BC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19</xdr:row>
      <xdr:rowOff>28575</xdr:rowOff>
    </xdr:from>
    <xdr:to>
      <xdr:col>0</xdr:col>
      <xdr:colOff>771525</xdr:colOff>
      <xdr:row>19</xdr:row>
      <xdr:rowOff>285750</xdr:rowOff>
    </xdr:to>
    <xdr:sp macro="" textlink="">
      <xdr:nvSpPr>
        <xdr:cNvPr id="4114" name="CommandButton18" hidden="1">
          <a:extLst>
            <a:ext uri="{63B3BB69-23CF-44E3-9099-C40C66FF867C}">
              <a14:compatExt xmlns:a14="http://schemas.microsoft.com/office/drawing/2010/main" spid="_x0000_s4114"/>
            </a:ext>
            <a:ext uri="{FF2B5EF4-FFF2-40B4-BE49-F238E27FC236}">
              <a16:creationId xmlns:a16="http://schemas.microsoft.com/office/drawing/2014/main" id="{9A08C131-B65F-48A0-A966-1296EEF9C84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20</xdr:row>
      <xdr:rowOff>38100</xdr:rowOff>
    </xdr:from>
    <xdr:to>
      <xdr:col>0</xdr:col>
      <xdr:colOff>771525</xdr:colOff>
      <xdr:row>20</xdr:row>
      <xdr:rowOff>295275</xdr:rowOff>
    </xdr:to>
    <xdr:sp macro="" textlink="">
      <xdr:nvSpPr>
        <xdr:cNvPr id="4115" name="CommandButton19" hidden="1">
          <a:extLst>
            <a:ext uri="{63B3BB69-23CF-44E3-9099-C40C66FF867C}">
              <a14:compatExt xmlns:a14="http://schemas.microsoft.com/office/drawing/2010/main" spid="_x0000_s4115"/>
            </a:ext>
            <a:ext uri="{FF2B5EF4-FFF2-40B4-BE49-F238E27FC236}">
              <a16:creationId xmlns:a16="http://schemas.microsoft.com/office/drawing/2014/main" id="{4D728C47-FFE4-4F6A-9E21-9629057D683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47625</xdr:rowOff>
    </xdr:from>
    <xdr:to>
      <xdr:col>0</xdr:col>
      <xdr:colOff>771525</xdr:colOff>
      <xdr:row>21</xdr:row>
      <xdr:rowOff>304800</xdr:rowOff>
    </xdr:to>
    <xdr:sp macro="" textlink="">
      <xdr:nvSpPr>
        <xdr:cNvPr id="4116" name="CommandButton20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F035CF39-037E-4DAC-BE3D-E452C08AA1C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38100</xdr:rowOff>
    </xdr:from>
    <xdr:to>
      <xdr:col>9</xdr:col>
      <xdr:colOff>0</xdr:colOff>
      <xdr:row>6</xdr:row>
      <xdr:rowOff>28575</xdr:rowOff>
    </xdr:to>
    <xdr:sp macro="" textlink="">
      <xdr:nvSpPr>
        <xdr:cNvPr id="4126" name="CommandButton4" hidden="1">
          <a:extLst>
            <a:ext uri="{63B3BB69-23CF-44E3-9099-C40C66FF867C}">
              <a14:compatExt xmlns:a14="http://schemas.microsoft.com/office/drawing/2010/main" spid="_x0000_s4126"/>
            </a:ext>
            <a:ext uri="{FF2B5EF4-FFF2-40B4-BE49-F238E27FC236}">
              <a16:creationId xmlns:a16="http://schemas.microsoft.com/office/drawing/2014/main" id="{CBAB157F-D953-4CC7-A050-343DD6DE954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400050</xdr:colOff>
      <xdr:row>3</xdr:row>
      <xdr:rowOff>47625</xdr:rowOff>
    </xdr:from>
    <xdr:to>
      <xdr:col>9</xdr:col>
      <xdr:colOff>381000</xdr:colOff>
      <xdr:row>6</xdr:row>
      <xdr:rowOff>19050</xdr:rowOff>
    </xdr:to>
    <xdr:sp macro="" textlink="">
      <xdr:nvSpPr>
        <xdr:cNvPr id="4128" name="CommandButton24" hidden="1">
          <a:extLst>
            <a:ext uri="{63B3BB69-23CF-44E3-9099-C40C66FF867C}">
              <a14:compatExt xmlns:a14="http://schemas.microsoft.com/office/drawing/2010/main" spid="_x0000_s4128"/>
            </a:ext>
            <a:ext uri="{FF2B5EF4-FFF2-40B4-BE49-F238E27FC236}">
              <a16:creationId xmlns:a16="http://schemas.microsoft.com/office/drawing/2014/main" id="{D502E948-605D-4408-9748-1990D39A67D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0</xdr:colOff>
      <xdr:row>22</xdr:row>
      <xdr:rowOff>47625</xdr:rowOff>
    </xdr:from>
    <xdr:to>
      <xdr:col>0</xdr:col>
      <xdr:colOff>771525</xdr:colOff>
      <xdr:row>23</xdr:row>
      <xdr:rowOff>9525</xdr:rowOff>
    </xdr:to>
    <xdr:sp macro="" textlink="">
      <xdr:nvSpPr>
        <xdr:cNvPr id="4129" name="CommandButton10" hidden="1">
          <a:extLst>
            <a:ext uri="{63B3BB69-23CF-44E3-9099-C40C66FF867C}">
              <a14:compatExt xmlns:a14="http://schemas.microsoft.com/office/drawing/2010/main" spid="_x0000_s4129"/>
            </a:ext>
            <a:ext uri="{FF2B5EF4-FFF2-40B4-BE49-F238E27FC236}">
              <a16:creationId xmlns:a16="http://schemas.microsoft.com/office/drawing/2014/main" id="{F52FC928-9801-4A51-9661-58AC4C91E00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</xdr:row>
      <xdr:rowOff>47625</xdr:rowOff>
    </xdr:from>
    <xdr:to>
      <xdr:col>0</xdr:col>
      <xdr:colOff>771525</xdr:colOff>
      <xdr:row>23</xdr:row>
      <xdr:rowOff>304800</xdr:rowOff>
    </xdr:to>
    <xdr:sp macro="" textlink="">
      <xdr:nvSpPr>
        <xdr:cNvPr id="4130" name="CommandButton11" hidden="1">
          <a:extLst>
            <a:ext uri="{63B3BB69-23CF-44E3-9099-C40C66FF867C}">
              <a14:compatExt xmlns:a14="http://schemas.microsoft.com/office/drawing/2010/main" spid="_x0000_s4130"/>
            </a:ext>
            <a:ext uri="{FF2B5EF4-FFF2-40B4-BE49-F238E27FC236}">
              <a16:creationId xmlns:a16="http://schemas.microsoft.com/office/drawing/2014/main" id="{5B55C17D-99FD-4959-B553-D90B25650E0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</xdr:row>
      <xdr:rowOff>47625</xdr:rowOff>
    </xdr:from>
    <xdr:to>
      <xdr:col>0</xdr:col>
      <xdr:colOff>771525</xdr:colOff>
      <xdr:row>24</xdr:row>
      <xdr:rowOff>304800</xdr:rowOff>
    </xdr:to>
    <xdr:sp macro="" textlink="">
      <xdr:nvSpPr>
        <xdr:cNvPr id="4131" name="CommandButton12" hidden="1">
          <a:extLst>
            <a:ext uri="{63B3BB69-23CF-44E3-9099-C40C66FF867C}">
              <a14:compatExt xmlns:a14="http://schemas.microsoft.com/office/drawing/2010/main" spid="_x0000_s4131"/>
            </a:ext>
            <a:ext uri="{FF2B5EF4-FFF2-40B4-BE49-F238E27FC236}">
              <a16:creationId xmlns:a16="http://schemas.microsoft.com/office/drawing/2014/main" id="{D0F4FBDB-4B79-437A-8585-1ED3448EADA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47625</xdr:rowOff>
    </xdr:from>
    <xdr:to>
      <xdr:col>0</xdr:col>
      <xdr:colOff>771525</xdr:colOff>
      <xdr:row>25</xdr:row>
      <xdr:rowOff>304800</xdr:rowOff>
    </xdr:to>
    <xdr:sp macro="" textlink="">
      <xdr:nvSpPr>
        <xdr:cNvPr id="4132" name="CommandButton21" hidden="1">
          <a:extLst>
            <a:ext uri="{63B3BB69-23CF-44E3-9099-C40C66FF867C}">
              <a14:compatExt xmlns:a14="http://schemas.microsoft.com/office/drawing/2010/main" spid="_x0000_s4132"/>
            </a:ext>
            <a:ext uri="{FF2B5EF4-FFF2-40B4-BE49-F238E27FC236}">
              <a16:creationId xmlns:a16="http://schemas.microsoft.com/office/drawing/2014/main" id="{9B51B892-74D0-4D12-822A-41EDEE54CCA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</xdr:row>
      <xdr:rowOff>47625</xdr:rowOff>
    </xdr:from>
    <xdr:to>
      <xdr:col>0</xdr:col>
      <xdr:colOff>771525</xdr:colOff>
      <xdr:row>27</xdr:row>
      <xdr:rowOff>0</xdr:rowOff>
    </xdr:to>
    <xdr:sp macro="" textlink="">
      <xdr:nvSpPr>
        <xdr:cNvPr id="4134" name="CommandButton22" hidden="1">
          <a:extLst>
            <a:ext uri="{63B3BB69-23CF-44E3-9099-C40C66FF867C}">
              <a14:compatExt xmlns:a14="http://schemas.microsoft.com/office/drawing/2010/main" spid="_x0000_s4134"/>
            </a:ext>
            <a:ext uri="{FF2B5EF4-FFF2-40B4-BE49-F238E27FC236}">
              <a16:creationId xmlns:a16="http://schemas.microsoft.com/office/drawing/2014/main" id="{CE3E9344-2142-49FE-88F9-A0BCF132E66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971550</xdr:colOff>
      <xdr:row>3</xdr:row>
      <xdr:rowOff>0</xdr:rowOff>
    </xdr:from>
    <xdr:to>
      <xdr:col>11</xdr:col>
      <xdr:colOff>952500</xdr:colOff>
      <xdr:row>6</xdr:row>
      <xdr:rowOff>114300</xdr:rowOff>
    </xdr:to>
    <xdr:sp macro="" textlink="">
      <xdr:nvSpPr>
        <xdr:cNvPr id="52225" name="CommandButton1" hidden="1">
          <a:extLst>
            <a:ext uri="{63B3BB69-23CF-44E3-9099-C40C66FF867C}">
              <a14:compatExt xmlns:a14="http://schemas.microsoft.com/office/drawing/2010/main" spid="_x0000_s52225"/>
            </a:ext>
            <a:ext uri="{FF2B5EF4-FFF2-40B4-BE49-F238E27FC236}">
              <a16:creationId xmlns:a16="http://schemas.microsoft.com/office/drawing/2014/main" id="{B350D939-2D17-47F2-AE92-4B06CCA0F50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981075</xdr:colOff>
      <xdr:row>7</xdr:row>
      <xdr:rowOff>9525</xdr:rowOff>
    </xdr:from>
    <xdr:to>
      <xdr:col>11</xdr:col>
      <xdr:colOff>952500</xdr:colOff>
      <xdr:row>10</xdr:row>
      <xdr:rowOff>104775</xdr:rowOff>
    </xdr:to>
    <xdr:sp macro="" textlink="">
      <xdr:nvSpPr>
        <xdr:cNvPr id="52226" name="CommandButton2" hidden="1">
          <a:extLst>
            <a:ext uri="{63B3BB69-23CF-44E3-9099-C40C66FF867C}">
              <a14:compatExt xmlns:a14="http://schemas.microsoft.com/office/drawing/2010/main" spid="_x0000_s52226"/>
            </a:ext>
            <a:ext uri="{FF2B5EF4-FFF2-40B4-BE49-F238E27FC236}">
              <a16:creationId xmlns:a16="http://schemas.microsoft.com/office/drawing/2014/main" id="{8631B2B6-6701-4EA3-B876-B32CC7B6F43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57150</xdr:colOff>
      <xdr:row>2</xdr:row>
      <xdr:rowOff>152400</xdr:rowOff>
    </xdr:from>
    <xdr:to>
      <xdr:col>12</xdr:col>
      <xdr:colOff>1104900</xdr:colOff>
      <xdr:row>6</xdr:row>
      <xdr:rowOff>95250</xdr:rowOff>
    </xdr:to>
    <xdr:sp macro="" textlink="">
      <xdr:nvSpPr>
        <xdr:cNvPr id="52227" name="CommandButton3" hidden="1">
          <a:extLst>
            <a:ext uri="{63B3BB69-23CF-44E3-9099-C40C66FF867C}">
              <a14:compatExt xmlns:a14="http://schemas.microsoft.com/office/drawing/2010/main" spid="_x0000_s52227"/>
            </a:ext>
            <a:ext uri="{FF2B5EF4-FFF2-40B4-BE49-F238E27FC236}">
              <a16:creationId xmlns:a16="http://schemas.microsoft.com/office/drawing/2014/main" id="{8164DDEE-76A9-4A71-9AFC-1632C48D52E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12</xdr:col>
      <xdr:colOff>28575</xdr:colOff>
      <xdr:row>7</xdr:row>
      <xdr:rowOff>0</xdr:rowOff>
    </xdr:from>
    <xdr:to>
      <xdr:col>12</xdr:col>
      <xdr:colOff>1095375</xdr:colOff>
      <xdr:row>10</xdr:row>
      <xdr:rowOff>76200</xdr:rowOff>
    </xdr:to>
    <xdr:sp macro="" textlink="">
      <xdr:nvSpPr>
        <xdr:cNvPr id="52228" name="CommandButton4" hidden="1">
          <a:extLst>
            <a:ext uri="{63B3BB69-23CF-44E3-9099-C40C66FF867C}">
              <a14:compatExt xmlns:a14="http://schemas.microsoft.com/office/drawing/2010/main" spid="_x0000_s52228"/>
            </a:ext>
            <a:ext uri="{FF2B5EF4-FFF2-40B4-BE49-F238E27FC236}">
              <a16:creationId xmlns:a16="http://schemas.microsoft.com/office/drawing/2014/main" id="{2C7AAC0F-F798-4F96-B74A-EC0B0AC7632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552450</xdr:colOff>
      <xdr:row>3</xdr:row>
      <xdr:rowOff>114300</xdr:rowOff>
    </xdr:to>
    <xdr:pic>
      <xdr:nvPicPr>
        <xdr:cNvPr id="1598534" name="Picture 1" descr="LOGO DGI">
          <a:extLst>
            <a:ext uri="{FF2B5EF4-FFF2-40B4-BE49-F238E27FC236}">
              <a16:creationId xmlns:a16="http://schemas.microsoft.com/office/drawing/2014/main" id="{404D1689-B13F-4B99-BD55-6E6B0062C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35" name="Picture 4" descr="LOGO DGI">
          <a:extLst>
            <a:ext uri="{FF2B5EF4-FFF2-40B4-BE49-F238E27FC236}">
              <a16:creationId xmlns:a16="http://schemas.microsoft.com/office/drawing/2014/main" id="{AFDA5E2A-73AE-4457-B0DA-721801B2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36" name="Picture 5" descr="LOGO DGI">
          <a:extLst>
            <a:ext uri="{FF2B5EF4-FFF2-40B4-BE49-F238E27FC236}">
              <a16:creationId xmlns:a16="http://schemas.microsoft.com/office/drawing/2014/main" id="{8AAB44EA-558D-4141-8E1E-1C6553031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37" name="Picture 6" descr="LOGO DGI">
          <a:extLst>
            <a:ext uri="{FF2B5EF4-FFF2-40B4-BE49-F238E27FC236}">
              <a16:creationId xmlns:a16="http://schemas.microsoft.com/office/drawing/2014/main" id="{3B1E2F7D-250C-4442-9D14-84EA8AEA5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38" name="Picture 7" descr="LOGO DGI">
          <a:extLst>
            <a:ext uri="{FF2B5EF4-FFF2-40B4-BE49-F238E27FC236}">
              <a16:creationId xmlns:a16="http://schemas.microsoft.com/office/drawing/2014/main" id="{8D47A3C7-3F57-425B-8AD0-75264038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39" name="Picture 8" descr="LOGO DGI">
          <a:extLst>
            <a:ext uri="{FF2B5EF4-FFF2-40B4-BE49-F238E27FC236}">
              <a16:creationId xmlns:a16="http://schemas.microsoft.com/office/drawing/2014/main" id="{FCB28473-6F76-437D-9FFD-219720846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0" name="Picture 9" descr="LOGO DGI">
          <a:extLst>
            <a:ext uri="{FF2B5EF4-FFF2-40B4-BE49-F238E27FC236}">
              <a16:creationId xmlns:a16="http://schemas.microsoft.com/office/drawing/2014/main" id="{FA5F3DC6-B42C-45E2-9375-B25B9EBF1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1" name="Picture 10" descr="LOGO DGI">
          <a:extLst>
            <a:ext uri="{FF2B5EF4-FFF2-40B4-BE49-F238E27FC236}">
              <a16:creationId xmlns:a16="http://schemas.microsoft.com/office/drawing/2014/main" id="{D6C6B954-0C5A-473D-A980-7DE610D14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2" name="Picture 11" descr="LOGO DGI">
          <a:extLst>
            <a:ext uri="{FF2B5EF4-FFF2-40B4-BE49-F238E27FC236}">
              <a16:creationId xmlns:a16="http://schemas.microsoft.com/office/drawing/2014/main" id="{2B222245-0F46-4EC5-830C-E239971B3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3" name="Picture 12" descr="LOGO DGI">
          <a:extLst>
            <a:ext uri="{FF2B5EF4-FFF2-40B4-BE49-F238E27FC236}">
              <a16:creationId xmlns:a16="http://schemas.microsoft.com/office/drawing/2014/main" id="{AF951015-E73A-41F8-B5BA-49C4E1784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4" name="Picture 13" descr="LOGO DGI">
          <a:extLst>
            <a:ext uri="{FF2B5EF4-FFF2-40B4-BE49-F238E27FC236}">
              <a16:creationId xmlns:a16="http://schemas.microsoft.com/office/drawing/2014/main" id="{312541DB-D5B2-4C87-AE36-761F605F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5" name="Picture 14" descr="LOGO DGI">
          <a:extLst>
            <a:ext uri="{FF2B5EF4-FFF2-40B4-BE49-F238E27FC236}">
              <a16:creationId xmlns:a16="http://schemas.microsoft.com/office/drawing/2014/main" id="{8DF79C63-58F7-4959-B268-9807706C4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6" name="Picture 15" descr="LOGO DGI">
          <a:extLst>
            <a:ext uri="{FF2B5EF4-FFF2-40B4-BE49-F238E27FC236}">
              <a16:creationId xmlns:a16="http://schemas.microsoft.com/office/drawing/2014/main" id="{7188B087-FB8E-4980-B968-B2A8AB1D4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7" name="Picture 16" descr="LOGO DGI">
          <a:extLst>
            <a:ext uri="{FF2B5EF4-FFF2-40B4-BE49-F238E27FC236}">
              <a16:creationId xmlns:a16="http://schemas.microsoft.com/office/drawing/2014/main" id="{49CC59EB-BC78-4AB5-B9B7-4F3D83E6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8" name="Picture 17" descr="LOGO DGI">
          <a:extLst>
            <a:ext uri="{FF2B5EF4-FFF2-40B4-BE49-F238E27FC236}">
              <a16:creationId xmlns:a16="http://schemas.microsoft.com/office/drawing/2014/main" id="{7799BEBE-3AB6-4642-B318-2892A6A96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49" name="Picture 18" descr="LOGO DGI">
          <a:extLst>
            <a:ext uri="{FF2B5EF4-FFF2-40B4-BE49-F238E27FC236}">
              <a16:creationId xmlns:a16="http://schemas.microsoft.com/office/drawing/2014/main" id="{D36A1B98-1065-441B-A68F-F9CE32DA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0" name="Picture 19" descr="LOGO DGI">
          <a:extLst>
            <a:ext uri="{FF2B5EF4-FFF2-40B4-BE49-F238E27FC236}">
              <a16:creationId xmlns:a16="http://schemas.microsoft.com/office/drawing/2014/main" id="{5EC9174E-19AD-47DC-8F6E-3AA403605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1" name="Picture 20" descr="LOGO DGI">
          <a:extLst>
            <a:ext uri="{FF2B5EF4-FFF2-40B4-BE49-F238E27FC236}">
              <a16:creationId xmlns:a16="http://schemas.microsoft.com/office/drawing/2014/main" id="{92EBEF52-65C0-4D86-9FE2-81E4B25D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2" name="Picture 21" descr="LOGO DGI">
          <a:extLst>
            <a:ext uri="{FF2B5EF4-FFF2-40B4-BE49-F238E27FC236}">
              <a16:creationId xmlns:a16="http://schemas.microsoft.com/office/drawing/2014/main" id="{D279118C-BF47-4AE6-982E-E8BD23B31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3" name="Picture 25" descr="LOGO DGI">
          <a:extLst>
            <a:ext uri="{FF2B5EF4-FFF2-40B4-BE49-F238E27FC236}">
              <a16:creationId xmlns:a16="http://schemas.microsoft.com/office/drawing/2014/main" id="{4BB16DAE-30D9-40BE-B301-BD1B6A6D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4" name="Picture 26" descr="LOGO DGI">
          <a:extLst>
            <a:ext uri="{FF2B5EF4-FFF2-40B4-BE49-F238E27FC236}">
              <a16:creationId xmlns:a16="http://schemas.microsoft.com/office/drawing/2014/main" id="{C52280DA-F798-454F-932B-DC0EC7B1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5" name="Picture 27" descr="LOGO DGI">
          <a:extLst>
            <a:ext uri="{FF2B5EF4-FFF2-40B4-BE49-F238E27FC236}">
              <a16:creationId xmlns:a16="http://schemas.microsoft.com/office/drawing/2014/main" id="{F905A901-C474-434A-A26A-75A3EAA2F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6" name="Picture 28" descr="LOGO DGI">
          <a:extLst>
            <a:ext uri="{FF2B5EF4-FFF2-40B4-BE49-F238E27FC236}">
              <a16:creationId xmlns:a16="http://schemas.microsoft.com/office/drawing/2014/main" id="{76B2D574-F768-4D0E-9841-3FABCFF4B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7" name="Picture 29" descr="LOGO DGI">
          <a:extLst>
            <a:ext uri="{FF2B5EF4-FFF2-40B4-BE49-F238E27FC236}">
              <a16:creationId xmlns:a16="http://schemas.microsoft.com/office/drawing/2014/main" id="{8B8ADC83-AAD2-4511-9908-585677E3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8" name="Picture 30" descr="LOGO DGI">
          <a:extLst>
            <a:ext uri="{FF2B5EF4-FFF2-40B4-BE49-F238E27FC236}">
              <a16:creationId xmlns:a16="http://schemas.microsoft.com/office/drawing/2014/main" id="{F4CFB528-0707-4817-8950-D4C3003AF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59" name="Picture 31" descr="LOGO DGI">
          <a:extLst>
            <a:ext uri="{FF2B5EF4-FFF2-40B4-BE49-F238E27FC236}">
              <a16:creationId xmlns:a16="http://schemas.microsoft.com/office/drawing/2014/main" id="{B83707EA-583A-41DF-83C7-D6ED90E6B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0" name="Picture 32" descr="LOGO DGI">
          <a:extLst>
            <a:ext uri="{FF2B5EF4-FFF2-40B4-BE49-F238E27FC236}">
              <a16:creationId xmlns:a16="http://schemas.microsoft.com/office/drawing/2014/main" id="{0F9B7A0F-9DC2-49EB-AEA4-12C56CE7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1" name="Picture 33" descr="LOGO DGI">
          <a:extLst>
            <a:ext uri="{FF2B5EF4-FFF2-40B4-BE49-F238E27FC236}">
              <a16:creationId xmlns:a16="http://schemas.microsoft.com/office/drawing/2014/main" id="{EED085C1-C2EE-46AE-959E-289CC7057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2" name="Picture 34" descr="LOGO DGI">
          <a:extLst>
            <a:ext uri="{FF2B5EF4-FFF2-40B4-BE49-F238E27FC236}">
              <a16:creationId xmlns:a16="http://schemas.microsoft.com/office/drawing/2014/main" id="{BDBE88E3-6F9E-4BD0-92CD-78DA3791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3" name="Picture 35" descr="LOGO DGI">
          <a:extLst>
            <a:ext uri="{FF2B5EF4-FFF2-40B4-BE49-F238E27FC236}">
              <a16:creationId xmlns:a16="http://schemas.microsoft.com/office/drawing/2014/main" id="{55B5006E-1F64-43D7-AE05-0EB0A3F3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4" name="Picture 36" descr="LOGO DGI">
          <a:extLst>
            <a:ext uri="{FF2B5EF4-FFF2-40B4-BE49-F238E27FC236}">
              <a16:creationId xmlns:a16="http://schemas.microsoft.com/office/drawing/2014/main" id="{90AD72CF-380A-4252-9BBD-D23615A0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5" name="Picture 37" descr="LOGO DGI">
          <a:extLst>
            <a:ext uri="{FF2B5EF4-FFF2-40B4-BE49-F238E27FC236}">
              <a16:creationId xmlns:a16="http://schemas.microsoft.com/office/drawing/2014/main" id="{70A4C3A4-1D2F-4EA8-B35A-225E92CAE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6" name="Picture 38" descr="LOGO DGI">
          <a:extLst>
            <a:ext uri="{FF2B5EF4-FFF2-40B4-BE49-F238E27FC236}">
              <a16:creationId xmlns:a16="http://schemas.microsoft.com/office/drawing/2014/main" id="{1F218A8E-5668-482A-8A4C-831B2BCA5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7" name="Picture 39" descr="LOGO DGI">
          <a:extLst>
            <a:ext uri="{FF2B5EF4-FFF2-40B4-BE49-F238E27FC236}">
              <a16:creationId xmlns:a16="http://schemas.microsoft.com/office/drawing/2014/main" id="{00479043-6DFB-4CEC-B29F-2C5DA65B3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8" name="Picture 40" descr="LOGO DGI">
          <a:extLst>
            <a:ext uri="{FF2B5EF4-FFF2-40B4-BE49-F238E27FC236}">
              <a16:creationId xmlns:a16="http://schemas.microsoft.com/office/drawing/2014/main" id="{9C4693D4-8593-4128-8A90-9EB1206D8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69" name="Picture 41" descr="LOGO DGI">
          <a:extLst>
            <a:ext uri="{FF2B5EF4-FFF2-40B4-BE49-F238E27FC236}">
              <a16:creationId xmlns:a16="http://schemas.microsoft.com/office/drawing/2014/main" id="{2971A6D9-A782-45AB-9684-B278B0436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561975</xdr:colOff>
      <xdr:row>20</xdr:row>
      <xdr:rowOff>0</xdr:rowOff>
    </xdr:to>
    <xdr:pic>
      <xdr:nvPicPr>
        <xdr:cNvPr id="1598570" name="Picture 42" descr="LOGO DGI">
          <a:extLst>
            <a:ext uri="{FF2B5EF4-FFF2-40B4-BE49-F238E27FC236}">
              <a16:creationId xmlns:a16="http://schemas.microsoft.com/office/drawing/2014/main" id="{F03A5AAB-8742-4F18-8AA1-E3134B51F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114300</xdr:rowOff>
    </xdr:from>
    <xdr:to>
      <xdr:col>0</xdr:col>
      <xdr:colOff>561975</xdr:colOff>
      <xdr:row>20</xdr:row>
      <xdr:rowOff>114300</xdr:rowOff>
    </xdr:to>
    <xdr:pic>
      <xdr:nvPicPr>
        <xdr:cNvPr id="1598571" name="Picture 43" descr="LOGO DGI">
          <a:extLst>
            <a:ext uri="{FF2B5EF4-FFF2-40B4-BE49-F238E27FC236}">
              <a16:creationId xmlns:a16="http://schemas.microsoft.com/office/drawing/2014/main" id="{A0DB7582-80B8-49C1-A7E5-B086B798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527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114300</xdr:rowOff>
    </xdr:from>
    <xdr:to>
      <xdr:col>0</xdr:col>
      <xdr:colOff>561975</xdr:colOff>
      <xdr:row>37</xdr:row>
      <xdr:rowOff>114300</xdr:rowOff>
    </xdr:to>
    <xdr:pic>
      <xdr:nvPicPr>
        <xdr:cNvPr id="1598572" name="Picture 44" descr="LOGO DGI">
          <a:extLst>
            <a:ext uri="{FF2B5EF4-FFF2-40B4-BE49-F238E27FC236}">
              <a16:creationId xmlns:a16="http://schemas.microsoft.com/office/drawing/2014/main" id="{E728C79D-819E-429D-A28E-603498CB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912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114300</xdr:rowOff>
    </xdr:from>
    <xdr:to>
      <xdr:col>0</xdr:col>
      <xdr:colOff>561975</xdr:colOff>
      <xdr:row>54</xdr:row>
      <xdr:rowOff>114300</xdr:rowOff>
    </xdr:to>
    <xdr:pic>
      <xdr:nvPicPr>
        <xdr:cNvPr id="1598573" name="Picture 45" descr="LOGO DGI">
          <a:extLst>
            <a:ext uri="{FF2B5EF4-FFF2-40B4-BE49-F238E27FC236}">
              <a16:creationId xmlns:a16="http://schemas.microsoft.com/office/drawing/2014/main" id="{A9142E8A-00D7-4D43-B26C-4C564B121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6296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68</xdr:row>
      <xdr:rowOff>114300</xdr:rowOff>
    </xdr:from>
    <xdr:to>
      <xdr:col>0</xdr:col>
      <xdr:colOff>561975</xdr:colOff>
      <xdr:row>71</xdr:row>
      <xdr:rowOff>114300</xdr:rowOff>
    </xdr:to>
    <xdr:pic>
      <xdr:nvPicPr>
        <xdr:cNvPr id="1598574" name="Picture 46" descr="LOGO DGI">
          <a:extLst>
            <a:ext uri="{FF2B5EF4-FFF2-40B4-BE49-F238E27FC236}">
              <a16:creationId xmlns:a16="http://schemas.microsoft.com/office/drawing/2014/main" id="{35CBF08C-CA52-423E-A08F-26891C9CE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681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85</xdr:row>
      <xdr:rowOff>114300</xdr:rowOff>
    </xdr:from>
    <xdr:to>
      <xdr:col>0</xdr:col>
      <xdr:colOff>561975</xdr:colOff>
      <xdr:row>88</xdr:row>
      <xdr:rowOff>114300</xdr:rowOff>
    </xdr:to>
    <xdr:pic>
      <xdr:nvPicPr>
        <xdr:cNvPr id="1598575" name="Picture 47" descr="LOGO DGI">
          <a:extLst>
            <a:ext uri="{FF2B5EF4-FFF2-40B4-BE49-F238E27FC236}">
              <a16:creationId xmlns:a16="http://schemas.microsoft.com/office/drawing/2014/main" id="{5B393C09-2629-4F12-961B-96DC3CF96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065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114300</xdr:rowOff>
    </xdr:from>
    <xdr:to>
      <xdr:col>0</xdr:col>
      <xdr:colOff>561975</xdr:colOff>
      <xdr:row>105</xdr:row>
      <xdr:rowOff>114300</xdr:rowOff>
    </xdr:to>
    <xdr:pic>
      <xdr:nvPicPr>
        <xdr:cNvPr id="1598576" name="Picture 48" descr="LOGO DGI">
          <a:extLst>
            <a:ext uri="{FF2B5EF4-FFF2-40B4-BE49-F238E27FC236}">
              <a16:creationId xmlns:a16="http://schemas.microsoft.com/office/drawing/2014/main" id="{052692A3-0D01-420B-9D7F-DB5F9597D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1450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119</xdr:row>
      <xdr:rowOff>114300</xdr:rowOff>
    </xdr:from>
    <xdr:to>
      <xdr:col>0</xdr:col>
      <xdr:colOff>561975</xdr:colOff>
      <xdr:row>122</xdr:row>
      <xdr:rowOff>114300</xdr:rowOff>
    </xdr:to>
    <xdr:pic>
      <xdr:nvPicPr>
        <xdr:cNvPr id="1598577" name="Picture 49" descr="LOGO DGI">
          <a:extLst>
            <a:ext uri="{FF2B5EF4-FFF2-40B4-BE49-F238E27FC236}">
              <a16:creationId xmlns:a16="http://schemas.microsoft.com/office/drawing/2014/main" id="{9E3878E6-A0BC-4C0C-8123-66CA81DCB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9834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136</xdr:row>
      <xdr:rowOff>114300</xdr:rowOff>
    </xdr:from>
    <xdr:to>
      <xdr:col>0</xdr:col>
      <xdr:colOff>561975</xdr:colOff>
      <xdr:row>139</xdr:row>
      <xdr:rowOff>114300</xdr:rowOff>
    </xdr:to>
    <xdr:pic>
      <xdr:nvPicPr>
        <xdr:cNvPr id="1598578" name="Picture 50" descr="LOGO DGI">
          <a:extLst>
            <a:ext uri="{FF2B5EF4-FFF2-40B4-BE49-F238E27FC236}">
              <a16:creationId xmlns:a16="http://schemas.microsoft.com/office/drawing/2014/main" id="{FE100ABC-55E3-45F8-8883-283EE916E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8219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153</xdr:row>
      <xdr:rowOff>114300</xdr:rowOff>
    </xdr:from>
    <xdr:to>
      <xdr:col>0</xdr:col>
      <xdr:colOff>561975</xdr:colOff>
      <xdr:row>156</xdr:row>
      <xdr:rowOff>114300</xdr:rowOff>
    </xdr:to>
    <xdr:pic>
      <xdr:nvPicPr>
        <xdr:cNvPr id="1598579" name="Picture 51" descr="LOGO DGI">
          <a:extLst>
            <a:ext uri="{FF2B5EF4-FFF2-40B4-BE49-F238E27FC236}">
              <a16:creationId xmlns:a16="http://schemas.microsoft.com/office/drawing/2014/main" id="{54D12E1E-0CD5-4640-A0FA-5B581B7E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6603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170</xdr:row>
      <xdr:rowOff>114300</xdr:rowOff>
    </xdr:from>
    <xdr:to>
      <xdr:col>0</xdr:col>
      <xdr:colOff>561975</xdr:colOff>
      <xdr:row>173</xdr:row>
      <xdr:rowOff>114300</xdr:rowOff>
    </xdr:to>
    <xdr:pic>
      <xdr:nvPicPr>
        <xdr:cNvPr id="1598580" name="Picture 52" descr="LOGO DGI">
          <a:extLst>
            <a:ext uri="{FF2B5EF4-FFF2-40B4-BE49-F238E27FC236}">
              <a16:creationId xmlns:a16="http://schemas.microsoft.com/office/drawing/2014/main" id="{D7E7A25E-6E58-4535-8EE3-7946F6D1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988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187</xdr:row>
      <xdr:rowOff>114300</xdr:rowOff>
    </xdr:from>
    <xdr:to>
      <xdr:col>0</xdr:col>
      <xdr:colOff>561975</xdr:colOff>
      <xdr:row>190</xdr:row>
      <xdr:rowOff>114300</xdr:rowOff>
    </xdr:to>
    <xdr:pic>
      <xdr:nvPicPr>
        <xdr:cNvPr id="1598581" name="Picture 53" descr="LOGO DGI">
          <a:extLst>
            <a:ext uri="{FF2B5EF4-FFF2-40B4-BE49-F238E27FC236}">
              <a16:creationId xmlns:a16="http://schemas.microsoft.com/office/drawing/2014/main" id="{1DEDCC68-733B-41EC-84F2-E52525965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13372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204</xdr:row>
      <xdr:rowOff>114300</xdr:rowOff>
    </xdr:from>
    <xdr:to>
      <xdr:col>0</xdr:col>
      <xdr:colOff>561975</xdr:colOff>
      <xdr:row>207</xdr:row>
      <xdr:rowOff>114300</xdr:rowOff>
    </xdr:to>
    <xdr:pic>
      <xdr:nvPicPr>
        <xdr:cNvPr id="1598582" name="Picture 54" descr="LOGO DGI">
          <a:extLst>
            <a:ext uri="{FF2B5EF4-FFF2-40B4-BE49-F238E27FC236}">
              <a16:creationId xmlns:a16="http://schemas.microsoft.com/office/drawing/2014/main" id="{A93487DD-826A-48DE-8D3D-F9363A9A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1757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221</xdr:row>
      <xdr:rowOff>114300</xdr:rowOff>
    </xdr:from>
    <xdr:to>
      <xdr:col>0</xdr:col>
      <xdr:colOff>561975</xdr:colOff>
      <xdr:row>224</xdr:row>
      <xdr:rowOff>114300</xdr:rowOff>
    </xdr:to>
    <xdr:pic>
      <xdr:nvPicPr>
        <xdr:cNvPr id="1598583" name="Picture 55" descr="LOGO DGI">
          <a:extLst>
            <a:ext uri="{FF2B5EF4-FFF2-40B4-BE49-F238E27FC236}">
              <a16:creationId xmlns:a16="http://schemas.microsoft.com/office/drawing/2014/main" id="{DDFF380E-B179-49A6-84CE-8533E4F11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0141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238</xdr:row>
      <xdr:rowOff>114300</xdr:rowOff>
    </xdr:from>
    <xdr:to>
      <xdr:col>0</xdr:col>
      <xdr:colOff>561975</xdr:colOff>
      <xdr:row>241</xdr:row>
      <xdr:rowOff>114300</xdr:rowOff>
    </xdr:to>
    <xdr:pic>
      <xdr:nvPicPr>
        <xdr:cNvPr id="1598584" name="Picture 56" descr="LOGO DGI">
          <a:extLst>
            <a:ext uri="{FF2B5EF4-FFF2-40B4-BE49-F238E27FC236}">
              <a16:creationId xmlns:a16="http://schemas.microsoft.com/office/drawing/2014/main" id="{710BCFF9-591A-4DCB-8AA3-250CE746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98526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255</xdr:row>
      <xdr:rowOff>114300</xdr:rowOff>
    </xdr:from>
    <xdr:to>
      <xdr:col>0</xdr:col>
      <xdr:colOff>561975</xdr:colOff>
      <xdr:row>258</xdr:row>
      <xdr:rowOff>114300</xdr:rowOff>
    </xdr:to>
    <xdr:pic>
      <xdr:nvPicPr>
        <xdr:cNvPr id="1598585" name="Picture 57" descr="LOGO DGI">
          <a:extLst>
            <a:ext uri="{FF2B5EF4-FFF2-40B4-BE49-F238E27FC236}">
              <a16:creationId xmlns:a16="http://schemas.microsoft.com/office/drawing/2014/main" id="{6965D226-A696-4E9F-9811-01FB651C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6910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272</xdr:row>
      <xdr:rowOff>114300</xdr:rowOff>
    </xdr:from>
    <xdr:to>
      <xdr:col>0</xdr:col>
      <xdr:colOff>561975</xdr:colOff>
      <xdr:row>275</xdr:row>
      <xdr:rowOff>114300</xdr:rowOff>
    </xdr:to>
    <xdr:pic>
      <xdr:nvPicPr>
        <xdr:cNvPr id="1598586" name="Picture 58" descr="LOGO DGI">
          <a:extLst>
            <a:ext uri="{FF2B5EF4-FFF2-40B4-BE49-F238E27FC236}">
              <a16:creationId xmlns:a16="http://schemas.microsoft.com/office/drawing/2014/main" id="{7C4F2CE8-77E4-48A9-A8B8-9138BBB16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5295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289</xdr:row>
      <xdr:rowOff>114300</xdr:rowOff>
    </xdr:from>
    <xdr:to>
      <xdr:col>0</xdr:col>
      <xdr:colOff>561975</xdr:colOff>
      <xdr:row>292</xdr:row>
      <xdr:rowOff>114300</xdr:rowOff>
    </xdr:to>
    <xdr:pic>
      <xdr:nvPicPr>
        <xdr:cNvPr id="1598587" name="Picture 59" descr="LOGO DGI">
          <a:extLst>
            <a:ext uri="{FF2B5EF4-FFF2-40B4-BE49-F238E27FC236}">
              <a16:creationId xmlns:a16="http://schemas.microsoft.com/office/drawing/2014/main" id="{7887F81B-2B55-4908-B598-30A15703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83679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306</xdr:row>
      <xdr:rowOff>114300</xdr:rowOff>
    </xdr:from>
    <xdr:to>
      <xdr:col>0</xdr:col>
      <xdr:colOff>561975</xdr:colOff>
      <xdr:row>309</xdr:row>
      <xdr:rowOff>114300</xdr:rowOff>
    </xdr:to>
    <xdr:pic>
      <xdr:nvPicPr>
        <xdr:cNvPr id="1598588" name="Picture 60" descr="LOGO DGI">
          <a:extLst>
            <a:ext uri="{FF2B5EF4-FFF2-40B4-BE49-F238E27FC236}">
              <a16:creationId xmlns:a16="http://schemas.microsoft.com/office/drawing/2014/main" id="{F0DC0DAB-D5FF-4D67-B4C6-2A7B13856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20640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28575</xdr:rowOff>
    </xdr:from>
    <xdr:to>
      <xdr:col>10</xdr:col>
      <xdr:colOff>209550</xdr:colOff>
      <xdr:row>5</xdr:row>
      <xdr:rowOff>76200</xdr:rowOff>
    </xdr:to>
    <xdr:sp macro="" textlink="">
      <xdr:nvSpPr>
        <xdr:cNvPr id="53250" name="CommandButton1" hidden="1">
          <a:extLst>
            <a:ext uri="{63B3BB69-23CF-44E3-9099-C40C66FF867C}">
              <a14:compatExt xmlns:a14="http://schemas.microsoft.com/office/drawing/2010/main" spid="_x0000_s53250"/>
            </a:ext>
            <a:ext uri="{FF2B5EF4-FFF2-40B4-BE49-F238E27FC236}">
              <a16:creationId xmlns:a16="http://schemas.microsoft.com/office/drawing/2014/main" id="{2FECF36D-E19F-4566-8266-2C83712B4E1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85725</xdr:colOff>
      <xdr:row>6</xdr:row>
      <xdr:rowOff>95250</xdr:rowOff>
    </xdr:from>
    <xdr:to>
      <xdr:col>10</xdr:col>
      <xdr:colOff>723900</xdr:colOff>
      <xdr:row>9</xdr:row>
      <xdr:rowOff>0</xdr:rowOff>
    </xdr:to>
    <xdr:sp macro="" textlink="">
      <xdr:nvSpPr>
        <xdr:cNvPr id="53251" name="CommandButton2" hidden="1">
          <a:extLst>
            <a:ext uri="{63B3BB69-23CF-44E3-9099-C40C66FF867C}">
              <a14:compatExt xmlns:a14="http://schemas.microsoft.com/office/drawing/2010/main" spid="_x0000_s53251"/>
            </a:ext>
            <a:ext uri="{FF2B5EF4-FFF2-40B4-BE49-F238E27FC236}">
              <a16:creationId xmlns:a16="http://schemas.microsoft.com/office/drawing/2014/main" id="{9C085E4D-D15E-4B32-BB48-B179B875020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990600</xdr:colOff>
      <xdr:row>1</xdr:row>
      <xdr:rowOff>114300</xdr:rowOff>
    </xdr:from>
    <xdr:to>
      <xdr:col>12</xdr:col>
      <xdr:colOff>1009650</xdr:colOff>
      <xdr:row>5</xdr:row>
      <xdr:rowOff>57150</xdr:rowOff>
    </xdr:to>
    <xdr:sp macro="" textlink="">
      <xdr:nvSpPr>
        <xdr:cNvPr id="5181" name="CommandButton2" hidden="1">
          <a:extLst>
            <a:ext uri="{63B3BB69-23CF-44E3-9099-C40C66FF867C}">
              <a14:compatExt xmlns:a14="http://schemas.microsoft.com/office/drawing/2010/main" spid="_x0000_s5181"/>
            </a:ext>
            <a:ext uri="{FF2B5EF4-FFF2-40B4-BE49-F238E27FC236}">
              <a16:creationId xmlns:a16="http://schemas.microsoft.com/office/drawing/2014/main" id="{8A1A5FA9-15AF-494F-8B83-D1C70951915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600075</xdr:colOff>
      <xdr:row>1</xdr:row>
      <xdr:rowOff>114300</xdr:rowOff>
    </xdr:from>
    <xdr:to>
      <xdr:col>11</xdr:col>
      <xdr:colOff>542925</xdr:colOff>
      <xdr:row>5</xdr:row>
      <xdr:rowOff>85725</xdr:rowOff>
    </xdr:to>
    <xdr:sp macro="" textlink="">
      <xdr:nvSpPr>
        <xdr:cNvPr id="5182" name="CommandButton1" hidden="1">
          <a:extLst>
            <a:ext uri="{63B3BB69-23CF-44E3-9099-C40C66FF867C}">
              <a14:compatExt xmlns:a14="http://schemas.microsoft.com/office/drawing/2010/main" spid="_x0000_s5182"/>
            </a:ext>
            <a:ext uri="{FF2B5EF4-FFF2-40B4-BE49-F238E27FC236}">
              <a16:creationId xmlns:a16="http://schemas.microsoft.com/office/drawing/2014/main" id="{AC431E98-71B7-45F9-B193-B3F67C9A407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1019175</xdr:colOff>
      <xdr:row>6</xdr:row>
      <xdr:rowOff>76200</xdr:rowOff>
    </xdr:from>
    <xdr:to>
      <xdr:col>12</xdr:col>
      <xdr:colOff>1057275</xdr:colOff>
      <xdr:row>10</xdr:row>
      <xdr:rowOff>9525</xdr:rowOff>
    </xdr:to>
    <xdr:sp macro="" textlink="">
      <xdr:nvSpPr>
        <xdr:cNvPr id="5183" name="CommandButton3" hidden="1">
          <a:extLst>
            <a:ext uri="{63B3BB69-23CF-44E3-9099-C40C66FF867C}">
              <a14:compatExt xmlns:a14="http://schemas.microsoft.com/office/drawing/2010/main" spid="_x0000_s5183"/>
            </a:ext>
            <a:ext uri="{FF2B5EF4-FFF2-40B4-BE49-F238E27FC236}">
              <a16:creationId xmlns:a16="http://schemas.microsoft.com/office/drawing/2014/main" id="{C04555EA-AF4F-46CF-8346-116E48755A8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619125</xdr:colOff>
      <xdr:row>6</xdr:row>
      <xdr:rowOff>85725</xdr:rowOff>
    </xdr:from>
    <xdr:to>
      <xdr:col>11</xdr:col>
      <xdr:colOff>571500</xdr:colOff>
      <xdr:row>10</xdr:row>
      <xdr:rowOff>0</xdr:rowOff>
    </xdr:to>
    <xdr:sp macro="" textlink="">
      <xdr:nvSpPr>
        <xdr:cNvPr id="5184" name="CommandButton4" hidden="1">
          <a:extLst>
            <a:ext uri="{63B3BB69-23CF-44E3-9099-C40C66FF867C}">
              <a14:compatExt xmlns:a14="http://schemas.microsoft.com/office/drawing/2010/main" spid="_x0000_s5184"/>
            </a:ext>
            <a:ext uri="{FF2B5EF4-FFF2-40B4-BE49-F238E27FC236}">
              <a16:creationId xmlns:a16="http://schemas.microsoft.com/office/drawing/2014/main" id="{CB20F436-AE45-42BA-8850-27E0FC62A2D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0</xdr:colOff>
      <xdr:row>3</xdr:row>
      <xdr:rowOff>152400</xdr:rowOff>
    </xdr:to>
    <xdr:pic>
      <xdr:nvPicPr>
        <xdr:cNvPr id="1564216" name="Picture 1" descr="LOGO DGI">
          <a:extLst>
            <a:ext uri="{FF2B5EF4-FFF2-40B4-BE49-F238E27FC236}">
              <a16:creationId xmlns:a16="http://schemas.microsoft.com/office/drawing/2014/main" id="{B1BEF124-7100-4FE9-B600-0886A8C91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524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4217" name="Picture 2" descr="LOGO DGI">
          <a:extLst>
            <a:ext uri="{FF2B5EF4-FFF2-40B4-BE49-F238E27FC236}">
              <a16:creationId xmlns:a16="http://schemas.microsoft.com/office/drawing/2014/main" id="{03F06D47-9EB0-473E-BA58-73BBAB40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4218" name="Picture 3" descr="LOGO DGI">
          <a:extLst>
            <a:ext uri="{FF2B5EF4-FFF2-40B4-BE49-F238E27FC236}">
              <a16:creationId xmlns:a16="http://schemas.microsoft.com/office/drawing/2014/main" id="{52CE10F0-8E09-4B9C-A1A4-45F34904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4219" name="Picture 4" descr="LOGO DGI">
          <a:extLst>
            <a:ext uri="{FF2B5EF4-FFF2-40B4-BE49-F238E27FC236}">
              <a16:creationId xmlns:a16="http://schemas.microsoft.com/office/drawing/2014/main" id="{903A470F-8651-4768-B6FC-E7832DB73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4220" name="Picture 5" descr="LOGO DGI">
          <a:extLst>
            <a:ext uri="{FF2B5EF4-FFF2-40B4-BE49-F238E27FC236}">
              <a16:creationId xmlns:a16="http://schemas.microsoft.com/office/drawing/2014/main" id="{A978D41F-191F-4744-8C0D-FEAE1B493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1" name="Picture 6" descr="LOGO DGI">
          <a:extLst>
            <a:ext uri="{FF2B5EF4-FFF2-40B4-BE49-F238E27FC236}">
              <a16:creationId xmlns:a16="http://schemas.microsoft.com/office/drawing/2014/main" id="{885EF141-A99F-4194-85A7-5616494CE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2" name="Picture 7" descr="LOGO DGI">
          <a:extLst>
            <a:ext uri="{FF2B5EF4-FFF2-40B4-BE49-F238E27FC236}">
              <a16:creationId xmlns:a16="http://schemas.microsoft.com/office/drawing/2014/main" id="{B8A10246-BC78-4381-B15E-C6CF5ACA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3" name="Picture 8" descr="LOGO DGI">
          <a:extLst>
            <a:ext uri="{FF2B5EF4-FFF2-40B4-BE49-F238E27FC236}">
              <a16:creationId xmlns:a16="http://schemas.microsoft.com/office/drawing/2014/main" id="{DCD70460-C3E2-4762-8B8E-1CD8904C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4" name="Picture 9" descr="LOGO DGI">
          <a:extLst>
            <a:ext uri="{FF2B5EF4-FFF2-40B4-BE49-F238E27FC236}">
              <a16:creationId xmlns:a16="http://schemas.microsoft.com/office/drawing/2014/main" id="{9D948179-7613-44F7-8B66-A041AF5F0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5" name="Picture 10" descr="LOGO DGI">
          <a:extLst>
            <a:ext uri="{FF2B5EF4-FFF2-40B4-BE49-F238E27FC236}">
              <a16:creationId xmlns:a16="http://schemas.microsoft.com/office/drawing/2014/main" id="{3CCB3698-2402-4138-A322-E5D728856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6" name="Picture 11" descr="LOGO DGI">
          <a:extLst>
            <a:ext uri="{FF2B5EF4-FFF2-40B4-BE49-F238E27FC236}">
              <a16:creationId xmlns:a16="http://schemas.microsoft.com/office/drawing/2014/main" id="{B2013F6C-687E-40D6-80FA-BBF06F1E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7" name="Picture 12" descr="LOGO DGI">
          <a:extLst>
            <a:ext uri="{FF2B5EF4-FFF2-40B4-BE49-F238E27FC236}">
              <a16:creationId xmlns:a16="http://schemas.microsoft.com/office/drawing/2014/main" id="{C4A8D4A2-CE43-4629-969A-B28EB4BAE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8" name="Picture 13" descr="LOGO DGI">
          <a:extLst>
            <a:ext uri="{FF2B5EF4-FFF2-40B4-BE49-F238E27FC236}">
              <a16:creationId xmlns:a16="http://schemas.microsoft.com/office/drawing/2014/main" id="{EE94558B-8A0F-4C78-A957-9D42C043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29" name="Picture 14" descr="LOGO DGI">
          <a:extLst>
            <a:ext uri="{FF2B5EF4-FFF2-40B4-BE49-F238E27FC236}">
              <a16:creationId xmlns:a16="http://schemas.microsoft.com/office/drawing/2014/main" id="{E33461A3-6B61-4622-A124-4C91CC37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30" name="Picture 15" descr="LOGO DGI">
          <a:extLst>
            <a:ext uri="{FF2B5EF4-FFF2-40B4-BE49-F238E27FC236}">
              <a16:creationId xmlns:a16="http://schemas.microsoft.com/office/drawing/2014/main" id="{ADFFA471-94ED-45C3-B889-C3ECEE593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4231" name="Picture 16" descr="LOGO DGI">
          <a:extLst>
            <a:ext uri="{FF2B5EF4-FFF2-40B4-BE49-F238E27FC236}">
              <a16:creationId xmlns:a16="http://schemas.microsoft.com/office/drawing/2014/main" id="{81DD08EA-3B27-4420-866C-826F65F5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2" name="Picture 17" descr="LOGO DGI">
          <a:extLst>
            <a:ext uri="{FF2B5EF4-FFF2-40B4-BE49-F238E27FC236}">
              <a16:creationId xmlns:a16="http://schemas.microsoft.com/office/drawing/2014/main" id="{43539882-EAEC-4D39-A154-5330EF43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3" name="Picture 18" descr="LOGO DGI">
          <a:extLst>
            <a:ext uri="{FF2B5EF4-FFF2-40B4-BE49-F238E27FC236}">
              <a16:creationId xmlns:a16="http://schemas.microsoft.com/office/drawing/2014/main" id="{6AB82AAE-8461-4CAE-B112-B8A311D5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4" name="Picture 19" descr="LOGO DGI">
          <a:extLst>
            <a:ext uri="{FF2B5EF4-FFF2-40B4-BE49-F238E27FC236}">
              <a16:creationId xmlns:a16="http://schemas.microsoft.com/office/drawing/2014/main" id="{43189765-E5E5-47B6-AB2E-E05D714CE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5" name="Picture 20" descr="LOGO DGI">
          <a:extLst>
            <a:ext uri="{FF2B5EF4-FFF2-40B4-BE49-F238E27FC236}">
              <a16:creationId xmlns:a16="http://schemas.microsoft.com/office/drawing/2014/main" id="{6DFE2FF2-CB34-421F-B977-8E0BD759F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6" name="Picture 21" descr="LOGO DGI">
          <a:extLst>
            <a:ext uri="{FF2B5EF4-FFF2-40B4-BE49-F238E27FC236}">
              <a16:creationId xmlns:a16="http://schemas.microsoft.com/office/drawing/2014/main" id="{032EDC4F-BAF6-43C7-8F7F-8DED4D50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7" name="Picture 22" descr="LOGO DGI">
          <a:extLst>
            <a:ext uri="{FF2B5EF4-FFF2-40B4-BE49-F238E27FC236}">
              <a16:creationId xmlns:a16="http://schemas.microsoft.com/office/drawing/2014/main" id="{ED32E5EB-24F4-4A02-9FA7-0C7428AE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8" name="Picture 23" descr="LOGO DGI">
          <a:extLst>
            <a:ext uri="{FF2B5EF4-FFF2-40B4-BE49-F238E27FC236}">
              <a16:creationId xmlns:a16="http://schemas.microsoft.com/office/drawing/2014/main" id="{29D92CC2-1A93-4819-AA48-26673E1C4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39" name="Picture 24" descr="LOGO DGI">
          <a:extLst>
            <a:ext uri="{FF2B5EF4-FFF2-40B4-BE49-F238E27FC236}">
              <a16:creationId xmlns:a16="http://schemas.microsoft.com/office/drawing/2014/main" id="{30A5B7D2-B08E-43B4-8138-1BE79133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0" name="Picture 25" descr="LOGO DGI">
          <a:extLst>
            <a:ext uri="{FF2B5EF4-FFF2-40B4-BE49-F238E27FC236}">
              <a16:creationId xmlns:a16="http://schemas.microsoft.com/office/drawing/2014/main" id="{E2904A0F-BF22-4A08-ACF0-F6D3A65D8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1" name="Picture 26" descr="LOGO DGI">
          <a:extLst>
            <a:ext uri="{FF2B5EF4-FFF2-40B4-BE49-F238E27FC236}">
              <a16:creationId xmlns:a16="http://schemas.microsoft.com/office/drawing/2014/main" id="{89F873AE-DDEE-4AD8-BF92-68149912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2" name="Picture 27" descr="LOGO DGI">
          <a:extLst>
            <a:ext uri="{FF2B5EF4-FFF2-40B4-BE49-F238E27FC236}">
              <a16:creationId xmlns:a16="http://schemas.microsoft.com/office/drawing/2014/main" id="{C449164F-1F05-4608-B0CD-2CF2A4E1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3" name="Picture 28" descr="LOGO DGI">
          <a:extLst>
            <a:ext uri="{FF2B5EF4-FFF2-40B4-BE49-F238E27FC236}">
              <a16:creationId xmlns:a16="http://schemas.microsoft.com/office/drawing/2014/main" id="{2D2A4DA9-CC9A-42C5-AC69-5A6E96D1A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4" name="Picture 29" descr="LOGO DGI">
          <a:extLst>
            <a:ext uri="{FF2B5EF4-FFF2-40B4-BE49-F238E27FC236}">
              <a16:creationId xmlns:a16="http://schemas.microsoft.com/office/drawing/2014/main" id="{D1889FB1-4E1B-4DD0-8741-3492DE41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5" name="Picture 30" descr="LOGO DGI">
          <a:extLst>
            <a:ext uri="{FF2B5EF4-FFF2-40B4-BE49-F238E27FC236}">
              <a16:creationId xmlns:a16="http://schemas.microsoft.com/office/drawing/2014/main" id="{52E20ACE-C40C-4FC5-99B1-3922ACD7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6" name="Picture 31" descr="LOGO DGI">
          <a:extLst>
            <a:ext uri="{FF2B5EF4-FFF2-40B4-BE49-F238E27FC236}">
              <a16:creationId xmlns:a16="http://schemas.microsoft.com/office/drawing/2014/main" id="{78B643D1-5650-4E65-A19A-55766657F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7" name="Picture 32" descr="LOGO DGI">
          <a:extLst>
            <a:ext uri="{FF2B5EF4-FFF2-40B4-BE49-F238E27FC236}">
              <a16:creationId xmlns:a16="http://schemas.microsoft.com/office/drawing/2014/main" id="{20876FD1-4C5A-4364-988C-54F4BD599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8" name="Picture 33" descr="LOGO DGI">
          <a:extLst>
            <a:ext uri="{FF2B5EF4-FFF2-40B4-BE49-F238E27FC236}">
              <a16:creationId xmlns:a16="http://schemas.microsoft.com/office/drawing/2014/main" id="{55BAABCA-9B90-45A9-8A09-5EFD91562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49" name="Picture 34" descr="LOGO DGI">
          <a:extLst>
            <a:ext uri="{FF2B5EF4-FFF2-40B4-BE49-F238E27FC236}">
              <a16:creationId xmlns:a16="http://schemas.microsoft.com/office/drawing/2014/main" id="{E6122DA6-CF1A-4276-8E1D-74918DAF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0</xdr:rowOff>
    </xdr:to>
    <xdr:pic>
      <xdr:nvPicPr>
        <xdr:cNvPr id="1564250" name="Picture 35" descr="LOGO DGI">
          <a:extLst>
            <a:ext uri="{FF2B5EF4-FFF2-40B4-BE49-F238E27FC236}">
              <a16:creationId xmlns:a16="http://schemas.microsoft.com/office/drawing/2014/main" id="{223A0F8A-0250-4ADF-9EFA-90FC6463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152400</xdr:rowOff>
    </xdr:from>
    <xdr:to>
      <xdr:col>1</xdr:col>
      <xdr:colOff>0</xdr:colOff>
      <xdr:row>21</xdr:row>
      <xdr:rowOff>0</xdr:rowOff>
    </xdr:to>
    <xdr:pic>
      <xdr:nvPicPr>
        <xdr:cNvPr id="1564251" name="Picture 91" descr="LOGO DGI">
          <a:extLst>
            <a:ext uri="{FF2B5EF4-FFF2-40B4-BE49-F238E27FC236}">
              <a16:creationId xmlns:a16="http://schemas.microsoft.com/office/drawing/2014/main" id="{5F1D600E-390F-4F57-A95A-7A868A725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0003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34</xdr:row>
      <xdr:rowOff>152400</xdr:rowOff>
    </xdr:from>
    <xdr:to>
      <xdr:col>1</xdr:col>
      <xdr:colOff>0</xdr:colOff>
      <xdr:row>38</xdr:row>
      <xdr:rowOff>0</xdr:rowOff>
    </xdr:to>
    <xdr:pic>
      <xdr:nvPicPr>
        <xdr:cNvPr id="1564252" name="Picture 92" descr="LOGO DGI">
          <a:extLst>
            <a:ext uri="{FF2B5EF4-FFF2-40B4-BE49-F238E27FC236}">
              <a16:creationId xmlns:a16="http://schemas.microsoft.com/office/drawing/2014/main" id="{1C172AC7-CAA8-4F6A-A949-22B9D49D0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8483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51</xdr:row>
      <xdr:rowOff>152400</xdr:rowOff>
    </xdr:from>
    <xdr:to>
      <xdr:col>1</xdr:col>
      <xdr:colOff>0</xdr:colOff>
      <xdr:row>55</xdr:row>
      <xdr:rowOff>0</xdr:rowOff>
    </xdr:to>
    <xdr:pic>
      <xdr:nvPicPr>
        <xdr:cNvPr id="1564253" name="Picture 93" descr="LOGO DGI">
          <a:extLst>
            <a:ext uri="{FF2B5EF4-FFF2-40B4-BE49-F238E27FC236}">
              <a16:creationId xmlns:a16="http://schemas.microsoft.com/office/drawing/2014/main" id="{AA024D25-660D-4B7C-BD8F-DD88B8931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86963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68</xdr:row>
      <xdr:rowOff>152400</xdr:rowOff>
    </xdr:from>
    <xdr:to>
      <xdr:col>1</xdr:col>
      <xdr:colOff>0</xdr:colOff>
      <xdr:row>72</xdr:row>
      <xdr:rowOff>0</xdr:rowOff>
    </xdr:to>
    <xdr:pic>
      <xdr:nvPicPr>
        <xdr:cNvPr id="1564254" name="Picture 94" descr="LOGO DGI">
          <a:extLst>
            <a:ext uri="{FF2B5EF4-FFF2-40B4-BE49-F238E27FC236}">
              <a16:creationId xmlns:a16="http://schemas.microsoft.com/office/drawing/2014/main" id="{E8134095-C6E9-4A42-B0BA-F81045BCD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15443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85</xdr:row>
      <xdr:rowOff>152400</xdr:rowOff>
    </xdr:from>
    <xdr:to>
      <xdr:col>1</xdr:col>
      <xdr:colOff>0</xdr:colOff>
      <xdr:row>89</xdr:row>
      <xdr:rowOff>0</xdr:rowOff>
    </xdr:to>
    <xdr:pic>
      <xdr:nvPicPr>
        <xdr:cNvPr id="1564255" name="Picture 95" descr="LOGO DGI">
          <a:extLst>
            <a:ext uri="{FF2B5EF4-FFF2-40B4-BE49-F238E27FC236}">
              <a16:creationId xmlns:a16="http://schemas.microsoft.com/office/drawing/2014/main" id="{D6E56184-09EF-4465-B1C0-6E9CC345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3922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102</xdr:row>
      <xdr:rowOff>152400</xdr:rowOff>
    </xdr:from>
    <xdr:to>
      <xdr:col>1</xdr:col>
      <xdr:colOff>0</xdr:colOff>
      <xdr:row>106</xdr:row>
      <xdr:rowOff>0</xdr:rowOff>
    </xdr:to>
    <xdr:pic>
      <xdr:nvPicPr>
        <xdr:cNvPr id="1564256" name="Picture 96" descr="LOGO DGI">
          <a:extLst>
            <a:ext uri="{FF2B5EF4-FFF2-40B4-BE49-F238E27FC236}">
              <a16:creationId xmlns:a16="http://schemas.microsoft.com/office/drawing/2014/main" id="{2BEBABA6-846C-4092-A7F3-3DE57E9F3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72402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119</xdr:row>
      <xdr:rowOff>152400</xdr:rowOff>
    </xdr:from>
    <xdr:to>
      <xdr:col>1</xdr:col>
      <xdr:colOff>0</xdr:colOff>
      <xdr:row>123</xdr:row>
      <xdr:rowOff>0</xdr:rowOff>
    </xdr:to>
    <xdr:pic>
      <xdr:nvPicPr>
        <xdr:cNvPr id="1564257" name="Picture 97" descr="LOGO DGI">
          <a:extLst>
            <a:ext uri="{FF2B5EF4-FFF2-40B4-BE49-F238E27FC236}">
              <a16:creationId xmlns:a16="http://schemas.microsoft.com/office/drawing/2014/main" id="{B1F4D53C-3C6C-447A-80DD-7CA3BB03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00882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136</xdr:row>
      <xdr:rowOff>152400</xdr:rowOff>
    </xdr:from>
    <xdr:to>
      <xdr:col>1</xdr:col>
      <xdr:colOff>0</xdr:colOff>
      <xdr:row>140</xdr:row>
      <xdr:rowOff>0</xdr:rowOff>
    </xdr:to>
    <xdr:pic>
      <xdr:nvPicPr>
        <xdr:cNvPr id="1564258" name="Picture 98" descr="LOGO DGI">
          <a:extLst>
            <a:ext uri="{FF2B5EF4-FFF2-40B4-BE49-F238E27FC236}">
              <a16:creationId xmlns:a16="http://schemas.microsoft.com/office/drawing/2014/main" id="{4D3A7E4F-AE48-403E-B168-707CC96A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29362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153</xdr:row>
      <xdr:rowOff>152400</xdr:rowOff>
    </xdr:from>
    <xdr:to>
      <xdr:col>1</xdr:col>
      <xdr:colOff>0</xdr:colOff>
      <xdr:row>157</xdr:row>
      <xdr:rowOff>0</xdr:rowOff>
    </xdr:to>
    <xdr:pic>
      <xdr:nvPicPr>
        <xdr:cNvPr id="1564259" name="Picture 99" descr="LOGO DGI">
          <a:extLst>
            <a:ext uri="{FF2B5EF4-FFF2-40B4-BE49-F238E27FC236}">
              <a16:creationId xmlns:a16="http://schemas.microsoft.com/office/drawing/2014/main" id="{0DA6B663-EAA3-409E-B0B0-894F484D2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57841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170</xdr:row>
      <xdr:rowOff>152400</xdr:rowOff>
    </xdr:from>
    <xdr:to>
      <xdr:col>1</xdr:col>
      <xdr:colOff>0</xdr:colOff>
      <xdr:row>174</xdr:row>
      <xdr:rowOff>0</xdr:rowOff>
    </xdr:to>
    <xdr:pic>
      <xdr:nvPicPr>
        <xdr:cNvPr id="1564260" name="Picture 100" descr="LOGO DGI">
          <a:extLst>
            <a:ext uri="{FF2B5EF4-FFF2-40B4-BE49-F238E27FC236}">
              <a16:creationId xmlns:a16="http://schemas.microsoft.com/office/drawing/2014/main" id="{959F0777-FF87-43C9-894D-8F48AB7D5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6321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187</xdr:row>
      <xdr:rowOff>152400</xdr:rowOff>
    </xdr:from>
    <xdr:to>
      <xdr:col>1</xdr:col>
      <xdr:colOff>0</xdr:colOff>
      <xdr:row>191</xdr:row>
      <xdr:rowOff>0</xdr:rowOff>
    </xdr:to>
    <xdr:pic>
      <xdr:nvPicPr>
        <xdr:cNvPr id="1564261" name="Picture 101" descr="LOGO DGI">
          <a:extLst>
            <a:ext uri="{FF2B5EF4-FFF2-40B4-BE49-F238E27FC236}">
              <a16:creationId xmlns:a16="http://schemas.microsoft.com/office/drawing/2014/main" id="{D43D8B71-80FC-463E-AA65-C5CD24F2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4801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204</xdr:row>
      <xdr:rowOff>152400</xdr:rowOff>
    </xdr:from>
    <xdr:to>
      <xdr:col>1</xdr:col>
      <xdr:colOff>0</xdr:colOff>
      <xdr:row>208</xdr:row>
      <xdr:rowOff>0</xdr:rowOff>
    </xdr:to>
    <xdr:pic>
      <xdr:nvPicPr>
        <xdr:cNvPr id="1564262" name="Picture 102" descr="LOGO DGI">
          <a:extLst>
            <a:ext uri="{FF2B5EF4-FFF2-40B4-BE49-F238E27FC236}">
              <a16:creationId xmlns:a16="http://schemas.microsoft.com/office/drawing/2014/main" id="{2D87F422-98A3-4090-8B8C-6D908E57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43281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221</xdr:row>
      <xdr:rowOff>152400</xdr:rowOff>
    </xdr:from>
    <xdr:to>
      <xdr:col>1</xdr:col>
      <xdr:colOff>0</xdr:colOff>
      <xdr:row>225</xdr:row>
      <xdr:rowOff>0</xdr:rowOff>
    </xdr:to>
    <xdr:pic>
      <xdr:nvPicPr>
        <xdr:cNvPr id="1564263" name="Picture 103" descr="LOGO DGI">
          <a:extLst>
            <a:ext uri="{FF2B5EF4-FFF2-40B4-BE49-F238E27FC236}">
              <a16:creationId xmlns:a16="http://schemas.microsoft.com/office/drawing/2014/main" id="{27441BB7-D9DE-47F5-9B37-9971CE0F9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71760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238</xdr:row>
      <xdr:rowOff>152400</xdr:rowOff>
    </xdr:from>
    <xdr:to>
      <xdr:col>1</xdr:col>
      <xdr:colOff>0</xdr:colOff>
      <xdr:row>242</xdr:row>
      <xdr:rowOff>0</xdr:rowOff>
    </xdr:to>
    <xdr:pic>
      <xdr:nvPicPr>
        <xdr:cNvPr id="1564264" name="Picture 104" descr="LOGO DGI">
          <a:extLst>
            <a:ext uri="{FF2B5EF4-FFF2-40B4-BE49-F238E27FC236}">
              <a16:creationId xmlns:a16="http://schemas.microsoft.com/office/drawing/2014/main" id="{1DD033A5-E9F1-4594-B72A-FCB606F24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00240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255</xdr:row>
      <xdr:rowOff>152400</xdr:rowOff>
    </xdr:from>
    <xdr:to>
      <xdr:col>1</xdr:col>
      <xdr:colOff>0</xdr:colOff>
      <xdr:row>259</xdr:row>
      <xdr:rowOff>0</xdr:rowOff>
    </xdr:to>
    <xdr:pic>
      <xdr:nvPicPr>
        <xdr:cNvPr id="1564265" name="Picture 105" descr="LOGO DGI">
          <a:extLst>
            <a:ext uri="{FF2B5EF4-FFF2-40B4-BE49-F238E27FC236}">
              <a16:creationId xmlns:a16="http://schemas.microsoft.com/office/drawing/2014/main" id="{482A71F0-2541-47FF-AF79-0ED082014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28720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272</xdr:row>
      <xdr:rowOff>152400</xdr:rowOff>
    </xdr:from>
    <xdr:to>
      <xdr:col>1</xdr:col>
      <xdr:colOff>0</xdr:colOff>
      <xdr:row>276</xdr:row>
      <xdr:rowOff>0</xdr:rowOff>
    </xdr:to>
    <xdr:pic>
      <xdr:nvPicPr>
        <xdr:cNvPr id="1564266" name="Picture 106" descr="LOGO DGI">
          <a:extLst>
            <a:ext uri="{FF2B5EF4-FFF2-40B4-BE49-F238E27FC236}">
              <a16:creationId xmlns:a16="http://schemas.microsoft.com/office/drawing/2014/main" id="{774B336F-3414-4499-8C56-402E63285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57200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289</xdr:row>
      <xdr:rowOff>152400</xdr:rowOff>
    </xdr:from>
    <xdr:to>
      <xdr:col>1</xdr:col>
      <xdr:colOff>0</xdr:colOff>
      <xdr:row>293</xdr:row>
      <xdr:rowOff>0</xdr:rowOff>
    </xdr:to>
    <xdr:pic>
      <xdr:nvPicPr>
        <xdr:cNvPr id="1564267" name="Picture 107" descr="LOGO DGI">
          <a:extLst>
            <a:ext uri="{FF2B5EF4-FFF2-40B4-BE49-F238E27FC236}">
              <a16:creationId xmlns:a16="http://schemas.microsoft.com/office/drawing/2014/main" id="{068FECA0-41B3-4570-A0BD-F906338A8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856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306</xdr:row>
      <xdr:rowOff>152400</xdr:rowOff>
    </xdr:from>
    <xdr:to>
      <xdr:col>1</xdr:col>
      <xdr:colOff>0</xdr:colOff>
      <xdr:row>310</xdr:row>
      <xdr:rowOff>0</xdr:rowOff>
    </xdr:to>
    <xdr:pic>
      <xdr:nvPicPr>
        <xdr:cNvPr id="1564268" name="Picture 108" descr="LOGO DGI">
          <a:extLst>
            <a:ext uri="{FF2B5EF4-FFF2-40B4-BE49-F238E27FC236}">
              <a16:creationId xmlns:a16="http://schemas.microsoft.com/office/drawing/2014/main" id="{98CCFCD3-4301-4424-A7BF-02405BAE7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14159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323</xdr:row>
      <xdr:rowOff>152400</xdr:rowOff>
    </xdr:from>
    <xdr:to>
      <xdr:col>1</xdr:col>
      <xdr:colOff>0</xdr:colOff>
      <xdr:row>327</xdr:row>
      <xdr:rowOff>0</xdr:rowOff>
    </xdr:to>
    <xdr:pic>
      <xdr:nvPicPr>
        <xdr:cNvPr id="1564269" name="Picture 109" descr="LOGO DGI">
          <a:extLst>
            <a:ext uri="{FF2B5EF4-FFF2-40B4-BE49-F238E27FC236}">
              <a16:creationId xmlns:a16="http://schemas.microsoft.com/office/drawing/2014/main" id="{E85297AC-27FD-4A8C-8DE0-EB02A59A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42639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340</xdr:row>
      <xdr:rowOff>152400</xdr:rowOff>
    </xdr:from>
    <xdr:to>
      <xdr:col>1</xdr:col>
      <xdr:colOff>0</xdr:colOff>
      <xdr:row>344</xdr:row>
      <xdr:rowOff>0</xdr:rowOff>
    </xdr:to>
    <xdr:pic>
      <xdr:nvPicPr>
        <xdr:cNvPr id="1564270" name="Picture 110" descr="LOGO DGI">
          <a:extLst>
            <a:ext uri="{FF2B5EF4-FFF2-40B4-BE49-F238E27FC236}">
              <a16:creationId xmlns:a16="http://schemas.microsoft.com/office/drawing/2014/main" id="{8454E7F3-FD9A-4D0D-AFE8-EEDC6F2F0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711190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357</xdr:row>
      <xdr:rowOff>152400</xdr:rowOff>
    </xdr:from>
    <xdr:to>
      <xdr:col>1</xdr:col>
      <xdr:colOff>0</xdr:colOff>
      <xdr:row>361</xdr:row>
      <xdr:rowOff>0</xdr:rowOff>
    </xdr:to>
    <xdr:pic>
      <xdr:nvPicPr>
        <xdr:cNvPr id="1564271" name="Picture 111" descr="LOGO DGI">
          <a:extLst>
            <a:ext uri="{FF2B5EF4-FFF2-40B4-BE49-F238E27FC236}">
              <a16:creationId xmlns:a16="http://schemas.microsoft.com/office/drawing/2014/main" id="{B439C390-905F-4E83-96A0-251B088F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99598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66675</xdr:rowOff>
    </xdr:from>
    <xdr:to>
      <xdr:col>12</xdr:col>
      <xdr:colOff>381000</xdr:colOff>
      <xdr:row>4</xdr:row>
      <xdr:rowOff>9525</xdr:rowOff>
    </xdr:to>
    <xdr:sp macro="" textlink="">
      <xdr:nvSpPr>
        <xdr:cNvPr id="26629" name="CommandButton2" hidden="1">
          <a:extLst>
            <a:ext uri="{63B3BB69-23CF-44E3-9099-C40C66FF867C}">
              <a14:compatExt xmlns:a14="http://schemas.microsoft.com/office/drawing/2010/main" spid="_x0000_s26629"/>
            </a:ext>
            <a:ext uri="{FF2B5EF4-FFF2-40B4-BE49-F238E27FC236}">
              <a16:creationId xmlns:a16="http://schemas.microsoft.com/office/drawing/2014/main" id="{8327FC06-9EB9-4946-B9DD-05837242399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457200</xdr:colOff>
      <xdr:row>0</xdr:row>
      <xdr:rowOff>66675</xdr:rowOff>
    </xdr:from>
    <xdr:to>
      <xdr:col>11</xdr:col>
      <xdr:colOff>352425</xdr:colOff>
      <xdr:row>4</xdr:row>
      <xdr:rowOff>38100</xdr:rowOff>
    </xdr:to>
    <xdr:sp macro="" textlink="">
      <xdr:nvSpPr>
        <xdr:cNvPr id="26630" name="CommandButton1" hidden="1">
          <a:extLst>
            <a:ext uri="{63B3BB69-23CF-44E3-9099-C40C66FF867C}">
              <a14:compatExt xmlns:a14="http://schemas.microsoft.com/office/drawing/2010/main" spid="_x0000_s26630"/>
            </a:ext>
            <a:ext uri="{FF2B5EF4-FFF2-40B4-BE49-F238E27FC236}">
              <a16:creationId xmlns:a16="http://schemas.microsoft.com/office/drawing/2014/main" id="{BB35D1D4-F5D1-4288-903E-2A6B0446C67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371475</xdr:colOff>
      <xdr:row>5</xdr:row>
      <xdr:rowOff>28575</xdr:rowOff>
    </xdr:from>
    <xdr:to>
      <xdr:col>12</xdr:col>
      <xdr:colOff>342900</xdr:colOff>
      <xdr:row>8</xdr:row>
      <xdr:rowOff>123825</xdr:rowOff>
    </xdr:to>
    <xdr:sp macro="" textlink="">
      <xdr:nvSpPr>
        <xdr:cNvPr id="26631" name="CommandButton3" hidden="1">
          <a:extLst>
            <a:ext uri="{63B3BB69-23CF-44E3-9099-C40C66FF867C}">
              <a14:compatExt xmlns:a14="http://schemas.microsoft.com/office/drawing/2010/main" spid="_x0000_s26631"/>
            </a:ext>
            <a:ext uri="{FF2B5EF4-FFF2-40B4-BE49-F238E27FC236}">
              <a16:creationId xmlns:a16="http://schemas.microsoft.com/office/drawing/2014/main" id="{8443EB7E-BFB0-4BDD-B035-09E7CC3E7F0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447675</xdr:colOff>
      <xdr:row>5</xdr:row>
      <xdr:rowOff>28575</xdr:rowOff>
    </xdr:from>
    <xdr:to>
      <xdr:col>11</xdr:col>
      <xdr:colOff>352425</xdr:colOff>
      <xdr:row>8</xdr:row>
      <xdr:rowOff>104775</xdr:rowOff>
    </xdr:to>
    <xdr:sp macro="" textlink="">
      <xdr:nvSpPr>
        <xdr:cNvPr id="26632" name="CommandButton4" hidden="1">
          <a:extLst>
            <a:ext uri="{63B3BB69-23CF-44E3-9099-C40C66FF867C}">
              <a14:compatExt xmlns:a14="http://schemas.microsoft.com/office/drawing/2010/main" spid="_x0000_s26632"/>
            </a:ext>
            <a:ext uri="{FF2B5EF4-FFF2-40B4-BE49-F238E27FC236}">
              <a16:creationId xmlns:a16="http://schemas.microsoft.com/office/drawing/2014/main" id="{BD72AD27-45EC-4A33-8742-E4CB8DF0CBE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0</xdr:colOff>
      <xdr:row>3</xdr:row>
      <xdr:rowOff>152400</xdr:rowOff>
    </xdr:to>
    <xdr:pic>
      <xdr:nvPicPr>
        <xdr:cNvPr id="1567892" name="Picture 1" descr="LOGO DGI">
          <a:extLst>
            <a:ext uri="{FF2B5EF4-FFF2-40B4-BE49-F238E27FC236}">
              <a16:creationId xmlns:a16="http://schemas.microsoft.com/office/drawing/2014/main" id="{056920C3-0422-403B-8F10-594258B9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52400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7893" name="Picture 137" descr="LOGO DGI">
          <a:extLst>
            <a:ext uri="{FF2B5EF4-FFF2-40B4-BE49-F238E27FC236}">
              <a16:creationId xmlns:a16="http://schemas.microsoft.com/office/drawing/2014/main" id="{EE809FF8-E54B-4DC7-BC29-798AE5FD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7894" name="Picture 138" descr="LOGO DGI">
          <a:extLst>
            <a:ext uri="{FF2B5EF4-FFF2-40B4-BE49-F238E27FC236}">
              <a16:creationId xmlns:a16="http://schemas.microsoft.com/office/drawing/2014/main" id="{FC0010C1-7B0C-4F75-BE3C-E7B7C2920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7895" name="Picture 139" descr="LOGO DGI">
          <a:extLst>
            <a:ext uri="{FF2B5EF4-FFF2-40B4-BE49-F238E27FC236}">
              <a16:creationId xmlns:a16="http://schemas.microsoft.com/office/drawing/2014/main" id="{76EC0F17-FA84-400B-8585-B68D9592D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552450</xdr:colOff>
      <xdr:row>20</xdr:row>
      <xdr:rowOff>0</xdr:rowOff>
    </xdr:to>
    <xdr:pic>
      <xdr:nvPicPr>
        <xdr:cNvPr id="1567896" name="Picture 140" descr="LOGO DGI">
          <a:extLst>
            <a:ext uri="{FF2B5EF4-FFF2-40B4-BE49-F238E27FC236}">
              <a16:creationId xmlns:a16="http://schemas.microsoft.com/office/drawing/2014/main" id="{DEF9A58D-644F-4D69-A11A-AB04B264F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390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897" name="Picture 145" descr="LOGO DGI">
          <a:extLst>
            <a:ext uri="{FF2B5EF4-FFF2-40B4-BE49-F238E27FC236}">
              <a16:creationId xmlns:a16="http://schemas.microsoft.com/office/drawing/2014/main" id="{FFB5301A-63DC-40AB-9764-14E88DDC6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898" name="Picture 146" descr="LOGO DGI">
          <a:extLst>
            <a:ext uri="{FF2B5EF4-FFF2-40B4-BE49-F238E27FC236}">
              <a16:creationId xmlns:a16="http://schemas.microsoft.com/office/drawing/2014/main" id="{3C4D7D6F-E22C-48FF-A898-904A80D8D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899" name="Picture 147" descr="LOGO DGI">
          <a:extLst>
            <a:ext uri="{FF2B5EF4-FFF2-40B4-BE49-F238E27FC236}">
              <a16:creationId xmlns:a16="http://schemas.microsoft.com/office/drawing/2014/main" id="{309BAEA7-0F46-4C83-8A53-76230461D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900" name="Picture 148" descr="LOGO DGI">
          <a:extLst>
            <a:ext uri="{FF2B5EF4-FFF2-40B4-BE49-F238E27FC236}">
              <a16:creationId xmlns:a16="http://schemas.microsoft.com/office/drawing/2014/main" id="{9B267F33-8EEC-4186-A1FA-F3C8E6DF3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901" name="Picture 157" descr="LOGO DGI">
          <a:extLst>
            <a:ext uri="{FF2B5EF4-FFF2-40B4-BE49-F238E27FC236}">
              <a16:creationId xmlns:a16="http://schemas.microsoft.com/office/drawing/2014/main" id="{8080B568-49B5-4437-9CD4-55FC641CC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902" name="Picture 158" descr="LOGO DGI">
          <a:extLst>
            <a:ext uri="{FF2B5EF4-FFF2-40B4-BE49-F238E27FC236}">
              <a16:creationId xmlns:a16="http://schemas.microsoft.com/office/drawing/2014/main" id="{064CC3E5-3F7D-454D-A321-E24C808A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0</xdr:rowOff>
    </xdr:from>
    <xdr:to>
      <xdr:col>1</xdr:col>
      <xdr:colOff>0</xdr:colOff>
      <xdr:row>20</xdr:row>
      <xdr:rowOff>9525</xdr:rowOff>
    </xdr:to>
    <xdr:pic>
      <xdr:nvPicPr>
        <xdr:cNvPr id="1567903" name="Picture 159" descr="LOGO DGI">
          <a:extLst>
            <a:ext uri="{FF2B5EF4-FFF2-40B4-BE49-F238E27FC236}">
              <a16:creationId xmlns:a16="http://schemas.microsoft.com/office/drawing/2014/main" id="{34766E1B-5B5E-456B-8D89-5FEC5435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479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17</xdr:row>
      <xdr:rowOff>152400</xdr:rowOff>
    </xdr:from>
    <xdr:to>
      <xdr:col>1</xdr:col>
      <xdr:colOff>0</xdr:colOff>
      <xdr:row>21</xdr:row>
      <xdr:rowOff>0</xdr:rowOff>
    </xdr:to>
    <xdr:pic>
      <xdr:nvPicPr>
        <xdr:cNvPr id="1567904" name="Picture 160" descr="LOGO DGI">
          <a:extLst>
            <a:ext uri="{FF2B5EF4-FFF2-40B4-BE49-F238E27FC236}">
              <a16:creationId xmlns:a16="http://schemas.microsoft.com/office/drawing/2014/main" id="{AC169986-0922-41FE-AEAB-4663F4DF1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00037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34</xdr:row>
      <xdr:rowOff>152400</xdr:rowOff>
    </xdr:from>
    <xdr:to>
      <xdr:col>1</xdr:col>
      <xdr:colOff>0</xdr:colOff>
      <xdr:row>38</xdr:row>
      <xdr:rowOff>0</xdr:rowOff>
    </xdr:to>
    <xdr:pic>
      <xdr:nvPicPr>
        <xdr:cNvPr id="1567905" name="Picture 161" descr="LOGO DGI">
          <a:extLst>
            <a:ext uri="{FF2B5EF4-FFF2-40B4-BE49-F238E27FC236}">
              <a16:creationId xmlns:a16="http://schemas.microsoft.com/office/drawing/2014/main" id="{F41BCEAE-1B81-437F-B71C-A094810F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8483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51</xdr:row>
      <xdr:rowOff>152400</xdr:rowOff>
    </xdr:from>
    <xdr:to>
      <xdr:col>1</xdr:col>
      <xdr:colOff>0</xdr:colOff>
      <xdr:row>55</xdr:row>
      <xdr:rowOff>0</xdr:rowOff>
    </xdr:to>
    <xdr:pic>
      <xdr:nvPicPr>
        <xdr:cNvPr id="1567906" name="Picture 162" descr="LOGO DGI">
          <a:extLst>
            <a:ext uri="{FF2B5EF4-FFF2-40B4-BE49-F238E27FC236}">
              <a16:creationId xmlns:a16="http://schemas.microsoft.com/office/drawing/2014/main" id="{14E2FB45-0CF9-4A7B-BCC3-5EC05273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8696325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67</xdr:row>
      <xdr:rowOff>0</xdr:rowOff>
    </xdr:from>
    <xdr:to>
      <xdr:col>1</xdr:col>
      <xdr:colOff>0</xdr:colOff>
      <xdr:row>70</xdr:row>
      <xdr:rowOff>9525</xdr:rowOff>
    </xdr:to>
    <xdr:pic>
      <xdr:nvPicPr>
        <xdr:cNvPr id="1567907" name="Picture 163" descr="LOGO DGI">
          <a:extLst>
            <a:ext uri="{FF2B5EF4-FFF2-40B4-BE49-F238E27FC236}">
              <a16:creationId xmlns:a16="http://schemas.microsoft.com/office/drawing/2014/main" id="{61977F14-493B-413C-BAB8-28BD1F035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1220450"/>
          <a:ext cx="3905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171450</xdr:colOff>
      <xdr:row>1</xdr:row>
      <xdr:rowOff>28575</xdr:rowOff>
    </xdr:from>
    <xdr:to>
      <xdr:col>9</xdr:col>
      <xdr:colOff>295275</xdr:colOff>
      <xdr:row>4</xdr:row>
      <xdr:rowOff>76200</xdr:rowOff>
    </xdr:to>
    <xdr:sp macro="" textlink="">
      <xdr:nvSpPr>
        <xdr:cNvPr id="1159" name="CommandButton1" hidden="1">
          <a:extLst>
            <a:ext uri="{63B3BB69-23CF-44E3-9099-C40C66FF867C}">
              <a14:compatExt xmlns:a14="http://schemas.microsoft.com/office/drawing/2010/main" spid="_x0000_s1159"/>
            </a:ext>
            <a:ext uri="{FF2B5EF4-FFF2-40B4-BE49-F238E27FC236}">
              <a16:creationId xmlns:a16="http://schemas.microsoft.com/office/drawing/2014/main" id="{DC889263-9E83-4E64-A06A-124F92C915E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161925</xdr:colOff>
      <xdr:row>4</xdr:row>
      <xdr:rowOff>95250</xdr:rowOff>
    </xdr:from>
    <xdr:to>
      <xdr:col>10</xdr:col>
      <xdr:colOff>38100</xdr:colOff>
      <xdr:row>7</xdr:row>
      <xdr:rowOff>0</xdr:rowOff>
    </xdr:to>
    <xdr:sp macro="" textlink="">
      <xdr:nvSpPr>
        <xdr:cNvPr id="1160" name="CommandButton2" hidden="1">
          <a:extLst>
            <a:ext uri="{63B3BB69-23CF-44E3-9099-C40C66FF867C}">
              <a14:compatExt xmlns:a14="http://schemas.microsoft.com/office/drawing/2010/main" spid="_x0000_s1160"/>
            </a:ext>
            <a:ext uri="{FF2B5EF4-FFF2-40B4-BE49-F238E27FC236}">
              <a16:creationId xmlns:a16="http://schemas.microsoft.com/office/drawing/2014/main" id="{560EADC6-633C-43FA-A404-1F374AF26FC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0</xdr:row>
      <xdr:rowOff>85725</xdr:rowOff>
    </xdr:from>
    <xdr:to>
      <xdr:col>12</xdr:col>
      <xdr:colOff>190500</xdr:colOff>
      <xdr:row>4</xdr:row>
      <xdr:rowOff>28575</xdr:rowOff>
    </xdr:to>
    <xdr:sp macro="" textlink="">
      <xdr:nvSpPr>
        <xdr:cNvPr id="27649" name="CommandButton2" hidden="1">
          <a:extLst>
            <a:ext uri="{63B3BB69-23CF-44E3-9099-C40C66FF867C}">
              <a14:compatExt xmlns:a14="http://schemas.microsoft.com/office/drawing/2010/main" spid="_x0000_s27649"/>
            </a:ext>
            <a:ext uri="{FF2B5EF4-FFF2-40B4-BE49-F238E27FC236}">
              <a16:creationId xmlns:a16="http://schemas.microsoft.com/office/drawing/2014/main" id="{C6036AA0-DA27-48DA-B0D8-1395870CFB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152400</xdr:colOff>
      <xdr:row>0</xdr:row>
      <xdr:rowOff>76200</xdr:rowOff>
    </xdr:from>
    <xdr:to>
      <xdr:col>11</xdr:col>
      <xdr:colOff>104775</xdr:colOff>
      <xdr:row>4</xdr:row>
      <xdr:rowOff>47625</xdr:rowOff>
    </xdr:to>
    <xdr:sp macro="" textlink="">
      <xdr:nvSpPr>
        <xdr:cNvPr id="27650" name="CommandButton1" hidden="1">
          <a:extLst>
            <a:ext uri="{63B3BB69-23CF-44E3-9099-C40C66FF867C}">
              <a14:compatExt xmlns:a14="http://schemas.microsoft.com/office/drawing/2010/main" spid="_x0000_s27650"/>
            </a:ext>
            <a:ext uri="{FF2B5EF4-FFF2-40B4-BE49-F238E27FC236}">
              <a16:creationId xmlns:a16="http://schemas.microsoft.com/office/drawing/2014/main" id="{459A7A60-896D-4F01-884E-1A69AF4EE4D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11</xdr:col>
      <xdr:colOff>66675</xdr:colOff>
      <xdr:row>5</xdr:row>
      <xdr:rowOff>9525</xdr:rowOff>
    </xdr:from>
    <xdr:to>
      <xdr:col>12</xdr:col>
      <xdr:colOff>104775</xdr:colOff>
      <xdr:row>8</xdr:row>
      <xdr:rowOff>104775</xdr:rowOff>
    </xdr:to>
    <xdr:sp macro="" textlink="">
      <xdr:nvSpPr>
        <xdr:cNvPr id="27651" name="CommandButton3" hidden="1">
          <a:extLst>
            <a:ext uri="{63B3BB69-23CF-44E3-9099-C40C66FF867C}">
              <a14:compatExt xmlns:a14="http://schemas.microsoft.com/office/drawing/2010/main" spid="_x0000_s27651"/>
            </a:ext>
            <a:ext uri="{FF2B5EF4-FFF2-40B4-BE49-F238E27FC236}">
              <a16:creationId xmlns:a16="http://schemas.microsoft.com/office/drawing/2014/main" id="{33DD5A0F-8F1E-4375-9EF5-9790EE3174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10</xdr:col>
      <xdr:colOff>142875</xdr:colOff>
      <xdr:row>5</xdr:row>
      <xdr:rowOff>38100</xdr:rowOff>
    </xdr:from>
    <xdr:to>
      <xdr:col>11</xdr:col>
      <xdr:colOff>104775</xdr:colOff>
      <xdr:row>8</xdr:row>
      <xdr:rowOff>114300</xdr:rowOff>
    </xdr:to>
    <xdr:sp macro="" textlink="">
      <xdr:nvSpPr>
        <xdr:cNvPr id="27652" name="CommandButton4" hidden="1">
          <a:extLst>
            <a:ext uri="{63B3BB69-23CF-44E3-9099-C40C66FF867C}">
              <a14:compatExt xmlns:a14="http://schemas.microsoft.com/office/drawing/2010/main" spid="_x0000_s27652"/>
            </a:ext>
            <a:ext uri="{FF2B5EF4-FFF2-40B4-BE49-F238E27FC236}">
              <a16:creationId xmlns:a16="http://schemas.microsoft.com/office/drawing/2014/main" id="{A65FBA28-15A0-4996-9977-259412E0FB4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ONA5\C\Documents%20and%20Settings\marcelo\Configuraci&#243;n%20local\Archivos%20temporales%20de%20Internet\Content.IE5\26272RQJ\ecuaciones%20afor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juelas"/>
      <sheetName val="aforadores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9"/>
  <dimension ref="B1:AA68"/>
  <sheetViews>
    <sheetView zoomScale="75" workbookViewId="0" xr3:uid="{AEA406A1-0E4B-5B11-9CD5-51D6E497D94C}">
      <selection activeCell="R17" sqref="Q17:R17"/>
    </sheetView>
  </sheetViews>
  <sheetFormatPr defaultRowHeight="12.75"/>
  <cols>
    <col min="1" max="1" width="4.28515625" customWidth="1"/>
    <col min="2" max="3" width="11.42578125" customWidth="1"/>
    <col min="4" max="4" width="3.42578125" customWidth="1"/>
    <col min="5" max="6" width="11.42578125" customWidth="1"/>
    <col min="7" max="7" width="3.140625" customWidth="1"/>
    <col min="8" max="9" width="11.42578125" customWidth="1"/>
    <col min="10" max="10" width="3.85546875" customWidth="1"/>
    <col min="11" max="12" width="11.42578125" customWidth="1"/>
    <col min="13" max="13" width="4.85546875" customWidth="1"/>
    <col min="14" max="15" width="11.42578125" customWidth="1"/>
    <col min="16" max="16" width="4.5703125" customWidth="1"/>
    <col min="17" max="17" width="11.42578125" customWidth="1"/>
    <col min="18" max="18" width="13.28515625" customWidth="1"/>
    <col min="19" max="19" width="5.85546875" customWidth="1"/>
    <col min="20" max="21" width="11.42578125" customWidth="1"/>
    <col min="22" max="22" width="5.7109375" customWidth="1"/>
    <col min="23" max="24" width="11.42578125" customWidth="1"/>
    <col min="25" max="25" width="5.85546875" customWidth="1"/>
    <col min="26" max="256" width="11.42578125" customWidth="1"/>
  </cols>
  <sheetData>
    <row r="1" spans="2:27" ht="13.5" thickBot="1"/>
    <row r="2" spans="2:27">
      <c r="B2" s="642" t="s">
        <v>0</v>
      </c>
      <c r="C2" s="643"/>
      <c r="E2" s="642" t="s">
        <v>1</v>
      </c>
      <c r="F2" s="643"/>
      <c r="H2" s="638" t="s">
        <v>2</v>
      </c>
      <c r="I2" s="639"/>
      <c r="K2" s="638" t="s">
        <v>3</v>
      </c>
      <c r="L2" s="639"/>
      <c r="N2" s="638" t="s">
        <v>4</v>
      </c>
      <c r="O2" s="639"/>
      <c r="Q2" s="640" t="s">
        <v>5</v>
      </c>
      <c r="R2" s="641"/>
      <c r="T2" s="638" t="s">
        <v>6</v>
      </c>
      <c r="U2" s="639"/>
      <c r="W2" s="638" t="s">
        <v>7</v>
      </c>
      <c r="X2" s="639"/>
      <c r="Z2" s="638" t="s">
        <v>8</v>
      </c>
      <c r="AA2" s="639"/>
    </row>
    <row r="3" spans="2:27" ht="13.5" thickBot="1">
      <c r="B3" s="207" t="s">
        <v>9</v>
      </c>
      <c r="C3" s="208" t="s">
        <v>10</v>
      </c>
      <c r="E3" s="207" t="s">
        <v>9</v>
      </c>
      <c r="F3" s="208" t="s">
        <v>10</v>
      </c>
      <c r="H3" s="230" t="s">
        <v>9</v>
      </c>
      <c r="I3" s="231" t="s">
        <v>10</v>
      </c>
      <c r="K3" s="230" t="s">
        <v>9</v>
      </c>
      <c r="L3" s="231" t="s">
        <v>10</v>
      </c>
      <c r="N3" s="230" t="s">
        <v>9</v>
      </c>
      <c r="O3" s="231" t="s">
        <v>10</v>
      </c>
      <c r="Q3" s="230" t="s">
        <v>9</v>
      </c>
      <c r="R3" s="231" t="s">
        <v>10</v>
      </c>
      <c r="T3" s="230" t="s">
        <v>9</v>
      </c>
      <c r="U3" s="231" t="s">
        <v>10</v>
      </c>
      <c r="W3" s="230" t="s">
        <v>9</v>
      </c>
      <c r="X3" s="231" t="s">
        <v>10</v>
      </c>
      <c r="Z3" s="230" t="s">
        <v>9</v>
      </c>
      <c r="AA3" s="231" t="s">
        <v>10</v>
      </c>
    </row>
    <row r="4" spans="2:27" ht="13.5" thickTop="1">
      <c r="B4" s="46">
        <v>29</v>
      </c>
      <c r="C4" s="204">
        <v>26.3079</v>
      </c>
      <c r="E4" s="31">
        <v>26</v>
      </c>
      <c r="F4" s="205">
        <v>25.353000000000002</v>
      </c>
      <c r="H4" s="46">
        <v>23</v>
      </c>
      <c r="I4" s="204">
        <v>25.392199999999999</v>
      </c>
      <c r="K4" s="46">
        <v>26</v>
      </c>
      <c r="L4" s="204">
        <v>28.930800000000001</v>
      </c>
      <c r="N4" s="228">
        <v>9</v>
      </c>
      <c r="O4" s="229">
        <v>22</v>
      </c>
      <c r="Q4" s="46">
        <v>8</v>
      </c>
      <c r="R4" s="204">
        <v>33.771799999999999</v>
      </c>
      <c r="T4" s="46">
        <v>12</v>
      </c>
      <c r="U4" s="204">
        <v>41.190600000000003</v>
      </c>
      <c r="W4" s="46">
        <v>25</v>
      </c>
      <c r="X4" s="222">
        <v>24</v>
      </c>
      <c r="Z4" s="46">
        <v>21</v>
      </c>
      <c r="AA4" s="222">
        <v>19</v>
      </c>
    </row>
    <row r="5" spans="2:27">
      <c r="B5" s="31">
        <v>30</v>
      </c>
      <c r="C5" s="205">
        <v>31.6145</v>
      </c>
      <c r="E5" s="31">
        <v>27</v>
      </c>
      <c r="F5" s="205">
        <v>31.237200000000001</v>
      </c>
      <c r="H5" s="31">
        <v>24</v>
      </c>
      <c r="I5" s="205">
        <v>30.630600000000001</v>
      </c>
      <c r="K5" s="31">
        <v>27</v>
      </c>
      <c r="L5" s="205">
        <v>34.166499999999999</v>
      </c>
      <c r="N5" s="31">
        <v>11</v>
      </c>
      <c r="O5" s="205">
        <v>30.781300000000002</v>
      </c>
      <c r="Q5" s="31">
        <v>9</v>
      </c>
      <c r="R5" s="205">
        <v>40.667299999999997</v>
      </c>
      <c r="T5" s="31">
        <v>13</v>
      </c>
      <c r="U5" s="205">
        <v>46.753300000000003</v>
      </c>
      <c r="W5" s="31">
        <v>26</v>
      </c>
      <c r="X5" s="220">
        <v>30</v>
      </c>
      <c r="Z5" s="31">
        <v>22</v>
      </c>
      <c r="AA5" s="220">
        <v>24</v>
      </c>
    </row>
    <row r="6" spans="2:27">
      <c r="B6" s="31">
        <v>31</v>
      </c>
      <c r="C6" s="205">
        <v>37.266500000000001</v>
      </c>
      <c r="E6" s="31">
        <v>28</v>
      </c>
      <c r="F6" s="205">
        <v>37.552900000000001</v>
      </c>
      <c r="H6" s="31">
        <v>25</v>
      </c>
      <c r="I6" s="205">
        <v>36.2258</v>
      </c>
      <c r="K6" s="46">
        <v>28</v>
      </c>
      <c r="L6" s="205">
        <v>39.718899999999998</v>
      </c>
      <c r="N6" s="31">
        <v>12</v>
      </c>
      <c r="O6" s="205">
        <v>35.319699999999997</v>
      </c>
      <c r="Q6" s="31">
        <v>10</v>
      </c>
      <c r="R6" s="205">
        <v>48.028700000000001</v>
      </c>
      <c r="T6" s="31">
        <v>14</v>
      </c>
      <c r="U6" s="205">
        <v>52.572200000000002</v>
      </c>
      <c r="W6" s="31">
        <v>27</v>
      </c>
      <c r="X6" s="220">
        <v>37</v>
      </c>
      <c r="Z6" s="31">
        <v>23</v>
      </c>
      <c r="AA6" s="220">
        <v>30</v>
      </c>
    </row>
    <row r="7" spans="2:27">
      <c r="B7" s="31">
        <v>32</v>
      </c>
      <c r="C7" s="205">
        <v>43.25</v>
      </c>
      <c r="E7" s="31">
        <v>29</v>
      </c>
      <c r="F7" s="205">
        <v>44.284100000000002</v>
      </c>
      <c r="H7" s="31">
        <v>26</v>
      </c>
      <c r="I7" s="205">
        <v>42.159300000000002</v>
      </c>
      <c r="K7" s="31">
        <v>29</v>
      </c>
      <c r="L7" s="205">
        <v>45.577500000000001</v>
      </c>
      <c r="N7" s="31">
        <v>13</v>
      </c>
      <c r="O7" s="205">
        <v>40.090600000000002</v>
      </c>
      <c r="Q7" s="31">
        <v>11</v>
      </c>
      <c r="R7" s="205">
        <v>55.840400000000002</v>
      </c>
      <c r="T7" s="31">
        <v>15</v>
      </c>
      <c r="U7" s="205">
        <v>58.642699999999998</v>
      </c>
      <c r="W7" s="31">
        <v>28</v>
      </c>
      <c r="X7" s="220">
        <v>45</v>
      </c>
      <c r="Z7" s="31">
        <v>24</v>
      </c>
      <c r="AA7" s="220">
        <v>36</v>
      </c>
    </row>
    <row r="8" spans="2:27">
      <c r="B8" s="31">
        <v>33</v>
      </c>
      <c r="C8" s="205">
        <v>49.5518</v>
      </c>
      <c r="E8" s="31">
        <v>30</v>
      </c>
      <c r="F8" s="205">
        <v>51.411499999999997</v>
      </c>
      <c r="H8" s="31">
        <v>27</v>
      </c>
      <c r="I8" s="205">
        <v>48.424599999999998</v>
      </c>
      <c r="K8" s="46">
        <v>30</v>
      </c>
      <c r="L8" s="205">
        <v>51.735700000000001</v>
      </c>
      <c r="N8" s="31">
        <v>14</v>
      </c>
      <c r="O8" s="205">
        <v>45.0886</v>
      </c>
      <c r="Q8" s="31">
        <v>12</v>
      </c>
      <c r="R8" s="205">
        <v>64.092200000000005</v>
      </c>
      <c r="T8" s="31">
        <v>16</v>
      </c>
      <c r="U8" s="205">
        <v>64.956999999999994</v>
      </c>
      <c r="W8" s="31">
        <v>29</v>
      </c>
      <c r="X8" s="220">
        <v>53</v>
      </c>
      <c r="Z8" s="31">
        <v>25</v>
      </c>
      <c r="AA8" s="220">
        <v>42</v>
      </c>
    </row>
    <row r="9" spans="2:27">
      <c r="B9" s="31">
        <v>34</v>
      </c>
      <c r="C9" s="205">
        <v>56.165700000000001</v>
      </c>
      <c r="E9" s="31">
        <v>31</v>
      </c>
      <c r="F9" s="205">
        <v>58.925899999999999</v>
      </c>
      <c r="H9" s="31">
        <v>28</v>
      </c>
      <c r="I9" s="205">
        <v>55.009399999999999</v>
      </c>
      <c r="K9" s="31">
        <v>31</v>
      </c>
      <c r="L9" s="205">
        <v>58.182200000000002</v>
      </c>
      <c r="N9" s="31">
        <v>15</v>
      </c>
      <c r="O9" s="205">
        <v>50.307200000000002</v>
      </c>
      <c r="Q9" s="31">
        <v>13</v>
      </c>
      <c r="R9" s="205">
        <v>72.769099999999995</v>
      </c>
      <c r="T9" s="31">
        <v>17</v>
      </c>
      <c r="U9" s="205">
        <v>71.513400000000004</v>
      </c>
      <c r="W9" s="31">
        <v>30</v>
      </c>
      <c r="X9" s="220">
        <v>61</v>
      </c>
      <c r="Z9" s="31">
        <v>26</v>
      </c>
      <c r="AA9" s="220">
        <v>49</v>
      </c>
    </row>
    <row r="10" spans="2:27">
      <c r="B10" s="31">
        <v>35</v>
      </c>
      <c r="C10" s="205">
        <v>63.0807</v>
      </c>
      <c r="E10" s="31">
        <v>32</v>
      </c>
      <c r="F10" s="205">
        <v>66.813299999999998</v>
      </c>
      <c r="H10" s="31">
        <v>29</v>
      </c>
      <c r="I10" s="205">
        <v>61.904899999999998</v>
      </c>
      <c r="K10" s="46">
        <v>32</v>
      </c>
      <c r="L10" s="205">
        <v>64.914500000000004</v>
      </c>
      <c r="N10" s="31">
        <v>16</v>
      </c>
      <c r="O10" s="205">
        <v>55.742199999999997</v>
      </c>
      <c r="Q10" s="31">
        <v>14</v>
      </c>
      <c r="R10" s="205">
        <v>81.860500000000002</v>
      </c>
      <c r="T10" s="31">
        <v>18</v>
      </c>
      <c r="U10" s="205">
        <v>78.303899999999999</v>
      </c>
      <c r="W10" s="31">
        <v>31</v>
      </c>
      <c r="X10" s="220">
        <v>70</v>
      </c>
      <c r="Z10" s="31">
        <v>27</v>
      </c>
      <c r="AA10" s="220">
        <v>56</v>
      </c>
    </row>
    <row r="11" spans="2:27">
      <c r="B11" s="31">
        <v>36</v>
      </c>
      <c r="C11" s="205">
        <v>70.291700000000006</v>
      </c>
      <c r="E11" s="31">
        <v>33</v>
      </c>
      <c r="F11" s="205">
        <v>75.065299999999993</v>
      </c>
      <c r="H11" s="31">
        <v>30</v>
      </c>
      <c r="I11" s="205">
        <v>69.106700000000004</v>
      </c>
      <c r="K11" s="31">
        <v>33</v>
      </c>
      <c r="L11" s="205">
        <v>71.924000000000007</v>
      </c>
      <c r="N11" s="31">
        <v>17</v>
      </c>
      <c r="O11" s="205">
        <v>61.3872</v>
      </c>
      <c r="Q11" s="31">
        <v>15</v>
      </c>
      <c r="R11" s="205">
        <v>91.357200000000006</v>
      </c>
      <c r="T11" s="31">
        <v>19</v>
      </c>
      <c r="U11" s="205">
        <v>85.327399999999997</v>
      </c>
      <c r="W11" s="31">
        <v>32</v>
      </c>
      <c r="X11" s="220">
        <v>79</v>
      </c>
      <c r="Z11" s="31">
        <v>28</v>
      </c>
      <c r="AA11" s="220">
        <v>63</v>
      </c>
    </row>
    <row r="12" spans="2:27">
      <c r="B12" s="31">
        <v>37</v>
      </c>
      <c r="C12" s="205">
        <v>77.7898</v>
      </c>
      <c r="E12" s="31">
        <v>34</v>
      </c>
      <c r="F12" s="205">
        <v>83.674099999999996</v>
      </c>
      <c r="H12" s="31">
        <v>31</v>
      </c>
      <c r="I12" s="205">
        <v>76.603399999999993</v>
      </c>
      <c r="K12" s="46">
        <v>34</v>
      </c>
      <c r="L12" s="205">
        <v>79.204800000000006</v>
      </c>
      <c r="N12" s="31">
        <v>18</v>
      </c>
      <c r="O12" s="205">
        <v>67.239000000000004</v>
      </c>
      <c r="Q12" s="31">
        <v>16</v>
      </c>
      <c r="R12" s="205">
        <v>101.2487</v>
      </c>
      <c r="T12" s="31">
        <v>20</v>
      </c>
      <c r="U12" s="205">
        <v>92.5779</v>
      </c>
      <c r="W12" s="31">
        <v>33</v>
      </c>
      <c r="X12" s="220">
        <v>90</v>
      </c>
      <c r="Z12" s="31">
        <v>29</v>
      </c>
      <c r="AA12" s="220">
        <v>71</v>
      </c>
    </row>
    <row r="13" spans="2:27">
      <c r="B13" s="31">
        <v>38</v>
      </c>
      <c r="C13" s="205">
        <v>85.570999999999998</v>
      </c>
      <c r="E13" s="31">
        <v>35</v>
      </c>
      <c r="F13" s="205">
        <v>92.630499999999998</v>
      </c>
      <c r="H13" s="31">
        <v>32</v>
      </c>
      <c r="I13" s="205">
        <v>84.394099999999995</v>
      </c>
      <c r="K13" s="31">
        <v>35</v>
      </c>
      <c r="L13" s="205">
        <v>86.752399999999994</v>
      </c>
      <c r="N13" s="31">
        <v>19</v>
      </c>
      <c r="O13" s="205">
        <v>73.292299999999997</v>
      </c>
      <c r="Q13" s="31">
        <v>17</v>
      </c>
      <c r="R13" s="205">
        <v>111.5312</v>
      </c>
      <c r="T13" s="31">
        <v>21</v>
      </c>
      <c r="U13" s="205">
        <v>100.0513</v>
      </c>
      <c r="W13" s="31">
        <v>34</v>
      </c>
      <c r="X13" s="220">
        <v>100</v>
      </c>
      <c r="Z13" s="31">
        <v>30</v>
      </c>
      <c r="AA13" s="220">
        <v>80</v>
      </c>
    </row>
    <row r="14" spans="2:27">
      <c r="B14" s="31">
        <v>39</v>
      </c>
      <c r="C14" s="205">
        <v>93.63</v>
      </c>
      <c r="E14" s="31">
        <v>36</v>
      </c>
      <c r="F14" s="205">
        <v>101.92870000000001</v>
      </c>
      <c r="H14" s="31">
        <v>33</v>
      </c>
      <c r="I14" s="205">
        <v>92.470299999999995</v>
      </c>
      <c r="K14" s="46">
        <v>36</v>
      </c>
      <c r="L14" s="205">
        <v>94.560299999999998</v>
      </c>
      <c r="N14" s="31">
        <v>20</v>
      </c>
      <c r="O14" s="205">
        <v>79.5458</v>
      </c>
      <c r="Q14" s="31">
        <v>18</v>
      </c>
      <c r="R14" s="205">
        <v>122.19029999999999</v>
      </c>
      <c r="T14" s="31">
        <v>22</v>
      </c>
      <c r="U14" s="205">
        <v>107.7456</v>
      </c>
      <c r="W14" s="31">
        <v>35</v>
      </c>
      <c r="X14" s="220">
        <v>110</v>
      </c>
      <c r="Z14" s="31">
        <v>31</v>
      </c>
      <c r="AA14" s="220">
        <v>88</v>
      </c>
    </row>
    <row r="15" spans="2:27">
      <c r="B15" s="31">
        <v>40</v>
      </c>
      <c r="C15" s="205">
        <v>101.9589</v>
      </c>
      <c r="E15" s="31">
        <v>37</v>
      </c>
      <c r="F15" s="205">
        <v>111.5591</v>
      </c>
      <c r="H15" s="31">
        <v>34</v>
      </c>
      <c r="I15" s="205">
        <v>100.8282</v>
      </c>
      <c r="K15" s="31">
        <v>37</v>
      </c>
      <c r="L15" s="205">
        <v>102.6249</v>
      </c>
      <c r="N15" s="31">
        <v>21</v>
      </c>
      <c r="O15" s="205">
        <v>85.995000000000005</v>
      </c>
      <c r="Q15" s="31">
        <v>19</v>
      </c>
      <c r="R15" s="205">
        <v>133.2227</v>
      </c>
      <c r="T15" s="31">
        <v>23</v>
      </c>
      <c r="U15" s="205">
        <v>115.6542</v>
      </c>
      <c r="W15" s="31">
        <v>36</v>
      </c>
      <c r="X15" s="220">
        <v>122</v>
      </c>
      <c r="Z15" s="31">
        <v>32</v>
      </c>
      <c r="AA15" s="220">
        <v>97</v>
      </c>
    </row>
    <row r="16" spans="2:27">
      <c r="B16" s="31">
        <v>41</v>
      </c>
      <c r="C16" s="205">
        <v>110.5545</v>
      </c>
      <c r="E16" s="31">
        <v>38</v>
      </c>
      <c r="F16" s="205">
        <v>121.51730000000001</v>
      </c>
      <c r="H16" s="31">
        <v>35</v>
      </c>
      <c r="I16" s="205">
        <v>109.45950000000001</v>
      </c>
      <c r="K16" s="46">
        <v>38</v>
      </c>
      <c r="L16" s="205">
        <v>110.9418</v>
      </c>
      <c r="N16" s="31">
        <v>22</v>
      </c>
      <c r="O16" s="205">
        <v>92.636899999999997</v>
      </c>
      <c r="Q16" s="31">
        <v>20</v>
      </c>
      <c r="R16" s="205">
        <v>144.62190000000001</v>
      </c>
      <c r="T16" s="31">
        <v>24</v>
      </c>
      <c r="U16" s="205">
        <v>123.7756</v>
      </c>
      <c r="W16" s="31">
        <v>37</v>
      </c>
      <c r="X16" s="220">
        <v>133</v>
      </c>
      <c r="Z16" s="31">
        <v>33</v>
      </c>
      <c r="AA16" s="220">
        <v>106</v>
      </c>
    </row>
    <row r="17" spans="2:27">
      <c r="B17" s="31">
        <v>42</v>
      </c>
      <c r="C17" s="205">
        <v>119.41249999999999</v>
      </c>
      <c r="E17" s="31">
        <v>39</v>
      </c>
      <c r="F17" s="205">
        <v>131.80189999999999</v>
      </c>
      <c r="H17" s="31">
        <v>36</v>
      </c>
      <c r="I17" s="205">
        <v>118.36069999999999</v>
      </c>
      <c r="K17" s="31">
        <v>39</v>
      </c>
      <c r="L17" s="205">
        <v>119.5104</v>
      </c>
      <c r="N17" s="31">
        <v>23</v>
      </c>
      <c r="O17" s="205">
        <v>99.470699999999994</v>
      </c>
      <c r="Q17" s="31">
        <v>21</v>
      </c>
      <c r="R17" s="205">
        <v>156.38059999999999</v>
      </c>
      <c r="T17" s="31">
        <v>25</v>
      </c>
      <c r="U17" s="205">
        <v>132.10669999999999</v>
      </c>
      <c r="W17" s="31">
        <v>38</v>
      </c>
      <c r="X17" s="220">
        <v>145</v>
      </c>
      <c r="Z17" s="31">
        <v>34</v>
      </c>
      <c r="AA17" s="220">
        <v>116</v>
      </c>
    </row>
    <row r="18" spans="2:27">
      <c r="B18" s="31">
        <v>43</v>
      </c>
      <c r="C18" s="205">
        <v>128.5333</v>
      </c>
      <c r="E18" s="31">
        <v>40</v>
      </c>
      <c r="F18" s="205">
        <v>142.3991</v>
      </c>
      <c r="H18" s="31">
        <v>37</v>
      </c>
      <c r="I18" s="205">
        <v>127.5286</v>
      </c>
      <c r="K18" s="46">
        <v>40</v>
      </c>
      <c r="L18" s="205">
        <v>128.32</v>
      </c>
      <c r="N18" s="31">
        <v>24</v>
      </c>
      <c r="O18" s="205">
        <v>106.4911</v>
      </c>
      <c r="Q18" s="31">
        <v>22</v>
      </c>
      <c r="R18" s="205">
        <v>168.49590000000001</v>
      </c>
      <c r="T18" s="31">
        <v>26</v>
      </c>
      <c r="U18" s="205">
        <v>140.642</v>
      </c>
      <c r="W18" s="31">
        <v>39</v>
      </c>
      <c r="X18" s="220">
        <v>157</v>
      </c>
      <c r="Z18" s="31">
        <v>35</v>
      </c>
      <c r="AA18" s="220">
        <v>126</v>
      </c>
    </row>
    <row r="19" spans="2:27">
      <c r="B19" s="31">
        <v>44</v>
      </c>
      <c r="C19" s="205">
        <v>137.904</v>
      </c>
      <c r="E19" s="31">
        <v>41</v>
      </c>
      <c r="F19" s="205">
        <v>153.3083</v>
      </c>
      <c r="H19" s="31">
        <v>38</v>
      </c>
      <c r="I19" s="205">
        <v>136.95859999999999</v>
      </c>
      <c r="K19" s="31">
        <v>41</v>
      </c>
      <c r="L19" s="205">
        <v>137.369</v>
      </c>
      <c r="N19" s="31">
        <v>25</v>
      </c>
      <c r="O19" s="205">
        <v>113.7208</v>
      </c>
      <c r="Q19" s="31">
        <v>23</v>
      </c>
      <c r="R19" s="205">
        <v>180.96090000000001</v>
      </c>
      <c r="T19" s="31">
        <v>27</v>
      </c>
      <c r="U19" s="205">
        <v>149.3836</v>
      </c>
      <c r="W19" s="31">
        <v>40</v>
      </c>
      <c r="X19" s="220">
        <v>170</v>
      </c>
      <c r="Z19" s="31">
        <v>36</v>
      </c>
      <c r="AA19" s="220">
        <v>136</v>
      </c>
    </row>
    <row r="20" spans="2:27">
      <c r="B20" s="31">
        <v>45</v>
      </c>
      <c r="C20" s="205">
        <v>147.52549999999999</v>
      </c>
      <c r="E20" s="31">
        <v>42</v>
      </c>
      <c r="F20" s="205">
        <v>164.52500000000001</v>
      </c>
      <c r="H20" s="31">
        <v>39</v>
      </c>
      <c r="I20" s="205">
        <v>146.64680000000001</v>
      </c>
      <c r="K20" s="46">
        <v>42</v>
      </c>
      <c r="L20" s="205">
        <v>146.65719999999999</v>
      </c>
      <c r="N20" s="31">
        <v>26</v>
      </c>
      <c r="O20" s="205">
        <v>121.134</v>
      </c>
      <c r="Q20" s="31">
        <v>24</v>
      </c>
      <c r="R20" s="205">
        <v>193.7705</v>
      </c>
      <c r="T20" s="31">
        <v>28</v>
      </c>
      <c r="U20" s="205">
        <v>158.32650000000001</v>
      </c>
      <c r="W20" s="31">
        <v>41</v>
      </c>
      <c r="X20" s="220">
        <v>183</v>
      </c>
      <c r="Z20" s="31">
        <v>37</v>
      </c>
      <c r="AA20" s="220">
        <v>146</v>
      </c>
    </row>
    <row r="21" spans="2:27" ht="13.5" thickBot="1">
      <c r="B21" s="32">
        <v>46</v>
      </c>
      <c r="C21" s="206">
        <v>157.39429999999999</v>
      </c>
      <c r="E21" s="31">
        <v>43</v>
      </c>
      <c r="F21" s="205">
        <v>176.04490000000001</v>
      </c>
      <c r="H21" s="31">
        <v>40</v>
      </c>
      <c r="I21" s="205">
        <v>156.5943</v>
      </c>
      <c r="K21" s="31">
        <v>43</v>
      </c>
      <c r="L21" s="205">
        <v>156.1797</v>
      </c>
      <c r="N21" s="31">
        <v>27</v>
      </c>
      <c r="O21" s="205">
        <v>128.72819999999999</v>
      </c>
      <c r="Q21" s="31">
        <v>25</v>
      </c>
      <c r="R21" s="205">
        <v>206.91980000000001</v>
      </c>
      <c r="T21" s="31">
        <v>29</v>
      </c>
      <c r="U21" s="205">
        <v>167.47409999999999</v>
      </c>
      <c r="W21" s="31">
        <v>42</v>
      </c>
      <c r="X21" s="220">
        <v>197</v>
      </c>
      <c r="Z21" s="31">
        <v>38</v>
      </c>
      <c r="AA21" s="220">
        <v>157</v>
      </c>
    </row>
    <row r="22" spans="2:27">
      <c r="E22" s="31">
        <v>44</v>
      </c>
      <c r="F22" s="205">
        <v>187.864</v>
      </c>
      <c r="H22" s="31">
        <v>41</v>
      </c>
      <c r="I22" s="205">
        <v>166.786</v>
      </c>
      <c r="K22" s="46">
        <v>44</v>
      </c>
      <c r="L22" s="205">
        <v>165.9333</v>
      </c>
      <c r="N22" s="31">
        <v>28</v>
      </c>
      <c r="O22" s="205">
        <v>136.501</v>
      </c>
      <c r="Q22" s="31">
        <v>26</v>
      </c>
      <c r="R22" s="205">
        <v>220.40170000000001</v>
      </c>
      <c r="T22" s="31">
        <v>30</v>
      </c>
      <c r="U22" s="205">
        <v>176.8527</v>
      </c>
      <c r="W22" s="31">
        <v>43</v>
      </c>
      <c r="X22" s="220">
        <v>210</v>
      </c>
      <c r="Z22" s="31">
        <v>39</v>
      </c>
      <c r="AA22" s="220">
        <v>169</v>
      </c>
    </row>
    <row r="23" spans="2:27" ht="13.5" thickBot="1">
      <c r="E23" s="31">
        <v>45</v>
      </c>
      <c r="F23" s="205">
        <v>199.97819999999999</v>
      </c>
      <c r="H23" s="31">
        <v>42</v>
      </c>
      <c r="I23" s="205">
        <v>177.22739999999999</v>
      </c>
      <c r="K23" s="31">
        <v>45</v>
      </c>
      <c r="L23" s="205">
        <v>175.9151</v>
      </c>
      <c r="N23" s="31">
        <v>29</v>
      </c>
      <c r="O23" s="205">
        <v>144.4503</v>
      </c>
      <c r="Q23" s="31">
        <v>27</v>
      </c>
      <c r="R23" s="205">
        <v>234.21690000000001</v>
      </c>
      <c r="T23" s="31">
        <v>31</v>
      </c>
      <c r="U23" s="205">
        <v>186.4308</v>
      </c>
      <c r="W23" s="31">
        <v>44</v>
      </c>
      <c r="X23" s="220">
        <v>224</v>
      </c>
      <c r="Z23" s="32">
        <v>40</v>
      </c>
      <c r="AA23" s="221">
        <v>180</v>
      </c>
    </row>
    <row r="24" spans="2:27">
      <c r="E24" s="31">
        <v>46</v>
      </c>
      <c r="F24" s="205">
        <v>212.38229999999999</v>
      </c>
      <c r="H24" s="31">
        <v>43</v>
      </c>
      <c r="I24" s="205">
        <v>187.91319999999999</v>
      </c>
      <c r="K24" s="46">
        <v>46</v>
      </c>
      <c r="L24" s="205">
        <v>186.12219999999999</v>
      </c>
      <c r="N24" s="31">
        <v>30</v>
      </c>
      <c r="O24" s="205">
        <v>152.57550000000001</v>
      </c>
      <c r="Q24" s="31">
        <v>28</v>
      </c>
      <c r="R24" s="205">
        <v>248.35820000000001</v>
      </c>
      <c r="T24" s="31">
        <v>32</v>
      </c>
      <c r="U24" s="205">
        <v>196.20079999999999</v>
      </c>
      <c r="W24" s="31">
        <v>45</v>
      </c>
      <c r="X24" s="220">
        <v>239</v>
      </c>
    </row>
    <row r="25" spans="2:27">
      <c r="E25" s="31">
        <v>47</v>
      </c>
      <c r="F25" s="205">
        <v>225.0761</v>
      </c>
      <c r="H25" s="31">
        <v>44</v>
      </c>
      <c r="I25" s="205">
        <v>198.84030000000001</v>
      </c>
      <c r="K25" s="31">
        <v>47</v>
      </c>
      <c r="L25" s="205">
        <v>196.55199999999999</v>
      </c>
      <c r="N25" s="31">
        <v>31</v>
      </c>
      <c r="O25" s="205">
        <v>160.87100000000001</v>
      </c>
      <c r="Q25" s="31">
        <v>29</v>
      </c>
      <c r="R25" s="205">
        <v>262.82249999999999</v>
      </c>
      <c r="T25" s="31">
        <v>33</v>
      </c>
      <c r="U25" s="205">
        <v>206.1636</v>
      </c>
      <c r="W25" s="31">
        <v>46</v>
      </c>
      <c r="X25" s="220">
        <v>254</v>
      </c>
    </row>
    <row r="26" spans="2:27">
      <c r="E26" s="31">
        <v>48</v>
      </c>
      <c r="F26" s="205">
        <v>238.05459999999999</v>
      </c>
      <c r="H26" s="31">
        <v>45</v>
      </c>
      <c r="I26" s="205">
        <v>210.00569999999999</v>
      </c>
      <c r="K26" s="46">
        <v>48</v>
      </c>
      <c r="L26" s="205">
        <v>207.2124</v>
      </c>
      <c r="N26" s="31">
        <v>32</v>
      </c>
      <c r="O26" s="205">
        <v>169.33670000000001</v>
      </c>
      <c r="Q26" s="31">
        <v>30</v>
      </c>
      <c r="R26" s="205">
        <v>277.60559999999998</v>
      </c>
      <c r="T26" s="31">
        <v>34</v>
      </c>
      <c r="U26" s="205">
        <v>216.31700000000001</v>
      </c>
      <c r="W26" s="31">
        <v>47</v>
      </c>
      <c r="X26" s="220">
        <v>269</v>
      </c>
    </row>
    <row r="27" spans="2:27">
      <c r="E27" s="31">
        <v>49</v>
      </c>
      <c r="F27" s="205">
        <v>251.31270000000001</v>
      </c>
      <c r="H27" s="31">
        <v>46</v>
      </c>
      <c r="I27" s="205">
        <v>221.4067</v>
      </c>
      <c r="K27" s="31">
        <v>49</v>
      </c>
      <c r="L27" s="205">
        <v>218.1163</v>
      </c>
      <c r="N27" s="31">
        <v>33</v>
      </c>
      <c r="O27" s="205">
        <v>177.97069999999999</v>
      </c>
      <c r="Q27" s="31">
        <v>31</v>
      </c>
      <c r="R27" s="205">
        <v>292.70429999999999</v>
      </c>
      <c r="T27" s="31">
        <v>35</v>
      </c>
      <c r="U27" s="205">
        <v>226.6591</v>
      </c>
      <c r="W27" s="31">
        <v>48</v>
      </c>
      <c r="X27" s="220">
        <v>284</v>
      </c>
    </row>
    <row r="28" spans="2:27">
      <c r="E28" s="31">
        <v>50</v>
      </c>
      <c r="F28" s="205">
        <v>264.85059999999999</v>
      </c>
      <c r="H28" s="31">
        <v>47</v>
      </c>
      <c r="I28" s="205">
        <v>233.04050000000001</v>
      </c>
      <c r="K28" s="46">
        <v>50</v>
      </c>
      <c r="L28" s="205">
        <v>229.23990000000001</v>
      </c>
      <c r="N28" s="31">
        <v>34</v>
      </c>
      <c r="O28" s="205">
        <v>186.77109999999999</v>
      </c>
      <c r="Q28" s="31">
        <v>32</v>
      </c>
      <c r="R28" s="205">
        <v>308.11399999999998</v>
      </c>
      <c r="T28" s="31">
        <v>36</v>
      </c>
      <c r="U28" s="205">
        <v>237.18799999999999</v>
      </c>
      <c r="W28" s="31">
        <v>49</v>
      </c>
      <c r="X28" s="220">
        <v>300</v>
      </c>
    </row>
    <row r="29" spans="2:27">
      <c r="E29" s="31">
        <v>51</v>
      </c>
      <c r="F29" s="205">
        <v>278.66390000000001</v>
      </c>
      <c r="H29" s="31">
        <v>48</v>
      </c>
      <c r="I29" s="205">
        <v>244.90299999999999</v>
      </c>
      <c r="K29" s="31">
        <v>51</v>
      </c>
      <c r="L29" s="205">
        <v>240.57130000000001</v>
      </c>
      <c r="N29" s="31">
        <v>35</v>
      </c>
      <c r="O29" s="205">
        <v>195.73609999999999</v>
      </c>
      <c r="Q29" s="31">
        <v>33</v>
      </c>
      <c r="R29" s="205">
        <v>323.83179999999999</v>
      </c>
      <c r="T29" s="31">
        <v>37</v>
      </c>
      <c r="U29" s="205">
        <v>247.90190000000001</v>
      </c>
      <c r="W29" s="31">
        <v>50</v>
      </c>
      <c r="X29" s="220">
        <v>317</v>
      </c>
    </row>
    <row r="30" spans="2:27">
      <c r="E30" s="31">
        <v>52</v>
      </c>
      <c r="F30" s="205">
        <v>292.74959999999999</v>
      </c>
      <c r="H30" s="31">
        <v>49</v>
      </c>
      <c r="I30" s="205">
        <v>257.04160000000002</v>
      </c>
      <c r="K30" s="46">
        <v>52</v>
      </c>
      <c r="L30" s="205">
        <v>252.12100000000001</v>
      </c>
      <c r="N30" s="31">
        <v>36</v>
      </c>
      <c r="O30" s="205">
        <v>204.8571</v>
      </c>
      <c r="Q30" s="31">
        <v>34</v>
      </c>
      <c r="R30" s="205">
        <v>339.85419999999999</v>
      </c>
      <c r="T30" s="31">
        <v>38</v>
      </c>
      <c r="U30" s="205">
        <v>258.79919999999998</v>
      </c>
      <c r="W30" s="31">
        <v>51</v>
      </c>
      <c r="X30" s="220">
        <v>333</v>
      </c>
    </row>
    <row r="31" spans="2:27" ht="13.5" thickBot="1">
      <c r="E31" s="32">
        <v>53</v>
      </c>
      <c r="F31" s="206">
        <v>307.10500000000002</v>
      </c>
      <c r="H31" s="32">
        <v>50</v>
      </c>
      <c r="I31" s="206">
        <v>269.41120000000001</v>
      </c>
      <c r="K31" s="32">
        <v>53</v>
      </c>
      <c r="L31" s="206">
        <v>263.88159999999999</v>
      </c>
      <c r="N31" s="31">
        <v>37</v>
      </c>
      <c r="O31" s="205">
        <v>214.14609999999999</v>
      </c>
      <c r="Q31" s="31">
        <v>35</v>
      </c>
      <c r="R31" s="205">
        <v>356.178</v>
      </c>
      <c r="T31" s="31">
        <v>39</v>
      </c>
      <c r="U31" s="205">
        <v>269.87779999999998</v>
      </c>
      <c r="W31" s="32">
        <v>52</v>
      </c>
      <c r="X31" s="221">
        <v>350</v>
      </c>
    </row>
    <row r="32" spans="2:27">
      <c r="L32" s="4"/>
      <c r="N32" s="31">
        <v>38</v>
      </c>
      <c r="O32" s="205">
        <v>223.59469999999999</v>
      </c>
      <c r="Q32" s="31">
        <v>36</v>
      </c>
      <c r="R32" s="205">
        <v>372.80029999999999</v>
      </c>
      <c r="T32" s="31">
        <v>40</v>
      </c>
      <c r="U32" s="205">
        <v>281.13639999999998</v>
      </c>
    </row>
    <row r="33" spans="12:21" ht="13.5" thickBot="1">
      <c r="L33" s="4"/>
      <c r="N33" s="31">
        <v>39</v>
      </c>
      <c r="O33" s="205">
        <v>233.20140000000001</v>
      </c>
      <c r="Q33" s="32">
        <v>37</v>
      </c>
      <c r="R33" s="206">
        <v>389.71800000000002</v>
      </c>
      <c r="T33" s="31">
        <v>41</v>
      </c>
      <c r="U33" s="205">
        <v>292.57639999999998</v>
      </c>
    </row>
    <row r="34" spans="12:21">
      <c r="L34" s="4"/>
      <c r="N34" s="31">
        <v>40</v>
      </c>
      <c r="O34" s="205">
        <v>242.97030000000001</v>
      </c>
      <c r="T34" s="31">
        <v>42</v>
      </c>
      <c r="U34" s="205">
        <v>304.18950000000001</v>
      </c>
    </row>
    <row r="35" spans="12:21">
      <c r="L35" s="4"/>
      <c r="N35" s="31">
        <v>41</v>
      </c>
      <c r="O35" s="205">
        <v>252.88659999999999</v>
      </c>
      <c r="T35" s="31">
        <v>43</v>
      </c>
      <c r="U35" s="205">
        <v>315.9778</v>
      </c>
    </row>
    <row r="36" spans="12:21">
      <c r="L36" s="4"/>
      <c r="N36" s="31">
        <v>42</v>
      </c>
      <c r="O36" s="205">
        <v>262.95920000000001</v>
      </c>
      <c r="T36" s="31">
        <v>44</v>
      </c>
      <c r="U36" s="205">
        <v>327.93979999999999</v>
      </c>
    </row>
    <row r="37" spans="12:21">
      <c r="L37" s="4"/>
      <c r="N37" s="31">
        <v>43</v>
      </c>
      <c r="O37" s="205">
        <v>273.18389999999999</v>
      </c>
      <c r="T37" s="31">
        <v>45</v>
      </c>
      <c r="U37" s="205">
        <v>340.07409999999999</v>
      </c>
    </row>
    <row r="38" spans="12:21" ht="13.5" thickBot="1">
      <c r="L38" s="4"/>
      <c r="N38" s="32">
        <v>44</v>
      </c>
      <c r="O38" s="206">
        <v>283.55939999999998</v>
      </c>
      <c r="T38" s="31">
        <v>46</v>
      </c>
      <c r="U38" s="205">
        <v>352.3793</v>
      </c>
    </row>
    <row r="39" spans="12:21">
      <c r="L39" s="4"/>
      <c r="T39" s="31">
        <v>47</v>
      </c>
      <c r="U39" s="205">
        <v>364.85390000000001</v>
      </c>
    </row>
    <row r="40" spans="12:21">
      <c r="L40" s="4"/>
      <c r="T40" s="31">
        <v>48</v>
      </c>
      <c r="U40" s="205">
        <v>377.4966</v>
      </c>
    </row>
    <row r="41" spans="12:21">
      <c r="L41" s="4"/>
      <c r="T41" s="31">
        <v>49</v>
      </c>
      <c r="U41" s="205">
        <v>390.29160000000002</v>
      </c>
    </row>
    <row r="42" spans="12:21" ht="13.5" thickBot="1">
      <c r="L42" s="4"/>
      <c r="T42" s="32">
        <v>50</v>
      </c>
      <c r="U42" s="206">
        <v>403.26659999999998</v>
      </c>
    </row>
    <row r="43" spans="12:21">
      <c r="L43" s="4"/>
    </row>
    <row r="44" spans="12:21">
      <c r="L44" s="4"/>
    </row>
    <row r="45" spans="12:21">
      <c r="L45" s="4"/>
    </row>
    <row r="68" spans="19:19">
      <c r="S68">
        <v>6</v>
      </c>
    </row>
  </sheetData>
  <mergeCells count="9">
    <mergeCell ref="Z2:AA2"/>
    <mergeCell ref="N2:O2"/>
    <mergeCell ref="Q2:R2"/>
    <mergeCell ref="T2:U2"/>
    <mergeCell ref="B2:C2"/>
    <mergeCell ref="E2:F2"/>
    <mergeCell ref="H2:I2"/>
    <mergeCell ref="K2:L2"/>
    <mergeCell ref="W2:X2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A1:I67"/>
  <sheetViews>
    <sheetView zoomScale="60" zoomScaleNormal="75" workbookViewId="0" xr3:uid="{7BE570AB-09E9-518F-B8F7-3F91B7162CA9}">
      <selection activeCell="J20" sqref="J20"/>
    </sheetView>
  </sheetViews>
  <sheetFormatPr defaultRowHeight="12.75"/>
  <cols>
    <col min="1" max="2" width="11.42578125" customWidth="1"/>
    <col min="3" max="3" width="11.85546875" bestFit="1" customWidth="1"/>
    <col min="4" max="4" width="22.28515625" bestFit="1" customWidth="1"/>
    <col min="5" max="5" width="15.7109375" customWidth="1"/>
    <col min="6" max="6" width="11.85546875" bestFit="1" customWidth="1"/>
    <col min="7" max="7" width="35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  <c r="I1" s="76"/>
    </row>
    <row r="2" spans="1:9">
      <c r="A2" s="381"/>
      <c r="B2" s="109" t="str">
        <f>+'2_1'!$C$2</f>
        <v>CUADRO DE TURNO SAN PEDRO Y SAN PABLO</v>
      </c>
      <c r="C2" s="76"/>
      <c r="D2" s="76"/>
      <c r="E2" s="76"/>
      <c r="F2" s="76"/>
      <c r="G2" s="382"/>
      <c r="H2" s="76"/>
      <c r="I2" s="76"/>
    </row>
    <row r="3" spans="1:9">
      <c r="A3" s="381"/>
      <c r="B3" s="76"/>
      <c r="C3" s="76"/>
      <c r="D3" s="76"/>
      <c r="E3" s="76"/>
      <c r="F3" s="76"/>
      <c r="G3" s="382"/>
      <c r="H3" s="76"/>
      <c r="I3" s="76"/>
    </row>
    <row r="4" spans="1:9">
      <c r="A4" s="381"/>
      <c r="B4" s="76" t="s">
        <v>182</v>
      </c>
      <c r="C4" s="76" t="str">
        <f>VLOOKUP(G5,'2_1'!$A$12:$G$18,7,0)</f>
        <v xml:space="preserve">GALLARDO SIVILA, NILA </v>
      </c>
      <c r="D4" s="76"/>
      <c r="E4" s="76"/>
      <c r="F4" s="76"/>
      <c r="G4" s="383" t="s">
        <v>134</v>
      </c>
      <c r="H4" s="76"/>
      <c r="I4" s="76"/>
    </row>
    <row r="5" spans="1:9">
      <c r="A5" s="381"/>
      <c r="B5" s="76" t="s">
        <v>91</v>
      </c>
      <c r="C5" s="76" t="str">
        <f>+'2_1'!$H$2</f>
        <v>Hijuela La Paloma</v>
      </c>
      <c r="D5" s="76"/>
      <c r="E5" s="76"/>
      <c r="F5" s="76"/>
      <c r="G5" s="383">
        <v>1</v>
      </c>
      <c r="H5" s="76"/>
      <c r="I5" s="76"/>
    </row>
    <row r="6" spans="1:9">
      <c r="A6" s="381"/>
      <c r="B6" s="76"/>
      <c r="C6" s="76"/>
      <c r="D6" s="76"/>
      <c r="E6" s="76"/>
      <c r="F6" s="76"/>
      <c r="G6" s="382"/>
      <c r="H6" s="76"/>
      <c r="I6" s="76"/>
    </row>
    <row r="7" spans="1:9">
      <c r="A7" s="381"/>
      <c r="B7" s="635" t="s">
        <v>183</v>
      </c>
      <c r="C7" s="331">
        <f>VLOOKUP(G5,'2_1'!$A$12:$C$18,2,0)</f>
        <v>1253</v>
      </c>
      <c r="D7" s="76"/>
      <c r="E7" s="635" t="s">
        <v>184</v>
      </c>
      <c r="F7" s="102">
        <f>DSUM('2_1'!A$12:J$19,'2_1'!$J$12,G4:G5)</f>
        <v>1.0382752886649329</v>
      </c>
      <c r="G7" s="382"/>
      <c r="H7" s="76"/>
      <c r="I7" s="76"/>
    </row>
    <row r="8" spans="1:9">
      <c r="A8" s="381"/>
      <c r="B8" s="635" t="s">
        <v>185</v>
      </c>
      <c r="C8" s="374" t="s">
        <v>201</v>
      </c>
      <c r="D8" s="76"/>
      <c r="E8" s="635" t="s">
        <v>186</v>
      </c>
      <c r="F8" s="368" t="str">
        <f>IF(VLOOKUP(G5,'2_1'!$A$12:$D$29,4,0)=2,"Eventual 80%","Definitivo 100%")</f>
        <v>Definitivo 100%</v>
      </c>
      <c r="G8" s="382"/>
      <c r="H8" s="76"/>
      <c r="I8" s="76"/>
    </row>
    <row r="9" spans="1:9">
      <c r="A9" s="381"/>
      <c r="B9" s="635" t="s">
        <v>187</v>
      </c>
      <c r="C9" s="375">
        <f>DSUM('2_1'!$A$12:$H$20,'2_1'!$H$12,G4:G5)</f>
        <v>48.958299999999994</v>
      </c>
      <c r="D9" s="76"/>
      <c r="E9" s="635" t="s">
        <v>188</v>
      </c>
      <c r="F9" s="369" t="str">
        <f>+Hijuelas!$G$5</f>
        <v>fracción</v>
      </c>
      <c r="G9" s="384"/>
      <c r="H9" s="76"/>
      <c r="I9" s="76"/>
    </row>
    <row r="10" spans="1:9" ht="15.75">
      <c r="A10" s="381"/>
      <c r="B10" s="76"/>
      <c r="C10" s="635" t="s">
        <v>189</v>
      </c>
      <c r="D10" s="107">
        <f>DMIN('2_1'!A$12:K$20,'2_1'!$K$12,G4:G5)</f>
        <v>42973.770833333328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 t="s">
        <v>70</v>
      </c>
      <c r="H10" s="76"/>
      <c r="I10" s="76"/>
    </row>
    <row r="11" spans="1:9" ht="15.75">
      <c r="A11" s="381"/>
      <c r="B11" s="76"/>
      <c r="C11" s="635" t="s">
        <v>190</v>
      </c>
      <c r="D11" s="107">
        <f>DMAX('2_1'!A$12:L$20,'2_1'!$L$12,G4:G5)</f>
        <v>42974.809108621994</v>
      </c>
      <c r="E11" s="127" t="str">
        <f>IF(F11=1,"Domingo",IF(F11=2,"Lunes",IF(F11=3,"Martes",IF(F11=4,"Miercoles",IF(F11=5,"Jueves",IF(F11=6,"Viernes",IF(F11=7,"Sábado",0)))))))</f>
        <v>Domingo</v>
      </c>
      <c r="F11" s="128">
        <f>WEEKDAY(D11)</f>
        <v>1</v>
      </c>
      <c r="G11" s="385">
        <f>WEEKDAY(D11)</f>
        <v>1</v>
      </c>
      <c r="H11" s="76"/>
      <c r="I11" s="76"/>
    </row>
    <row r="12" spans="1:9">
      <c r="A12" s="381"/>
      <c r="B12" s="76"/>
      <c r="C12" s="76"/>
      <c r="D12" s="76"/>
      <c r="E12" s="76"/>
      <c r="F12" s="106"/>
      <c r="G12" s="384"/>
      <c r="H12" s="76"/>
      <c r="I12" s="76">
        <f>17*5</f>
        <v>85</v>
      </c>
    </row>
    <row r="13" spans="1:9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  <c r="I13" s="76"/>
    </row>
    <row r="14" spans="1:9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  <c r="I14" s="76"/>
    </row>
    <row r="15" spans="1:9">
      <c r="A15" s="381"/>
      <c r="B15" s="108"/>
      <c r="C15" s="76"/>
      <c r="D15" s="76"/>
      <c r="E15" s="76"/>
      <c r="F15" s="76"/>
      <c r="G15" s="382"/>
      <c r="H15" s="76"/>
      <c r="I15" s="76"/>
    </row>
    <row r="16" spans="1:9" ht="13.5" thickBot="1">
      <c r="A16" s="386"/>
      <c r="B16" s="387" t="str">
        <f>IF(DSUM('2_1'!$A$12:$P$20,16,G4:G5)=COUNTIF('2_1'!$A$12:$A$20,G5),"","Regularice su Deuda")</f>
        <v/>
      </c>
      <c r="C16" s="326"/>
      <c r="D16" s="326"/>
      <c r="E16" s="326"/>
      <c r="F16" s="326"/>
      <c r="G16" s="388"/>
      <c r="H16" s="76"/>
      <c r="I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tr">
        <f>+'2_1'!$C$2</f>
        <v>CUADRO DE TURNO SAN PEDRO Y SAN PABLO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VLOOKUP(G22,'2_1'!$A$12:$G$18,7,0)</f>
        <v>LABRANZA S.A.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+'2_1'!$H$2</f>
        <v>Hijuela La Paloma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VLOOKUP(G22,'2_1'!$A$12:$C$18,2,0)</f>
        <v>1253</v>
      </c>
      <c r="D24" s="76"/>
      <c r="E24" s="635" t="s">
        <v>184</v>
      </c>
      <c r="F24" s="102">
        <f>DSUM('2_1'!A$12:J$19,'2_1'!$J$12,G21:G22)</f>
        <v>2.140172595782198</v>
      </c>
      <c r="G24" s="382"/>
    </row>
    <row r="25" spans="1:7">
      <c r="A25" s="381"/>
      <c r="B25" s="635" t="s">
        <v>185</v>
      </c>
      <c r="C25" s="374">
        <v>1</v>
      </c>
      <c r="D25" s="76"/>
      <c r="E25" s="635" t="s">
        <v>186</v>
      </c>
      <c r="F25" s="368" t="str">
        <f>IF(VLOOKUP(G22,'2_1'!$A$12:$D$29,4,0)=2,"Eventual 80%","Definitivo 100%")</f>
        <v>Definitivo 100%</v>
      </c>
      <c r="G25" s="382"/>
    </row>
    <row r="26" spans="1:7">
      <c r="A26" s="381"/>
      <c r="B26" s="635" t="s">
        <v>187</v>
      </c>
      <c r="C26" s="375">
        <f>DSUM('2_1'!$A$12:$H$20,'2_1'!$H$12,G21:G22)</f>
        <v>100.9166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DMIN('2_1'!A$12:K$20,'2_1'!$K$12,G21:G22)</f>
        <v>42974.809108621994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DMAX('2_1'!A$12:L$20,'2_1'!$L$12,G21:G22)</f>
        <v>42976.977058995559</v>
      </c>
      <c r="E28" s="127" t="str">
        <f>IF(F28=1,"Domingo",IF(F28=2,"Lunes",IF(F28=3,"Martes",IF(F28=4,"Miercoles",IF(F28=5,"Jueves",IF(F28=6,"Viernes",IF(F28=7,"Sábado",0)))))))</f>
        <v>Martes</v>
      </c>
      <c r="F28" s="128">
        <f>WEEKDAY(D28)</f>
        <v>3</v>
      </c>
      <c r="G28" s="385">
        <f>WEEKDAY(D28)</f>
        <v>3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IF(DSUM('2_1'!$A$12:$P$20,16,G21:G22)=COUNTIF('2_1'!$A$12:$A$20,G22),"","Regularice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tr">
        <f>+'2_1'!$C$2</f>
        <v>CUADRO DE TURNO SAN PEDRO Y SAN PABLO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VLOOKUP(G39,'2_1'!$A$12:$G$18,7,0)</f>
        <v>SORIA, JOSE MARCOS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+'2_1'!$H$2</f>
        <v>Hijuela La Paloma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VLOOKUP(G39,'2_1'!$A$12:$C$18,2,0)</f>
        <v>1253</v>
      </c>
      <c r="D41" s="76"/>
      <c r="E41" s="635" t="s">
        <v>184</v>
      </c>
      <c r="F41" s="102">
        <f>DSUM('2_1'!A$12:J$19,'2_1'!$J$12,G38:G39)</f>
        <v>0.49863544888620259</v>
      </c>
      <c r="G41" s="382"/>
    </row>
    <row r="42" spans="1:7">
      <c r="A42" s="381"/>
      <c r="B42" s="635" t="s">
        <v>185</v>
      </c>
      <c r="C42" s="374" t="s">
        <v>202</v>
      </c>
      <c r="D42" s="76"/>
      <c r="E42" s="635" t="s">
        <v>186</v>
      </c>
      <c r="F42" s="368" t="str">
        <f>IF(VLOOKUP(G39,'2_1'!$A$12:$D$29,4,0)=2,"Eventual 80%","Definitivo 100%")</f>
        <v>Definitivo 100%</v>
      </c>
      <c r="G42" s="382"/>
    </row>
    <row r="43" spans="1:7">
      <c r="A43" s="381"/>
      <c r="B43" s="635" t="s">
        <v>187</v>
      </c>
      <c r="C43" s="375">
        <f>DSUM('2_1'!$A$12:$H$20,'2_1'!$H$12,G38:G39)</f>
        <v>23.5124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DMIN('2_1'!A$12:K$20,'2_1'!$K$12,G38:G39)</f>
        <v>42976.977058995559</v>
      </c>
      <c r="E44" s="127" t="str">
        <f>IF(F44=1,"Domingo",IF(F44=2,"Lunes",IF(F44=3,"Martes",IF(F44=4,"Miercoles",IF(F44=5,"Jueves",IF(F44=6,"Viernes",IF(F44=7,"Sábado",0)))))))</f>
        <v>Martes</v>
      </c>
      <c r="F44" s="128">
        <f>WEEKDAY(D44)</f>
        <v>3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DMAX('2_1'!A$12:L$20,'2_1'!$L$12,G38:G39)</f>
        <v>42977.53125</v>
      </c>
      <c r="E45" s="127" t="str">
        <f>IF(F45=1,"Domingo",IF(F45=2,"Lunes",IF(F45=3,"Martes",IF(F45=4,"Miercoles",IF(F45=5,"Jueves",IF(F45=6,"Viernes",IF(F45=7,"Sábado",0)))))))</f>
        <v>Miercoles</v>
      </c>
      <c r="F45" s="128">
        <f>WEEKDAY(D45)</f>
        <v>4</v>
      </c>
      <c r="G45" s="385">
        <f>WEEKDAY(D45)</f>
        <v>4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IF(DSUM('2_1'!$A$12:$P$20,16,G38:G39)=COUNTIF('2_1'!$A$12:$A$20,G39),"","Regularice su Deuda")</f>
        <v>Regularice su Deuda</v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tr">
        <f>+'2_1'!$C$2</f>
        <v>CUADRO DE TURNO SAN PEDRO Y SAN PABLO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e">
        <f>VLOOKUP(G56,'2_1'!$A$12:$G$18,7,0)</f>
        <v>#N/A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+'2_1'!$H$2</f>
        <v>Hijuela La Paloma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 t="e">
        <f>VLOOKUP(G56,'2_1'!$A$12:$C$18,2,0)</f>
        <v>#N/A</v>
      </c>
      <c r="D58" s="76"/>
      <c r="E58" s="635" t="s">
        <v>184</v>
      </c>
      <c r="F58" s="102">
        <f>DSUM('2_1'!A$12:J$19,'2_1'!$J$12,G55:G56)</f>
        <v>0</v>
      </c>
      <c r="G58" s="382"/>
    </row>
    <row r="59" spans="1:7">
      <c r="A59" s="381"/>
      <c r="B59" s="635" t="s">
        <v>185</v>
      </c>
      <c r="C59" s="374">
        <v>3</v>
      </c>
      <c r="D59" s="76"/>
      <c r="E59" s="635" t="s">
        <v>186</v>
      </c>
      <c r="F59" s="368" t="e">
        <f>IF(VLOOKUP(G56,'2_1'!$A$12:$D$29,4,0)=2,"Eventual 80%","Definitivo 100%")</f>
        <v>#N/A</v>
      </c>
      <c r="G59" s="382"/>
    </row>
    <row r="60" spans="1:7">
      <c r="A60" s="381"/>
      <c r="B60" s="635" t="s">
        <v>187</v>
      </c>
      <c r="C60" s="375">
        <f>DSUM('2_1'!$A$12:$H$20,'2_1'!$H$12,G55:G56)</f>
        <v>0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DMIN('2_1'!A$12:K$20,'2_1'!$K$12,G55:G56)</f>
        <v>0</v>
      </c>
      <c r="E61" s="127" t="str">
        <f>IF(F61=1,"Domingo",IF(F61=2,"Lunes",IF(F61=3,"Martes",IF(F61=4,"Miercoles",IF(F61=5,"Jueves",IF(F61=6,"Viernes",IF(F61=7,"Sábado",0)))))))</f>
        <v>Sábado</v>
      </c>
      <c r="F61" s="128">
        <f>WEEKDAY(D61)</f>
        <v>7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DMAX('2_1'!A$12:L$20,'2_1'!$L$12,G55:G56)</f>
        <v>0</v>
      </c>
      <c r="E62" s="127" t="str">
        <f>IF(F62=1,"Domingo",IF(F62=2,"Lunes",IF(F62=3,"Martes",IF(F62=4,"Miercoles",IF(F62=5,"Jueves",IF(F62=6,"Viernes",IF(F62=7,"Sábado",0)))))))</f>
        <v>Sábado</v>
      </c>
      <c r="F62" s="128">
        <f>WEEKDAY(D62)</f>
        <v>7</v>
      </c>
      <c r="G62" s="385">
        <f>WEEKDAY(D62)</f>
        <v>7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IF(DSUM('2_1'!$A$12:$P$20,16,G55:G56)=COUNTIF('2_1'!$A$12:$A$20,G56),"","Regularice su Deuda")</f>
        <v/>
      </c>
      <c r="C67" s="326"/>
      <c r="D67" s="326"/>
      <c r="E67" s="326"/>
      <c r="F67" s="326"/>
      <c r="G67" s="388"/>
    </row>
  </sheetData>
  <phoneticPr fontId="0" type="noConversion"/>
  <pageMargins left="0.35433070866141736" right="0.19685039370078741" top="0.23622047244094491" bottom="0.15748031496062992" header="0.23622047244094491" footer="0"/>
  <pageSetup paperSize="9" scale="72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/>
  <dimension ref="A1:T67"/>
  <sheetViews>
    <sheetView topLeftCell="A51" zoomScale="75" zoomScaleNormal="75" zoomScaleSheetLayoutView="100" workbookViewId="0" xr3:uid="{65FA3815-DCC1-5481-872F-D2879ED395ED}">
      <selection activeCell="H67" sqref="H67"/>
    </sheetView>
  </sheetViews>
  <sheetFormatPr defaultRowHeight="12.75"/>
  <cols>
    <col min="1" max="1" width="7.140625" customWidth="1"/>
    <col min="2" max="2" width="7.42578125" customWidth="1"/>
    <col min="3" max="3" width="7.5703125" customWidth="1"/>
    <col min="4" max="4" width="4" bestFit="1" customWidth="1"/>
    <col min="5" max="5" width="10.42578125" customWidth="1"/>
    <col min="6" max="6" width="15" customWidth="1"/>
    <col min="7" max="7" width="31" bestFit="1" customWidth="1"/>
    <col min="8" max="8" width="14" customWidth="1"/>
    <col min="9" max="9" width="7.42578125" bestFit="1" customWidth="1"/>
    <col min="10" max="10" width="11.5703125" bestFit="1" customWidth="1"/>
    <col min="11" max="11" width="15.5703125" customWidth="1"/>
    <col min="12" max="12" width="15.42578125" customWidth="1"/>
    <col min="13" max="14" width="28.5703125" customWidth="1"/>
    <col min="15" max="15" width="11.42578125" customWidth="1"/>
    <col min="16" max="18" width="11.5703125" bestFit="1" customWidth="1"/>
    <col min="19" max="19" width="15.5703125" customWidth="1"/>
    <col min="20" max="20" width="12.28515625" bestFit="1" customWidth="1"/>
    <col min="21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0">
      <c r="A2" s="99"/>
      <c r="B2" s="99"/>
      <c r="C2" s="105" t="s">
        <v>123</v>
      </c>
      <c r="D2" s="105"/>
      <c r="E2" s="99"/>
      <c r="F2" s="99"/>
      <c r="G2" s="99"/>
      <c r="H2" s="99" t="s">
        <v>203</v>
      </c>
      <c r="I2" s="99"/>
      <c r="J2" s="99"/>
      <c r="K2" s="99"/>
      <c r="L2" s="99"/>
      <c r="M2" s="99"/>
      <c r="N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20">
      <c r="A5" s="662" t="s">
        <v>124</v>
      </c>
      <c r="B5" s="663"/>
      <c r="C5" s="659">
        <f>+Hijuelas!D11</f>
        <v>42973.541666666664</v>
      </c>
      <c r="D5" s="667"/>
      <c r="E5" s="660"/>
      <c r="F5" s="305"/>
      <c r="G5" s="306" t="s">
        <v>125</v>
      </c>
      <c r="H5" s="307">
        <f>+Hijuelas!G4</f>
        <v>3.9895833333333335</v>
      </c>
      <c r="I5" s="318"/>
      <c r="J5" s="99"/>
      <c r="K5" s="99"/>
      <c r="L5" s="99"/>
      <c r="M5" s="99"/>
      <c r="N5" s="99"/>
    </row>
    <row r="6" spans="1:20" ht="13.5" thickBot="1">
      <c r="A6" s="664" t="s">
        <v>126</v>
      </c>
      <c r="B6" s="665"/>
      <c r="C6" s="668">
        <f>+L13</f>
        <v>42977.531250000051</v>
      </c>
      <c r="D6" s="669"/>
      <c r="E6" s="670"/>
      <c r="F6" s="305"/>
      <c r="G6" s="265" t="s">
        <v>127</v>
      </c>
      <c r="H6" s="308">
        <v>0.125</v>
      </c>
      <c r="I6" s="318"/>
      <c r="J6" s="99"/>
      <c r="K6" s="309"/>
      <c r="L6" s="99"/>
      <c r="M6" s="99"/>
      <c r="N6" s="99"/>
    </row>
    <row r="7" spans="1:20" ht="13.5" thickBot="1">
      <c r="A7" s="99"/>
      <c r="B7" s="99"/>
      <c r="C7" s="99"/>
      <c r="D7" s="99"/>
      <c r="E7" s="99"/>
      <c r="F7" s="527"/>
      <c r="G7" s="310" t="s">
        <v>128</v>
      </c>
      <c r="H7" s="311">
        <f>+I66</f>
        <v>0.38888888888888878</v>
      </c>
      <c r="I7" s="318"/>
      <c r="J7" s="99"/>
      <c r="K7" s="99"/>
      <c r="L7" s="99"/>
      <c r="M7" s="99"/>
      <c r="N7" s="99"/>
    </row>
    <row r="8" spans="1:20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</row>
    <row r="9" spans="1:20">
      <c r="A9" s="666" t="s">
        <v>129</v>
      </c>
      <c r="B9" s="666"/>
      <c r="C9" s="312">
        <f>+H5-H6-H7</f>
        <v>3.4756944444444446</v>
      </c>
      <c r="D9" s="312"/>
      <c r="E9" s="636" t="s">
        <v>130</v>
      </c>
      <c r="F9" s="313">
        <f>+C9*60</f>
        <v>208.54166666666669</v>
      </c>
      <c r="G9" s="636" t="s">
        <v>131</v>
      </c>
      <c r="H9" s="319">
        <f>+H66</f>
        <v>423.09831999999994</v>
      </c>
      <c r="I9" s="636" t="s">
        <v>132</v>
      </c>
      <c r="J9" s="313">
        <f>+F9/H9</f>
        <v>0.49289173889101406</v>
      </c>
      <c r="K9" s="99"/>
      <c r="L9" s="99"/>
      <c r="M9" s="99"/>
      <c r="N9" s="99"/>
    </row>
    <row r="10" spans="1:20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</row>
    <row r="11" spans="1:20" ht="13.5" thickBot="1">
      <c r="A11" s="99"/>
      <c r="B11" s="99"/>
      <c r="C11" s="99"/>
      <c r="D11" s="99"/>
      <c r="E11" s="99"/>
      <c r="F11" s="99"/>
      <c r="G11" s="99"/>
      <c r="I11" s="99"/>
      <c r="J11" s="99"/>
      <c r="K11" s="99"/>
      <c r="L11" s="99"/>
      <c r="M11" s="99"/>
      <c r="N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141</v>
      </c>
      <c r="G12" s="376" t="s">
        <v>140</v>
      </c>
      <c r="H12" s="292" t="s">
        <v>139</v>
      </c>
      <c r="I12" s="292" t="s">
        <v>142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30" customHeight="1" thickTop="1" thickBot="1">
      <c r="A13" s="5">
        <v>1</v>
      </c>
      <c r="B13" s="250">
        <v>1253</v>
      </c>
      <c r="C13" s="250">
        <v>56</v>
      </c>
      <c r="D13" s="250">
        <v>2</v>
      </c>
      <c r="E13" s="9">
        <v>5.194</v>
      </c>
      <c r="F13" s="85" t="str">
        <f t="shared" ref="F13:F65" si="0">IF(P13=0,"NO",IF(P13=1,"SI","CONDICIONAL"))</f>
        <v>SI</v>
      </c>
      <c r="G13" s="392" t="s">
        <v>205</v>
      </c>
      <c r="H13" s="125">
        <f>IF(Hijuelas!$G$5="fracción",IF(F13="NO",0,IF(Hijuelas!$G$6="si",IF(D13=1,E13,E13*0.8),E13)),IF(F13="NO",0,IF(Hijuelas!$G$6="si",IF(D13=1,ROUNDUP(E13,0),ROUNDUP(E13*0.8,0)),ROUNDUP(E13,0))))</f>
        <v>4.1551999999999998</v>
      </c>
      <c r="I13" s="137">
        <v>0</v>
      </c>
      <c r="J13" s="137">
        <f t="shared" ref="J13:J65" si="1">+$J$9/60*H13</f>
        <v>3.4134395890665692E-2</v>
      </c>
      <c r="K13" s="95">
        <f t="shared" ref="K13:K63" si="2">+L14</f>
        <v>42977.497115604157</v>
      </c>
      <c r="L13" s="95">
        <f t="shared" ref="L13:L63" si="3">+K13+J13+I13</f>
        <v>42977.531250000051</v>
      </c>
      <c r="M13" s="5"/>
      <c r="N13" s="83"/>
      <c r="O13" s="27" t="str">
        <f t="shared" ref="O13:O65" si="4">+CONCATENATE(B13,C13)</f>
        <v>125356</v>
      </c>
      <c r="P13" s="112">
        <f>VLOOKUP(O13,deuda!A$1:H$543,4,0)</f>
        <v>1</v>
      </c>
      <c r="Q13" s="112">
        <f>VLOOKUP(O13,deuda!A$1:H$543,5,0)</f>
        <v>0</v>
      </c>
      <c r="R13" s="112" t="str">
        <f>IF(VLOOKUP(O13,deuda!A$1:H$543,6,0)=0,"",VLOOKUP(O13,deuda!A$1:H$543,6,0))</f>
        <v/>
      </c>
      <c r="S13" s="113" t="str">
        <f>IF((VLOOKUP(O13,deuda!A$1:H$543,7,0))=0,"",VLOOKUP(O13,deuda!A$1:H$543,7,0))</f>
        <v/>
      </c>
      <c r="T13" s="114" t="str">
        <f>IF((VLOOKUP(O13,deuda!A$1:H$543,8,0))=0,"",VLOOKUP(O13,deuda!A$1:H$543,8,0))</f>
        <v/>
      </c>
    </row>
    <row r="14" spans="1:20" ht="30" customHeight="1" thickBot="1">
      <c r="A14" s="5">
        <v>1</v>
      </c>
      <c r="B14" s="250">
        <v>1253</v>
      </c>
      <c r="C14" s="250">
        <v>5</v>
      </c>
      <c r="D14" s="250">
        <v>2</v>
      </c>
      <c r="E14" s="9">
        <v>9.2522000000000002</v>
      </c>
      <c r="F14" s="85" t="s">
        <v>90</v>
      </c>
      <c r="G14" s="335" t="s">
        <v>206</v>
      </c>
      <c r="H14" s="125">
        <f>IF(Hijuelas!$G$5="fracción",IF(F14="NO",0,IF(Hijuelas!$G$6="si",IF(D14=1,E14,E14*0.8),E14)),IF(F14="NO",0,IF(Hijuelas!$G$6="si",IF(D14=1,ROUNDUP(E14,0),ROUNDUP(E14*0.8,0)),ROUNDUP(E14,0))))</f>
        <v>7.4017600000000003</v>
      </c>
      <c r="I14" s="137">
        <v>0</v>
      </c>
      <c r="J14" s="137">
        <f>+$J$9/60*H14</f>
        <v>6.0804439287565876E-2</v>
      </c>
      <c r="K14" s="95">
        <f t="shared" si="2"/>
        <v>42977.436311164871</v>
      </c>
      <c r="L14" s="95">
        <f t="shared" si="3"/>
        <v>42977.497115604157</v>
      </c>
      <c r="M14" s="5"/>
      <c r="N14" s="83"/>
      <c r="O14" s="27" t="str">
        <f>+CONCATENATE(B14,C14)</f>
        <v>12535</v>
      </c>
      <c r="P14" s="112">
        <f>VLOOKUP(O14,deuda!A$1:H$543,4,0)</f>
        <v>0</v>
      </c>
      <c r="Q14" s="112">
        <f>VLOOKUP(O14,deuda!A$1:H$543,5,0)</f>
        <v>9</v>
      </c>
      <c r="R14" s="112" t="str">
        <f>IF(VLOOKUP(O14,deuda!A$1:H$543,6,0)=0,"",VLOOKUP(O14,deuda!A$1:H$543,6,0))</f>
        <v/>
      </c>
      <c r="S14" s="113" t="str">
        <f>IF((VLOOKUP(O14,deuda!A$1:H$543,7,0))=0,"",VLOOKUP(O14,deuda!A$1:H$543,7,0))</f>
        <v/>
      </c>
      <c r="T14" s="114" t="str">
        <f>IF((VLOOKUP(O14,deuda!A$1:H$543,8,0))=0,"",VLOOKUP(O14,deuda!A$1:H$543,8,0))</f>
        <v/>
      </c>
    </row>
    <row r="15" spans="1:20" ht="30" customHeight="1" thickBot="1">
      <c r="A15" s="5">
        <v>1</v>
      </c>
      <c r="B15" s="250">
        <v>1253</v>
      </c>
      <c r="C15" s="250">
        <v>108</v>
      </c>
      <c r="D15" s="250">
        <v>2</v>
      </c>
      <c r="E15" s="9">
        <v>5.2493999999999996</v>
      </c>
      <c r="F15" s="85" t="str">
        <f t="shared" si="0"/>
        <v>SI</v>
      </c>
      <c r="G15" s="335" t="s">
        <v>207</v>
      </c>
      <c r="H15" s="125">
        <f>IF(Hijuelas!$G$5="fracción",IF(F15="NO",0,IF(Hijuelas!$G$6="si",IF(D15=1,E15,E15*0.8),E15)),IF(F15="NO",0,IF(Hijuelas!$G$6="si",IF(D15=1,ROUNDUP(E15,0),ROUNDUP(E15*0.8,0)),ROUNDUP(E15,0))))</f>
        <v>4.1995199999999997</v>
      </c>
      <c r="I15" s="137">
        <v>0</v>
      </c>
      <c r="J15" s="137">
        <f t="shared" si="1"/>
        <v>3.4498478588459856E-2</v>
      </c>
      <c r="K15" s="95">
        <f t="shared" si="2"/>
        <v>42977.401812686279</v>
      </c>
      <c r="L15" s="95">
        <f t="shared" si="3"/>
        <v>42977.436311164871</v>
      </c>
      <c r="M15" s="5"/>
      <c r="N15" s="83"/>
      <c r="O15" s="27" t="str">
        <f t="shared" si="4"/>
        <v>1253108</v>
      </c>
      <c r="P15" s="112">
        <f>VLOOKUP(O15,deuda!A$1:H$543,4,0)</f>
        <v>1</v>
      </c>
      <c r="Q15" s="112">
        <f>VLOOKUP(O15,deuda!A$1:H$543,5,0)</f>
        <v>0</v>
      </c>
      <c r="R15" s="112" t="str">
        <f>IF(VLOOKUP(O15,deuda!A$1:H$543,6,0)=0,"",VLOOKUP(O15,deuda!A$1:H$543,6,0))</f>
        <v/>
      </c>
      <c r="S15" s="113" t="str">
        <f>IF((VLOOKUP(O15,deuda!A$1:H$543,7,0))=0,"",VLOOKUP(O15,deuda!A$1:H$543,7,0))</f>
        <v/>
      </c>
      <c r="T15" s="114" t="str">
        <f>IF((VLOOKUP(O15,deuda!A$1:H$543,8,0))=0,"",VLOOKUP(O15,deuda!A$1:H$543,8,0))</f>
        <v/>
      </c>
    </row>
    <row r="16" spans="1:20" ht="30" customHeight="1" thickBot="1">
      <c r="A16" s="5">
        <v>2</v>
      </c>
      <c r="B16" s="250">
        <v>1253</v>
      </c>
      <c r="C16" s="179">
        <v>79</v>
      </c>
      <c r="D16" s="250">
        <v>2</v>
      </c>
      <c r="E16" s="9">
        <v>7.3848000000000003</v>
      </c>
      <c r="F16" s="85" t="str">
        <f t="shared" si="0"/>
        <v>NO</v>
      </c>
      <c r="G16" s="335" t="s">
        <v>208</v>
      </c>
      <c r="H16" s="125">
        <f>IF(Hijuelas!$G$5="fracción",IF(F16="NO",0,IF(Hijuelas!$G$6="si",IF(D16=1,E16,E16*0.8),E16)),IF(F16="NO",0,IF(Hijuelas!$G$6="si",IF(D16=1,ROUNDUP(E16,0),ROUNDUP(E16*0.8,0)),ROUNDUP(E16,0))))</f>
        <v>0</v>
      </c>
      <c r="I16" s="137">
        <v>0</v>
      </c>
      <c r="J16" s="137">
        <f>+$J$9/60*H16</f>
        <v>0</v>
      </c>
      <c r="K16" s="95">
        <f t="shared" si="2"/>
        <v>42977.401812686279</v>
      </c>
      <c r="L16" s="95">
        <f t="shared" si="3"/>
        <v>42977.401812686279</v>
      </c>
      <c r="M16" s="5"/>
      <c r="N16" s="83"/>
      <c r="O16" s="27" t="str">
        <f t="shared" si="4"/>
        <v>125379</v>
      </c>
      <c r="P16" s="112">
        <f>VLOOKUP(O16,deuda!A$1:H$543,4,0)</f>
        <v>0</v>
      </c>
      <c r="Q16" s="112">
        <f>VLOOKUP(O16,deuda!A$1:H$543,5,0)</f>
        <v>3</v>
      </c>
      <c r="R16" s="112" t="str">
        <f>IF(VLOOKUP(O16,deuda!A$1:H$543,6,0)=0,"",VLOOKUP(O16,deuda!A$1:H$543,6,0))</f>
        <v/>
      </c>
      <c r="S16" s="113" t="str">
        <f>IF((VLOOKUP(O16,deuda!A$1:H$543,7,0))=0,"",VLOOKUP(O16,deuda!A$1:H$543,7,0))</f>
        <v/>
      </c>
      <c r="T16" s="114" t="str">
        <f>IF((VLOOKUP(O16,deuda!A$1:H$543,8,0))=0,"",VLOOKUP(O16,deuda!A$1:H$543,8,0))</f>
        <v/>
      </c>
    </row>
    <row r="17" spans="1:20" ht="30" customHeight="1" thickBot="1">
      <c r="A17" s="5">
        <v>3</v>
      </c>
      <c r="B17" s="250">
        <v>1253</v>
      </c>
      <c r="C17" s="179">
        <v>80</v>
      </c>
      <c r="D17" s="250">
        <v>2</v>
      </c>
      <c r="E17" s="9">
        <v>7.4059999999999997</v>
      </c>
      <c r="F17" s="85" t="str">
        <f t="shared" si="0"/>
        <v>SI</v>
      </c>
      <c r="G17" s="335" t="s">
        <v>209</v>
      </c>
      <c r="H17" s="125">
        <f>IF(Hijuelas!$G$5="fracción",IF(F17="NO",0,IF(Hijuelas!$G$6="si",IF(D17=1,E17,E17*0.8),E17)),IF(F17="NO",0,IF(Hijuelas!$G$6="si",IF(D17=1,ROUNDUP(E17,0),ROUNDUP(E17*0.8,0)),ROUNDUP(E17,0))))</f>
        <v>5.9248000000000003</v>
      </c>
      <c r="I17" s="340">
        <v>2.0833333333333332E-2</v>
      </c>
      <c r="J17" s="137">
        <f t="shared" si="1"/>
        <v>4.8671416243024672E-2</v>
      </c>
      <c r="K17" s="95">
        <f t="shared" si="2"/>
        <v>42977.332307936704</v>
      </c>
      <c r="L17" s="95">
        <f t="shared" si="3"/>
        <v>42977.401812686279</v>
      </c>
      <c r="M17" s="5"/>
      <c r="N17" s="83"/>
      <c r="O17" s="27" t="str">
        <f t="shared" si="4"/>
        <v>125380</v>
      </c>
      <c r="P17" s="112">
        <f>VLOOKUP(O17,deuda!A$1:H$543,4,0)</f>
        <v>1</v>
      </c>
      <c r="Q17" s="112">
        <f>VLOOKUP(O17,deuda!A$1:H$543,5,0)</f>
        <v>0</v>
      </c>
      <c r="R17" s="112" t="str">
        <f>IF(VLOOKUP(O17,deuda!A$1:H$543,6,0)=0,"",VLOOKUP(O17,deuda!A$1:H$543,6,0))</f>
        <v/>
      </c>
      <c r="S17" s="113" t="str">
        <f>IF((VLOOKUP(O17,deuda!A$1:H$543,7,0))=0,"",VLOOKUP(O17,deuda!A$1:H$543,7,0))</f>
        <v/>
      </c>
      <c r="T17" s="114" t="str">
        <f>IF((VLOOKUP(O17,deuda!A$1:H$543,8,0))=0,"",VLOOKUP(O17,deuda!A$1:H$543,8,0))</f>
        <v/>
      </c>
    </row>
    <row r="18" spans="1:20" ht="30" customHeight="1" thickBot="1">
      <c r="A18" s="5">
        <v>4</v>
      </c>
      <c r="B18" s="250">
        <v>1253</v>
      </c>
      <c r="C18" s="250">
        <v>78</v>
      </c>
      <c r="D18" s="250">
        <v>2</v>
      </c>
      <c r="E18" s="9">
        <v>4.1729000000000003</v>
      </c>
      <c r="F18" s="85" t="str">
        <f>IF(P18=0,"NO",IF(P18=1,"SI","CONDICIONAL"))</f>
        <v>SI</v>
      </c>
      <c r="G18" s="392" t="s">
        <v>210</v>
      </c>
      <c r="H18" s="125">
        <f>IF(Hijuelas!$G$5="fracción",IF(F18="NO",0,IF(Hijuelas!$G$6="si",IF(D18=1,E18,E18*0.8),E18)),IF(F18="NO",0,IF(Hijuelas!$G$6="si",IF(D18=1,ROUNDUP(E18,0),ROUNDUP(E18*0.8,0)),ROUNDUP(E18,0))))</f>
        <v>3.3383200000000004</v>
      </c>
      <c r="I18" s="340">
        <v>0</v>
      </c>
      <c r="J18" s="137">
        <f>+$J$9/60*H18</f>
        <v>2.7423839162910836E-2</v>
      </c>
      <c r="K18" s="95">
        <f t="shared" si="2"/>
        <v>42977.304884097539</v>
      </c>
      <c r="L18" s="95">
        <f t="shared" si="3"/>
        <v>42977.332307936704</v>
      </c>
      <c r="M18" s="5"/>
      <c r="N18" s="83"/>
      <c r="O18" s="27" t="str">
        <f>+CONCATENATE(B18,C18)</f>
        <v>125378</v>
      </c>
      <c r="P18" s="112">
        <f>VLOOKUP(O18,deuda!A$1:H$543,4,0)</f>
        <v>1</v>
      </c>
      <c r="Q18" s="112">
        <f>VLOOKUP(O18,deuda!A$1:H$543,5,0)</f>
        <v>1</v>
      </c>
      <c r="R18" s="112" t="str">
        <f>IF(VLOOKUP(O18,deuda!A$1:H$543,6,0)=0,"",VLOOKUP(O18,deuda!A$1:H$543,6,0))</f>
        <v/>
      </c>
      <c r="S18" s="113" t="str">
        <f>IF((VLOOKUP(O18,deuda!A$1:H$543,7,0))=0,"",VLOOKUP(O18,deuda!A$1:H$543,7,0))</f>
        <v/>
      </c>
      <c r="T18" s="114" t="str">
        <f>IF((VLOOKUP(O18,deuda!A$1:H$543,8,0))=0,"",VLOOKUP(O18,deuda!A$1:H$543,8,0))</f>
        <v/>
      </c>
    </row>
    <row r="19" spans="1:20" ht="30" customHeight="1" thickBot="1">
      <c r="A19" s="5">
        <v>4</v>
      </c>
      <c r="B19" s="250">
        <v>1253</v>
      </c>
      <c r="C19" s="250">
        <v>140</v>
      </c>
      <c r="D19" s="250">
        <v>2</v>
      </c>
      <c r="E19" s="9">
        <v>4.1727999999999996</v>
      </c>
      <c r="F19" s="85" t="str">
        <f>IF(P19=0,"NO",IF(P19=1,"SI","CONDICIONAL"))</f>
        <v>SI</v>
      </c>
      <c r="G19" s="392" t="s">
        <v>211</v>
      </c>
      <c r="H19" s="125">
        <f>IF(Hijuelas!$G$5="fracción",IF(F19="NO",0,IF(Hijuelas!$G$6="si",IF(D19=1,E19,E19*0.8),E19)),IF(F19="NO",0,IF(Hijuelas!$G$6="si",IF(D19=1,ROUNDUP(E19,0),ROUNDUP(E19*0.8,0)),ROUNDUP(E19,0))))</f>
        <v>3.3382399999999999</v>
      </c>
      <c r="I19" s="340">
        <v>0</v>
      </c>
      <c r="J19" s="137">
        <f>+$J$9/60*H19</f>
        <v>2.7423181973925646E-2</v>
      </c>
      <c r="K19" s="95">
        <f t="shared" si="2"/>
        <v>42977.277460915568</v>
      </c>
      <c r="L19" s="95">
        <f t="shared" si="3"/>
        <v>42977.304884097539</v>
      </c>
      <c r="M19" s="5"/>
      <c r="N19" s="83"/>
      <c r="O19" s="27" t="str">
        <f>+CONCATENATE(B19,C19)</f>
        <v>1253140</v>
      </c>
      <c r="P19" s="112">
        <f>VLOOKUP(O19,deuda!A$1:H$543,4,0)</f>
        <v>1</v>
      </c>
      <c r="Q19" s="112">
        <f>VLOOKUP(O19,deuda!A$1:H$543,5,0)</f>
        <v>1</v>
      </c>
      <c r="R19" s="112" t="str">
        <f>IF(VLOOKUP(O19,deuda!A$1:H$543,6,0)=0,"",VLOOKUP(O19,deuda!A$1:H$543,6,0))</f>
        <v/>
      </c>
      <c r="S19" s="113" t="str">
        <f>IF((VLOOKUP(O19,deuda!A$1:H$543,7,0))=0,"",VLOOKUP(O19,deuda!A$1:H$543,7,0))</f>
        <v/>
      </c>
      <c r="T19" s="114" t="str">
        <f>IF((VLOOKUP(O19,deuda!A$1:H$543,8,0))=0,"",VLOOKUP(O19,deuda!A$1:H$543,8,0))</f>
        <v/>
      </c>
    </row>
    <row r="20" spans="1:20" ht="30" customHeight="1" thickBot="1">
      <c r="A20" s="5">
        <v>4</v>
      </c>
      <c r="B20" s="179">
        <v>1253</v>
      </c>
      <c r="C20" s="179">
        <v>124</v>
      </c>
      <c r="D20" s="250">
        <v>2</v>
      </c>
      <c r="E20" s="9">
        <v>27.996300000000002</v>
      </c>
      <c r="F20" s="85" t="str">
        <f>IF(P20=0,"NO",IF(P20=1,"SI","CONDICIONAL"))</f>
        <v>SI</v>
      </c>
      <c r="G20" s="335" t="s">
        <v>212</v>
      </c>
      <c r="H20" s="125">
        <f>IF(Hijuelas!$G$5="fracción",IF(F20="NO",0,IF(Hijuelas!$G$6="si",IF(D20=1,E20,E20*0.8),E20)),IF(F20="NO",0,IF(Hijuelas!$G$6="si",IF(D20=1,ROUNDUP(E20,0),ROUNDUP(E20*0.8,0)),ROUNDUP(E20,0))))</f>
        <v>22.397040000000004</v>
      </c>
      <c r="I20" s="137">
        <v>0</v>
      </c>
      <c r="J20" s="137">
        <f>+$J$9/60*H20</f>
        <v>0.18398859986019334</v>
      </c>
      <c r="K20" s="95">
        <f t="shared" si="2"/>
        <v>42977.093472315704</v>
      </c>
      <c r="L20" s="95">
        <f t="shared" si="3"/>
        <v>42977.277460915568</v>
      </c>
      <c r="M20" s="5"/>
      <c r="N20" s="83"/>
      <c r="O20" s="27" t="str">
        <f>+CONCATENATE(B20,C20)</f>
        <v>1253124</v>
      </c>
      <c r="P20" s="112">
        <f>VLOOKUP(O20,deuda!A$1:H$543,4,0)</f>
        <v>1</v>
      </c>
      <c r="Q20" s="112">
        <f>VLOOKUP(O20,deuda!A$1:H$543,5,0)</f>
        <v>0</v>
      </c>
      <c r="R20" s="112" t="str">
        <f>IF(VLOOKUP(O20,deuda!A$1:H$543,6,0)=0,"",VLOOKUP(O20,deuda!A$1:H$543,6,0))</f>
        <v/>
      </c>
      <c r="S20" s="113" t="str">
        <f>IF((VLOOKUP(O20,deuda!A$1:H$543,7,0))=0,"",VLOOKUP(O20,deuda!A$1:H$543,7,0))</f>
        <v/>
      </c>
      <c r="T20" s="114" t="str">
        <f>IF((VLOOKUP(O20,deuda!A$1:H$543,8,0))=0,"",VLOOKUP(O20,deuda!A$1:H$543,8,0))</f>
        <v/>
      </c>
    </row>
    <row r="21" spans="1:20" ht="30" customHeight="1" thickBot="1">
      <c r="A21" s="5">
        <v>4</v>
      </c>
      <c r="B21" s="250">
        <v>1253</v>
      </c>
      <c r="C21" s="250">
        <v>39</v>
      </c>
      <c r="D21" s="250">
        <v>2</v>
      </c>
      <c r="E21" s="9">
        <v>39.007300000000001</v>
      </c>
      <c r="F21" s="85" t="str">
        <f>IF(P21=0,"NO",IF(P21=1,"SI","CONDICIONAL"))</f>
        <v>SI</v>
      </c>
      <c r="G21" s="335" t="s">
        <v>213</v>
      </c>
      <c r="H21" s="125">
        <f>IF(Hijuelas!$G$5="fracción",IF(F21="NO",0,IF(Hijuelas!$G$6="si",IF(D21=1,E21,E21*0.8),E21)),IF(F21="NO",0,IF(Hijuelas!$G$6="si",IF(D21=1,ROUNDUP(E21,0),ROUNDUP(E21*0.8,0)),ROUNDUP(E21,0))))</f>
        <v>31.205840000000002</v>
      </c>
      <c r="I21" s="137">
        <v>0</v>
      </c>
      <c r="J21" s="137">
        <f>+$J$9/60*H21</f>
        <v>0.25635167901924605</v>
      </c>
      <c r="K21" s="95">
        <f t="shared" si="2"/>
        <v>42976.837120636686</v>
      </c>
      <c r="L21" s="95">
        <f t="shared" si="3"/>
        <v>42977.093472315704</v>
      </c>
      <c r="M21" s="5"/>
      <c r="N21" s="83"/>
      <c r="O21" s="27" t="str">
        <f>+CONCATENATE(B21,C21)</f>
        <v>125339</v>
      </c>
      <c r="P21" s="112">
        <f>VLOOKUP(O21,deuda!A$1:H$543,4,0)</f>
        <v>1</v>
      </c>
      <c r="Q21" s="112">
        <f>VLOOKUP(O21,deuda!A$1:H$543,5,0)</f>
        <v>0</v>
      </c>
      <c r="R21" s="112" t="str">
        <f>IF(VLOOKUP(O21,deuda!A$1:H$543,6,0)=0,"",VLOOKUP(O21,deuda!A$1:H$543,6,0))</f>
        <v/>
      </c>
      <c r="S21" s="113" t="str">
        <f>IF((VLOOKUP(O21,deuda!A$1:H$543,7,0))=0,"",VLOOKUP(O21,deuda!A$1:H$543,7,0))</f>
        <v/>
      </c>
      <c r="T21" s="114" t="str">
        <f>IF((VLOOKUP(O21,deuda!A$1:H$543,8,0))=0,"",VLOOKUP(O21,deuda!A$1:H$543,8,0))</f>
        <v/>
      </c>
    </row>
    <row r="22" spans="1:20" ht="30" customHeight="1" thickBot="1">
      <c r="A22" s="5">
        <v>4</v>
      </c>
      <c r="B22" s="179">
        <v>1253</v>
      </c>
      <c r="C22" s="179">
        <v>114</v>
      </c>
      <c r="D22" s="250">
        <v>2</v>
      </c>
      <c r="E22" s="9">
        <v>8.1259999999999994</v>
      </c>
      <c r="F22" s="85" t="str">
        <f t="shared" ref="F22:F27" si="5">IF(P22=0,"NO",IF(P22=1,"SI","CONDICIONAL"))</f>
        <v>SI</v>
      </c>
      <c r="G22" s="392" t="s">
        <v>214</v>
      </c>
      <c r="H22" s="125">
        <f>IF(Hijuelas!$G$5="fracción",IF(F22="NO",0,IF(Hijuelas!$G$6="si",IF(D22=1,E22,E22*0.8),E22)),IF(F22="NO",0,IF(Hijuelas!$G$6="si",IF(D22=1,ROUNDUP(E22,0),ROUNDUP(E22*0.8,0)),ROUNDUP(E22,0))))</f>
        <v>6.5007999999999999</v>
      </c>
      <c r="I22" s="137">
        <v>0</v>
      </c>
      <c r="J22" s="137">
        <f t="shared" ref="J22:J27" si="6">+$J$9/60*H22</f>
        <v>5.3403176936378402E-2</v>
      </c>
      <c r="K22" s="95">
        <f t="shared" si="2"/>
        <v>42976.783717459752</v>
      </c>
      <c r="L22" s="95">
        <f t="shared" si="3"/>
        <v>42976.837120636686</v>
      </c>
      <c r="M22" s="5"/>
      <c r="N22" s="83"/>
      <c r="O22" s="27" t="str">
        <f t="shared" ref="O22:O27" si="7">+CONCATENATE(B22,C22)</f>
        <v>1253114</v>
      </c>
      <c r="P22" s="112">
        <f>VLOOKUP(O22,deuda!A$1:H$543,4,0)</f>
        <v>1</v>
      </c>
      <c r="Q22" s="112">
        <f>VLOOKUP(O22,deuda!A$1:H$543,5,0)</f>
        <v>0</v>
      </c>
      <c r="R22" s="112" t="str">
        <f>IF(VLOOKUP(O22,deuda!A$1:H$543,6,0)=0,"",VLOOKUP(O22,deuda!A$1:H$543,6,0))</f>
        <v/>
      </c>
      <c r="S22" s="113" t="str">
        <f>IF((VLOOKUP(O22,deuda!A$1:H$543,7,0))=0,"",VLOOKUP(O22,deuda!A$1:H$543,7,0))</f>
        <v/>
      </c>
      <c r="T22" s="114" t="str">
        <f>IF((VLOOKUP(O22,deuda!A$1:H$543,8,0))=0,"",VLOOKUP(O22,deuda!A$1:H$543,8,0))</f>
        <v/>
      </c>
    </row>
    <row r="23" spans="1:20" ht="30" customHeight="1" thickBot="1">
      <c r="A23" s="5">
        <v>4</v>
      </c>
      <c r="B23" s="250">
        <v>1253</v>
      </c>
      <c r="C23" s="250">
        <v>44</v>
      </c>
      <c r="D23" s="250">
        <v>2</v>
      </c>
      <c r="E23" s="9">
        <v>20</v>
      </c>
      <c r="F23" s="85" t="str">
        <f t="shared" si="5"/>
        <v>SI</v>
      </c>
      <c r="G23" s="335" t="s">
        <v>213</v>
      </c>
      <c r="H23" s="125">
        <f>IF(Hijuelas!$G$5="fracción",IF(F23="NO",0,IF(Hijuelas!$G$6="si",IF(D23=1,E23,E23*0.8),E23)),IF(F23="NO",0,IF(Hijuelas!$G$6="si",IF(D23=1,ROUNDUP(E23,0),ROUNDUP(E23*0.8,0)),ROUNDUP(E23,0))))</f>
        <v>16</v>
      </c>
      <c r="I23" s="137">
        <v>0</v>
      </c>
      <c r="J23" s="137">
        <f t="shared" si="6"/>
        <v>0.13143779703760375</v>
      </c>
      <c r="K23" s="95">
        <f t="shared" si="2"/>
        <v>42976.65227966271</v>
      </c>
      <c r="L23" s="95">
        <f t="shared" si="3"/>
        <v>42976.783717459752</v>
      </c>
      <c r="M23" s="5"/>
      <c r="N23" s="83"/>
      <c r="O23" s="27" t="str">
        <f t="shared" si="7"/>
        <v>125344</v>
      </c>
      <c r="P23" s="112">
        <f>VLOOKUP(O23,deuda!A$1:H$543,4,0)</f>
        <v>1</v>
      </c>
      <c r="Q23" s="112">
        <f>VLOOKUP(O23,deuda!A$1:H$543,5,0)</f>
        <v>0</v>
      </c>
      <c r="R23" s="112" t="str">
        <f>IF(VLOOKUP(O23,deuda!A$1:H$543,6,0)=0,"",VLOOKUP(O23,deuda!A$1:H$543,6,0))</f>
        <v/>
      </c>
      <c r="S23" s="113" t="str">
        <f>IF((VLOOKUP(O23,deuda!A$1:H$543,7,0))=0,"",VLOOKUP(O23,deuda!A$1:H$543,7,0))</f>
        <v/>
      </c>
      <c r="T23" s="114" t="str">
        <f>IF((VLOOKUP(O23,deuda!A$1:H$543,8,0))=0,"",VLOOKUP(O23,deuda!A$1:H$543,8,0))</f>
        <v/>
      </c>
    </row>
    <row r="24" spans="1:20" ht="30" customHeight="1" thickBot="1">
      <c r="A24" s="5">
        <v>4</v>
      </c>
      <c r="B24" s="250">
        <v>1253</v>
      </c>
      <c r="C24" s="250">
        <v>107</v>
      </c>
      <c r="D24" s="250">
        <v>2</v>
      </c>
      <c r="E24" s="9">
        <v>8.2212999999999994</v>
      </c>
      <c r="F24" s="85" t="str">
        <f t="shared" si="5"/>
        <v>SI</v>
      </c>
      <c r="G24" s="335" t="s">
        <v>215</v>
      </c>
      <c r="H24" s="125">
        <f>IF(Hijuelas!$G$5="fracción",IF(F24="NO",0,IF(Hijuelas!$G$6="si",IF(D24=1,E24,E24*0.8),E24)),IF(F24="NO",0,IF(Hijuelas!$G$6="si",IF(D24=1,ROUNDUP(E24,0),ROUNDUP(E24*0.8,0)),ROUNDUP(E24,0))))</f>
        <v>6.5770400000000002</v>
      </c>
      <c r="I24" s="137">
        <v>0</v>
      </c>
      <c r="J24" s="137">
        <f t="shared" si="6"/>
        <v>5.4029478039262585E-2</v>
      </c>
      <c r="K24" s="95">
        <f t="shared" si="2"/>
        <v>42976.598250184674</v>
      </c>
      <c r="L24" s="95">
        <f t="shared" si="3"/>
        <v>42976.65227966271</v>
      </c>
      <c r="M24" s="5"/>
      <c r="N24" s="83"/>
      <c r="O24" s="27" t="str">
        <f t="shared" si="7"/>
        <v>1253107</v>
      </c>
      <c r="P24" s="112">
        <f>VLOOKUP(O24,deuda!A$1:H$543,4,0)</f>
        <v>1</v>
      </c>
      <c r="Q24" s="112">
        <f>VLOOKUP(O24,deuda!A$1:H$543,5,0)</f>
        <v>0</v>
      </c>
      <c r="R24" s="112" t="str">
        <f>IF(VLOOKUP(O24,deuda!A$1:H$543,6,0)=0,"",VLOOKUP(O24,deuda!A$1:H$543,6,0))</f>
        <v/>
      </c>
      <c r="S24" s="113" t="str">
        <f>IF((VLOOKUP(O24,deuda!A$1:H$543,7,0))=0,"",VLOOKUP(O24,deuda!A$1:H$543,7,0))</f>
        <v/>
      </c>
      <c r="T24" s="114" t="str">
        <f>IF((VLOOKUP(O24,deuda!A$1:H$543,8,0))=0,"",VLOOKUP(O24,deuda!A$1:H$543,8,0))</f>
        <v/>
      </c>
    </row>
    <row r="25" spans="1:20" ht="30" customHeight="1" thickBot="1">
      <c r="A25" s="5">
        <v>4</v>
      </c>
      <c r="B25" s="250">
        <v>1253</v>
      </c>
      <c r="C25" s="250">
        <v>54</v>
      </c>
      <c r="D25" s="250">
        <v>2</v>
      </c>
      <c r="E25" s="9">
        <v>10.429</v>
      </c>
      <c r="F25" s="85" t="str">
        <f t="shared" si="5"/>
        <v>SI</v>
      </c>
      <c r="G25" s="335" t="s">
        <v>216</v>
      </c>
      <c r="H25" s="125">
        <f>IF(Hijuelas!$G$5="fracción",IF(F25="NO",0,IF(Hijuelas!$G$6="si",IF(D25=1,E25,E25*0.8),E25)),IF(F25="NO",0,IF(Hijuelas!$G$6="si",IF(D25=1,ROUNDUP(E25,0),ROUNDUP(E25*0.8,0)),ROUNDUP(E25,0))))</f>
        <v>8.3432000000000013</v>
      </c>
      <c r="I25" s="137">
        <v>0</v>
      </c>
      <c r="J25" s="137">
        <f t="shared" si="6"/>
        <v>6.8538239265258483E-2</v>
      </c>
      <c r="K25" s="95">
        <f t="shared" si="2"/>
        <v>42976.529711945412</v>
      </c>
      <c r="L25" s="95">
        <f t="shared" si="3"/>
        <v>42976.598250184674</v>
      </c>
      <c r="M25" s="5"/>
      <c r="N25" s="83"/>
      <c r="O25" s="27" t="str">
        <f t="shared" si="7"/>
        <v>125354</v>
      </c>
      <c r="P25" s="112">
        <f>VLOOKUP(O25,deuda!A$1:H$543,4,0)</f>
        <v>1</v>
      </c>
      <c r="Q25" s="112">
        <f>VLOOKUP(O25,deuda!A$1:H$543,5,0)</f>
        <v>0</v>
      </c>
      <c r="R25" s="112" t="str">
        <f>IF(VLOOKUP(O25,deuda!A$1:H$543,6,0)=0,"",VLOOKUP(O25,deuda!A$1:H$543,6,0))</f>
        <v/>
      </c>
      <c r="S25" s="113" t="str">
        <f>IF((VLOOKUP(O25,deuda!A$1:H$543,7,0))=0,"",VLOOKUP(O25,deuda!A$1:H$543,7,0))</f>
        <v/>
      </c>
      <c r="T25" s="114" t="str">
        <f>IF((VLOOKUP(O25,deuda!A$1:H$543,8,0))=0,"",VLOOKUP(O25,deuda!A$1:H$543,8,0))</f>
        <v/>
      </c>
    </row>
    <row r="26" spans="1:20" ht="30" customHeight="1" thickBot="1">
      <c r="A26" s="5">
        <v>4</v>
      </c>
      <c r="B26" s="250">
        <v>1253</v>
      </c>
      <c r="C26" s="250">
        <v>53</v>
      </c>
      <c r="D26" s="250">
        <v>2</v>
      </c>
      <c r="E26" s="9">
        <v>10.414400000000001</v>
      </c>
      <c r="F26" s="85" t="str">
        <f t="shared" si="5"/>
        <v>SI</v>
      </c>
      <c r="G26" s="392" t="s">
        <v>217</v>
      </c>
      <c r="H26" s="125">
        <f>IF(Hijuelas!$G$5="fracción",IF(F26="NO",0,IF(Hijuelas!$G$6="si",IF(D26=1,E26,E26*0.8),E26)),IF(F26="NO",0,IF(Hijuelas!$G$6="si",IF(D26=1,ROUNDUP(E26,0),ROUNDUP(E26*0.8,0)),ROUNDUP(E26,0))))</f>
        <v>8.3315200000000011</v>
      </c>
      <c r="I26" s="137">
        <v>0</v>
      </c>
      <c r="J26" s="137">
        <f t="shared" si="6"/>
        <v>6.8442289673421031E-2</v>
      </c>
      <c r="K26" s="95">
        <f t="shared" si="2"/>
        <v>42976.461269655738</v>
      </c>
      <c r="L26" s="95">
        <f t="shared" si="3"/>
        <v>42976.529711945412</v>
      </c>
      <c r="M26" s="5"/>
      <c r="N26" s="83"/>
      <c r="O26" s="27" t="str">
        <f t="shared" si="7"/>
        <v>125353</v>
      </c>
      <c r="P26" s="112">
        <f>VLOOKUP(O26,deuda!A$1:H$543,4,0)</f>
        <v>1</v>
      </c>
      <c r="Q26" s="112">
        <f>VLOOKUP(O26,deuda!A$1:H$543,5,0)</f>
        <v>0</v>
      </c>
      <c r="R26" s="112" t="str">
        <f>IF(VLOOKUP(O26,deuda!A$1:H$543,6,0)=0,"",VLOOKUP(O26,deuda!A$1:H$543,6,0))</f>
        <v/>
      </c>
      <c r="S26" s="113" t="str">
        <f>IF((VLOOKUP(O26,deuda!A$1:H$543,7,0))=0,"",VLOOKUP(O26,deuda!A$1:H$543,7,0))</f>
        <v/>
      </c>
      <c r="T26" s="114" t="str">
        <f>IF((VLOOKUP(O26,deuda!A$1:H$543,8,0))=0,"",VLOOKUP(O26,deuda!A$1:H$543,8,0))</f>
        <v/>
      </c>
    </row>
    <row r="27" spans="1:20" ht="30" customHeight="1" thickBot="1">
      <c r="A27" s="5">
        <v>4</v>
      </c>
      <c r="B27" s="250">
        <v>1253</v>
      </c>
      <c r="C27" s="250">
        <v>20</v>
      </c>
      <c r="D27" s="250">
        <v>2</v>
      </c>
      <c r="E27" s="9">
        <v>20</v>
      </c>
      <c r="F27" s="85" t="str">
        <f t="shared" si="5"/>
        <v>SI</v>
      </c>
      <c r="G27" s="335" t="s">
        <v>218</v>
      </c>
      <c r="H27" s="125">
        <f>IF(Hijuelas!$G$5="fracción",IF(F27="NO",0,IF(Hijuelas!$G$6="si",IF(D27=1,E27,E27*0.8),E27)),IF(F27="NO",0,IF(Hijuelas!$G$6="si",IF(D27=1,ROUNDUP(E27,0),ROUNDUP(E27*0.8,0)),ROUNDUP(E27,0))))</f>
        <v>16</v>
      </c>
      <c r="I27" s="137">
        <v>0</v>
      </c>
      <c r="J27" s="137">
        <f t="shared" si="6"/>
        <v>0.13143779703760375</v>
      </c>
      <c r="K27" s="95">
        <f t="shared" si="2"/>
        <v>42976.329831858697</v>
      </c>
      <c r="L27" s="95">
        <f t="shared" si="3"/>
        <v>42976.461269655738</v>
      </c>
      <c r="M27" s="5"/>
      <c r="N27" s="83"/>
      <c r="O27" s="27" t="str">
        <f t="shared" si="7"/>
        <v>125320</v>
      </c>
      <c r="P27" s="112">
        <f>VLOOKUP(O27,deuda!A$1:H$543,4,0)</f>
        <v>1</v>
      </c>
      <c r="Q27" s="112">
        <f>VLOOKUP(O27,deuda!A$1:H$543,5,0)</f>
        <v>0</v>
      </c>
      <c r="R27" s="112" t="str">
        <f>IF(VLOOKUP(O27,deuda!A$1:H$543,6,0)=0,"",VLOOKUP(O27,deuda!A$1:H$543,6,0))</f>
        <v/>
      </c>
      <c r="S27" s="113" t="str">
        <f>IF((VLOOKUP(O27,deuda!A$1:H$543,7,0))=0,"",VLOOKUP(O27,deuda!A$1:H$543,7,0))</f>
        <v/>
      </c>
      <c r="T27" s="114" t="str">
        <f>IF((VLOOKUP(O27,deuda!A$1:H$543,8,0))=0,"",VLOOKUP(O27,deuda!A$1:H$543,8,0))</f>
        <v/>
      </c>
    </row>
    <row r="28" spans="1:20" ht="30" customHeight="1" thickBot="1">
      <c r="A28" s="5">
        <v>4</v>
      </c>
      <c r="B28" s="250">
        <v>1253</v>
      </c>
      <c r="C28" s="250">
        <v>141</v>
      </c>
      <c r="D28" s="250">
        <v>2</v>
      </c>
      <c r="E28" s="9">
        <v>4.1727999999999996</v>
      </c>
      <c r="F28" s="85" t="str">
        <f>IF(P28=0,"NO",IF(P28=1,"SI","CONDICIONAL"))</f>
        <v>SI</v>
      </c>
      <c r="G28" s="392" t="s">
        <v>219</v>
      </c>
      <c r="H28" s="125">
        <f>IF(Hijuelas!$G$5="fracción",IF(F28="NO",0,IF(Hijuelas!$G$6="si",IF(D28=1,E28,E28*0.8),E28)),IF(F28="NO",0,IF(Hijuelas!$G$6="si",IF(D28=1,ROUNDUP(E28,0),ROUNDUP(E28*0.8,0)),ROUNDUP(E28,0))))</f>
        <v>3.3382399999999999</v>
      </c>
      <c r="I28" s="340">
        <v>2.0833333333333332E-2</v>
      </c>
      <c r="J28" s="137">
        <f>+$J$9/60*H28</f>
        <v>2.7423181973925646E-2</v>
      </c>
      <c r="K28" s="95">
        <f t="shared" si="2"/>
        <v>42976.28157534339</v>
      </c>
      <c r="L28" s="95">
        <f t="shared" si="3"/>
        <v>42976.329831858697</v>
      </c>
      <c r="M28" s="5"/>
      <c r="N28" s="83"/>
      <c r="O28" s="27" t="str">
        <f>+CONCATENATE(B28,C28)</f>
        <v>1253141</v>
      </c>
      <c r="P28" s="112">
        <f>VLOOKUP(O28,deuda!A$1:H$543,4,0)</f>
        <v>1</v>
      </c>
      <c r="Q28" s="112">
        <f>VLOOKUP(O28,deuda!A$1:H$543,5,0)</f>
        <v>1</v>
      </c>
      <c r="R28" s="112" t="str">
        <f>IF(VLOOKUP(O28,deuda!A$1:H$543,6,0)=0,"",VLOOKUP(O28,deuda!A$1:H$543,6,0))</f>
        <v/>
      </c>
      <c r="S28" s="113" t="str">
        <f>IF((VLOOKUP(O28,deuda!A$1:H$543,7,0))=0,"",VLOOKUP(O28,deuda!A$1:H$543,7,0))</f>
        <v/>
      </c>
      <c r="T28" s="114" t="str">
        <f>IF((VLOOKUP(O28,deuda!A$1:H$543,8,0))=0,"",VLOOKUP(O28,deuda!A$1:H$543,8,0))</f>
        <v/>
      </c>
    </row>
    <row r="29" spans="1:20" ht="30" customHeight="1" thickBot="1">
      <c r="A29" s="5">
        <v>5</v>
      </c>
      <c r="B29" s="250">
        <v>1253</v>
      </c>
      <c r="C29" s="250">
        <v>77</v>
      </c>
      <c r="D29" s="250">
        <v>2</v>
      </c>
      <c r="E29" s="9">
        <v>15.812099999999999</v>
      </c>
      <c r="F29" s="85" t="s">
        <v>90</v>
      </c>
      <c r="G29" s="335" t="s">
        <v>220</v>
      </c>
      <c r="H29" s="125">
        <f>IF(Hijuelas!$G$5="fracción",IF(F29="NO",0,IF(Hijuelas!$G$6="si",IF(D29=1,E29,E29*0.8),E29)),IF(F29="NO",0,IF(Hijuelas!$G$6="si",IF(D29=1,ROUNDUP(E29,0),ROUNDUP(E29*0.8,0)),ROUNDUP(E29,0))))</f>
        <v>12.64968</v>
      </c>
      <c r="I29" s="137">
        <v>2.0833333333333332E-2</v>
      </c>
      <c r="J29" s="137">
        <f t="shared" si="1"/>
        <v>0.10391537952691471</v>
      </c>
      <c r="K29" s="95">
        <f t="shared" si="2"/>
        <v>42976.156826630526</v>
      </c>
      <c r="L29" s="95">
        <f t="shared" si="3"/>
        <v>42976.28157534339</v>
      </c>
      <c r="M29" s="5"/>
      <c r="N29" s="83"/>
      <c r="O29" s="27" t="str">
        <f t="shared" si="4"/>
        <v>125377</v>
      </c>
      <c r="P29" s="112">
        <f>VLOOKUP(O29,deuda!A$1:H$543,4,0)</f>
        <v>1</v>
      </c>
      <c r="Q29" s="112">
        <f>VLOOKUP(O29,deuda!A$1:H$543,5,0)</f>
        <v>1</v>
      </c>
      <c r="R29" s="112" t="str">
        <f>IF(VLOOKUP(O29,deuda!A$1:H$543,6,0)=0,"",VLOOKUP(O29,deuda!A$1:H$543,6,0))</f>
        <v/>
      </c>
      <c r="S29" s="113" t="str">
        <f>IF((VLOOKUP(O29,deuda!A$1:H$543,7,0))=0,"",VLOOKUP(O29,deuda!A$1:H$543,7,0))</f>
        <v/>
      </c>
      <c r="T29" s="114" t="str">
        <f>IF((VLOOKUP(O29,deuda!A$1:H$543,8,0))=0,"",VLOOKUP(O29,deuda!A$1:H$543,8,0))</f>
        <v/>
      </c>
    </row>
    <row r="30" spans="1:20" ht="30" customHeight="1" thickBot="1">
      <c r="A30" s="5">
        <v>6</v>
      </c>
      <c r="B30" s="250">
        <v>1253</v>
      </c>
      <c r="C30" s="250">
        <v>55</v>
      </c>
      <c r="D30" s="250">
        <v>2</v>
      </c>
      <c r="E30" s="9">
        <v>10.386100000000001</v>
      </c>
      <c r="F30" s="85" t="str">
        <f>IF(P30=0,"NO",IF(P30=1,"SI","CONDICIONAL"))</f>
        <v>SI</v>
      </c>
      <c r="G30" s="335" t="s">
        <v>221</v>
      </c>
      <c r="H30" s="125">
        <f>IF(Hijuelas!$G$5="fracción",IF(F30="NO",0,IF(Hijuelas!$G$6="si",IF(D30=1,E30,E30*0.8),E30)),IF(F30="NO",0,IF(Hijuelas!$G$6="si",IF(D30=1,ROUNDUP(E30,0),ROUNDUP(E30*0.8,0)),ROUNDUP(E30,0))))</f>
        <v>8.3088800000000003</v>
      </c>
      <c r="I30" s="137">
        <v>2.0833333333333332E-2</v>
      </c>
      <c r="J30" s="137">
        <f>+$J$9/60*H30</f>
        <v>6.825630519061282E-2</v>
      </c>
      <c r="K30" s="95">
        <f t="shared" si="2"/>
        <v>42976.067736992001</v>
      </c>
      <c r="L30" s="95">
        <f t="shared" si="3"/>
        <v>42976.156826630526</v>
      </c>
      <c r="M30" s="5"/>
      <c r="N30" s="83"/>
      <c r="O30" s="27" t="str">
        <f>+CONCATENATE(B30,C30)</f>
        <v>125355</v>
      </c>
      <c r="P30" s="112">
        <f>VLOOKUP(O30,deuda!A$1:H$543,4,0)</f>
        <v>1</v>
      </c>
      <c r="Q30" s="112">
        <f>VLOOKUP(O30,deuda!A$1:H$543,5,0)</f>
        <v>1</v>
      </c>
      <c r="R30" s="112" t="str">
        <f>IF(VLOOKUP(O30,deuda!A$1:H$543,6,0)=0,"",VLOOKUP(O30,deuda!A$1:H$543,6,0))</f>
        <v/>
      </c>
      <c r="S30" s="113" t="str">
        <f>IF((VLOOKUP(O30,deuda!A$1:H$543,7,0))=0,"",VLOOKUP(O30,deuda!A$1:H$543,7,0))</f>
        <v/>
      </c>
      <c r="T30" s="114" t="str">
        <f>IF((VLOOKUP(O30,deuda!A$1:H$543,8,0))=0,"",VLOOKUP(O30,deuda!A$1:H$543,8,0))</f>
        <v/>
      </c>
    </row>
    <row r="31" spans="1:20" ht="30" customHeight="1" thickBot="1">
      <c r="A31" s="71">
        <v>7</v>
      </c>
      <c r="B31" s="250">
        <v>1253</v>
      </c>
      <c r="C31" s="250">
        <v>43</v>
      </c>
      <c r="D31" s="250">
        <v>2</v>
      </c>
      <c r="E31" s="9">
        <v>4.7759999999999998</v>
      </c>
      <c r="F31" s="85" t="str">
        <f t="shared" si="0"/>
        <v>NO</v>
      </c>
      <c r="G31" s="335" t="s">
        <v>222</v>
      </c>
      <c r="H31" s="125">
        <f>IF(Hijuelas!$G$5="fracción",IF(F31="NO",0,IF(Hijuelas!$G$6="si",IF(D31=1,E31,E31*0.8),E31)),IF(F31="NO",0,IF(Hijuelas!$G$6="si",IF(D31=1,ROUNDUP(E31,0),ROUNDUP(E31*0.8,0)),ROUNDUP(E31,0))))</f>
        <v>0</v>
      </c>
      <c r="I31" s="137">
        <v>0</v>
      </c>
      <c r="J31" s="137">
        <f t="shared" si="1"/>
        <v>0</v>
      </c>
      <c r="K31" s="95">
        <f t="shared" si="2"/>
        <v>42976.067736992001</v>
      </c>
      <c r="L31" s="95">
        <f t="shared" si="3"/>
        <v>42976.067736992001</v>
      </c>
      <c r="M31" s="5"/>
      <c r="N31" s="83"/>
      <c r="O31" s="27" t="str">
        <f t="shared" si="4"/>
        <v>125343</v>
      </c>
      <c r="P31" s="112">
        <f>VLOOKUP(O31,deuda!A$1:H$543,4,0)</f>
        <v>0</v>
      </c>
      <c r="Q31" s="112">
        <f>VLOOKUP(O31,deuda!A$1:H$543,5,0)</f>
        <v>74</v>
      </c>
      <c r="R31" s="112" t="str">
        <f>IF(VLOOKUP(O31,deuda!A$1:H$543,6,0)=0,"",VLOOKUP(O31,deuda!A$1:H$543,6,0))</f>
        <v/>
      </c>
      <c r="S31" s="113" t="str">
        <f>IF((VLOOKUP(O31,deuda!A$1:H$543,7,0))=0,"",VLOOKUP(O31,deuda!A$1:H$543,7,0))</f>
        <v/>
      </c>
      <c r="T31" s="114" t="str">
        <f>IF((VLOOKUP(O31,deuda!A$1:H$543,8,0))=0,"",VLOOKUP(O31,deuda!A$1:H$543,8,0))</f>
        <v/>
      </c>
    </row>
    <row r="32" spans="1:20" ht="30" customHeight="1" thickBot="1">
      <c r="A32" s="5">
        <v>8</v>
      </c>
      <c r="B32" s="250">
        <v>1253</v>
      </c>
      <c r="C32" s="250">
        <v>59</v>
      </c>
      <c r="D32" s="250">
        <v>2</v>
      </c>
      <c r="E32" s="9">
        <v>10.4994</v>
      </c>
      <c r="F32" s="85" t="str">
        <f t="shared" si="0"/>
        <v>SI</v>
      </c>
      <c r="G32" s="335" t="s">
        <v>223</v>
      </c>
      <c r="H32" s="125">
        <f>IF(Hijuelas!$G$5="fracción",IF(F32="NO",0,IF(Hijuelas!$G$6="si",IF(D32=1,E32,E32*0.8),E32)),IF(F32="NO",0,IF(Hijuelas!$G$6="si",IF(D32=1,ROUNDUP(E32,0),ROUNDUP(E32*0.8,0)),ROUNDUP(E32,0))))</f>
        <v>8.3995200000000008</v>
      </c>
      <c r="I32" s="137">
        <v>2.0833333333333332E-2</v>
      </c>
      <c r="J32" s="137">
        <f t="shared" si="1"/>
        <v>6.9000900310830851E-2</v>
      </c>
      <c r="K32" s="95">
        <f t="shared" si="2"/>
        <v>42975.977902758357</v>
      </c>
      <c r="L32" s="95">
        <f t="shared" si="3"/>
        <v>42976.067736992001</v>
      </c>
      <c r="M32" s="5"/>
      <c r="N32" s="83"/>
      <c r="O32" s="27" t="str">
        <f t="shared" si="4"/>
        <v>125359</v>
      </c>
      <c r="P32" s="112">
        <f>VLOOKUP(O32,deuda!A$1:H$543,4,0)</f>
        <v>1</v>
      </c>
      <c r="Q32" s="112">
        <f>VLOOKUP(O32,deuda!A$1:H$543,5,0)</f>
        <v>0</v>
      </c>
      <c r="R32" s="112" t="str">
        <f>IF(VLOOKUP(O32,deuda!A$1:H$543,6,0)=0,"",VLOOKUP(O32,deuda!A$1:H$543,6,0))</f>
        <v/>
      </c>
      <c r="S32" s="113" t="str">
        <f>IF((VLOOKUP(O32,deuda!A$1:H$543,7,0))=0,"",VLOOKUP(O32,deuda!A$1:H$543,7,0))</f>
        <v/>
      </c>
      <c r="T32" s="114" t="str">
        <f>IF((VLOOKUP(O32,deuda!A$1:H$543,8,0))=0,"",VLOOKUP(O32,deuda!A$1:H$543,8,0))</f>
        <v/>
      </c>
    </row>
    <row r="33" spans="1:20" ht="30" customHeight="1" thickBot="1">
      <c r="A33" s="5">
        <v>9</v>
      </c>
      <c r="B33" s="250">
        <v>1253</v>
      </c>
      <c r="C33" s="250">
        <v>113</v>
      </c>
      <c r="D33" s="250">
        <v>2</v>
      </c>
      <c r="E33" s="9">
        <v>10</v>
      </c>
      <c r="F33" s="85" t="str">
        <f>IF(P33=0,"NO",IF(P33=1,"SI","CONDICIONAL"))</f>
        <v>SI</v>
      </c>
      <c r="G33" s="335" t="s">
        <v>224</v>
      </c>
      <c r="H33" s="125">
        <f>IF(Hijuelas!$G$5="fracción",IF(F33="NO",0,IF(Hijuelas!$G$6="si",IF(D33=1,E33,E33*0.8),E33)),IF(F33="NO",0,IF(Hijuelas!$G$6="si",IF(D33=1,ROUNDUP(E33,0),ROUNDUP(E33*0.8,0)),ROUNDUP(E33,0))))</f>
        <v>8</v>
      </c>
      <c r="I33" s="137">
        <v>0</v>
      </c>
      <c r="J33" s="137">
        <f>+$J$9/60*H33</f>
        <v>6.5718898518801874E-2</v>
      </c>
      <c r="K33" s="95">
        <f t="shared" si="2"/>
        <v>42975.912183859837</v>
      </c>
      <c r="L33" s="95">
        <f t="shared" si="3"/>
        <v>42975.977902758357</v>
      </c>
      <c r="M33" s="5"/>
      <c r="N33" s="83"/>
      <c r="O33" s="27" t="str">
        <f>+CONCATENATE(B33,C33)</f>
        <v>1253113</v>
      </c>
      <c r="P33" s="112">
        <f>VLOOKUP(O33,deuda!A$1:H$543,4,0)</f>
        <v>1</v>
      </c>
      <c r="Q33" s="112">
        <f>VLOOKUP(O33,deuda!A$1:H$543,5,0)</f>
        <v>0</v>
      </c>
      <c r="R33" s="112" t="str">
        <f>IF(VLOOKUP(O33,deuda!A$1:H$543,6,0)=0,"",VLOOKUP(O33,deuda!A$1:H$543,6,0))</f>
        <v/>
      </c>
      <c r="S33" s="113" t="str">
        <f>IF((VLOOKUP(O33,deuda!A$1:H$543,7,0))=0,"",VLOOKUP(O33,deuda!A$1:H$543,7,0))</f>
        <v/>
      </c>
      <c r="T33" s="114" t="str">
        <f>IF((VLOOKUP(O33,deuda!A$1:H$543,8,0))=0,"",VLOOKUP(O33,deuda!A$1:H$543,8,0))</f>
        <v/>
      </c>
    </row>
    <row r="34" spans="1:20" ht="30" customHeight="1" thickBot="1">
      <c r="A34" s="5">
        <v>9</v>
      </c>
      <c r="B34" s="250">
        <v>1253</v>
      </c>
      <c r="C34" s="250">
        <v>48</v>
      </c>
      <c r="D34" s="250">
        <v>2</v>
      </c>
      <c r="E34" s="9">
        <v>10.3744</v>
      </c>
      <c r="F34" s="85" t="str">
        <f>IF(P34=0,"NO",IF(P34=1,"SI","CONDICIONAL"))</f>
        <v>SI</v>
      </c>
      <c r="G34" s="335" t="s">
        <v>224</v>
      </c>
      <c r="H34" s="125">
        <f>IF(Hijuelas!$G$5="fracción",IF(F34="NO",0,IF(Hijuelas!$G$6="si",IF(D34=1,E34,E34*0.8),E34)),IF(F34="NO",0,IF(Hijuelas!$G$6="si",IF(D34=1,ROUNDUP(E34,0),ROUNDUP(E34*0.8,0)),ROUNDUP(E34,0))))</f>
        <v>8.2995199999999993</v>
      </c>
      <c r="I34" s="137">
        <v>0</v>
      </c>
      <c r="J34" s="137">
        <f>+$J$9/60*H34</f>
        <v>6.8179414079345815E-2</v>
      </c>
      <c r="K34" s="95">
        <f t="shared" si="2"/>
        <v>42975.84400444576</v>
      </c>
      <c r="L34" s="95">
        <f t="shared" si="3"/>
        <v>42975.912183859837</v>
      </c>
      <c r="M34" s="5"/>
      <c r="N34" s="83"/>
      <c r="O34" s="27" t="str">
        <f>+CONCATENATE(B34,C34)</f>
        <v>125348</v>
      </c>
      <c r="P34" s="112">
        <f>VLOOKUP(O34,deuda!A$1:H$543,4,0)</f>
        <v>1</v>
      </c>
      <c r="Q34" s="112">
        <f>VLOOKUP(O34,deuda!A$1:H$543,5,0)</f>
        <v>0</v>
      </c>
      <c r="R34" s="112" t="str">
        <f>IF(VLOOKUP(O34,deuda!A$1:H$543,6,0)=0,"",VLOOKUP(O34,deuda!A$1:H$543,6,0))</f>
        <v/>
      </c>
      <c r="S34" s="113" t="str">
        <f>IF((VLOOKUP(O34,deuda!A$1:H$543,7,0))=0,"",VLOOKUP(O34,deuda!A$1:H$543,7,0))</f>
        <v/>
      </c>
      <c r="T34" s="114" t="str">
        <f>IF((VLOOKUP(O34,deuda!A$1:H$543,8,0))=0,"",VLOOKUP(O34,deuda!A$1:H$543,8,0))</f>
        <v/>
      </c>
    </row>
    <row r="35" spans="1:20" ht="30" customHeight="1" thickBot="1">
      <c r="A35" s="5">
        <v>9</v>
      </c>
      <c r="B35" s="250">
        <v>1253</v>
      </c>
      <c r="C35" s="250">
        <v>74</v>
      </c>
      <c r="D35" s="250">
        <v>2</v>
      </c>
      <c r="E35" s="9">
        <v>2</v>
      </c>
      <c r="F35" s="85" t="str">
        <f>IF(P35=0,"NO",IF(P35=1,"SI","CONDICIONAL"))</f>
        <v>SI</v>
      </c>
      <c r="G35" s="335" t="s">
        <v>225</v>
      </c>
      <c r="H35" s="125">
        <f>IF(Hijuelas!$G$5="fracción",IF(F35="NO",0,IF(Hijuelas!$G$6="si",IF(D35=1,E35,E35*0.8),E35)),IF(F35="NO",0,IF(Hijuelas!$G$6="si",IF(D35=1,ROUNDUP(E35,0),ROUNDUP(E35*0.8,0)),ROUNDUP(E35,0))))</f>
        <v>1.6</v>
      </c>
      <c r="I35" s="137">
        <v>2.0833333333333332E-2</v>
      </c>
      <c r="J35" s="137">
        <f>+$J$9/60*H35</f>
        <v>1.3143779703760376E-2</v>
      </c>
      <c r="K35" s="95">
        <f t="shared" si="2"/>
        <v>42975.810027332722</v>
      </c>
      <c r="L35" s="95">
        <f t="shared" si="3"/>
        <v>42975.84400444576</v>
      </c>
      <c r="M35" s="5"/>
      <c r="N35" s="83"/>
      <c r="O35" s="27" t="str">
        <f>+CONCATENATE(B35,C35)</f>
        <v>125374</v>
      </c>
      <c r="P35" s="112">
        <f>VLOOKUP(O35,deuda!A$1:H$543,4,0)</f>
        <v>1</v>
      </c>
      <c r="Q35" s="112">
        <f>VLOOKUP(O35,deuda!A$1:H$543,5,0)</f>
        <v>0</v>
      </c>
      <c r="R35" s="112" t="str">
        <f>IF(VLOOKUP(O35,deuda!A$1:H$543,6,0)=0,"",VLOOKUP(O35,deuda!A$1:H$543,6,0))</f>
        <v/>
      </c>
      <c r="S35" s="113" t="str">
        <f>IF((VLOOKUP(O35,deuda!A$1:H$543,7,0))=0,"",VLOOKUP(O35,deuda!A$1:H$543,7,0))</f>
        <v/>
      </c>
      <c r="T35" s="114" t="str">
        <f>IF((VLOOKUP(O35,deuda!A$1:H$543,8,0))=0,"",VLOOKUP(O35,deuda!A$1:H$543,8,0))</f>
        <v/>
      </c>
    </row>
    <row r="36" spans="1:20" ht="30" customHeight="1" thickBot="1">
      <c r="A36" s="5">
        <v>10</v>
      </c>
      <c r="B36" s="250">
        <v>1253</v>
      </c>
      <c r="C36" s="250">
        <v>49</v>
      </c>
      <c r="D36" s="250">
        <v>2</v>
      </c>
      <c r="E36" s="9">
        <v>9.8056000000000001</v>
      </c>
      <c r="F36" s="85" t="s">
        <v>90</v>
      </c>
      <c r="G36" s="335" t="s">
        <v>226</v>
      </c>
      <c r="H36" s="125">
        <f>IF(Hijuelas!$G$5="fracción",IF(F36="NO",0,IF(Hijuelas!$G$6="si",IF(D36=1,E36,E36*0.8),E36)),IF(F36="NO",0,IF(Hijuelas!$G$6="si",IF(D36=1,ROUNDUP(E36,0),ROUNDUP(E36*0.8,0)),ROUNDUP(E36,0))))</f>
        <v>7.8444800000000008</v>
      </c>
      <c r="I36" s="137">
        <v>0</v>
      </c>
      <c r="J36" s="137">
        <f t="shared" si="1"/>
        <v>6.4441323131596367E-2</v>
      </c>
      <c r="K36" s="95">
        <f t="shared" si="2"/>
        <v>42975.745586009587</v>
      </c>
      <c r="L36" s="95">
        <f t="shared" si="3"/>
        <v>42975.810027332722</v>
      </c>
      <c r="M36" s="5"/>
      <c r="N36" s="83"/>
      <c r="O36" s="27" t="str">
        <f t="shared" si="4"/>
        <v>125349</v>
      </c>
      <c r="P36" s="112">
        <f>VLOOKUP(O36,deuda!A$1:H$543,4,0)</f>
        <v>1</v>
      </c>
      <c r="Q36" s="112">
        <f>VLOOKUP(O36,deuda!A$1:H$543,5,0)</f>
        <v>2</v>
      </c>
      <c r="R36" s="112" t="str">
        <f>IF(VLOOKUP(O36,deuda!A$1:H$543,6,0)=0,"",VLOOKUP(O36,deuda!A$1:H$543,6,0))</f>
        <v/>
      </c>
      <c r="S36" s="113" t="str">
        <f>IF((VLOOKUP(O36,deuda!A$1:H$543,7,0))=0,"",VLOOKUP(O36,deuda!A$1:H$543,7,0))</f>
        <v/>
      </c>
      <c r="T36" s="114" t="str">
        <f>IF((VLOOKUP(O36,deuda!A$1:H$543,8,0))=0,"",VLOOKUP(O36,deuda!A$1:H$543,8,0))</f>
        <v/>
      </c>
    </row>
    <row r="37" spans="1:20" ht="30" customHeight="1" thickBot="1">
      <c r="A37" s="5">
        <v>11</v>
      </c>
      <c r="B37" s="250">
        <v>1253</v>
      </c>
      <c r="C37" s="250">
        <v>50</v>
      </c>
      <c r="D37" s="250">
        <v>2</v>
      </c>
      <c r="E37" s="9">
        <v>9.8051999999999992</v>
      </c>
      <c r="F37" s="85" t="str">
        <f t="shared" si="0"/>
        <v>SI</v>
      </c>
      <c r="G37" s="335" t="s">
        <v>227</v>
      </c>
      <c r="H37" s="125">
        <f>IF(Hijuelas!$G$5="fracción",IF(F37="NO",0,IF(Hijuelas!$G$6="si",IF(D37=1,E37,E37*0.8),E37)),IF(F37="NO",0,IF(Hijuelas!$G$6="si",IF(D37=1,ROUNDUP(E37,0),ROUNDUP(E37*0.8,0)),ROUNDUP(E37,0))))</f>
        <v>7.8441599999999996</v>
      </c>
      <c r="I37" s="137">
        <v>4.1666666666666664E-2</v>
      </c>
      <c r="J37" s="137">
        <f t="shared" si="1"/>
        <v>6.4438694375655609E-2</v>
      </c>
      <c r="K37" s="95">
        <f t="shared" si="2"/>
        <v>42975.639480648548</v>
      </c>
      <c r="L37" s="95">
        <f t="shared" si="3"/>
        <v>42975.745586009587</v>
      </c>
      <c r="M37" s="5"/>
      <c r="N37" s="83"/>
      <c r="O37" s="27" t="str">
        <f t="shared" si="4"/>
        <v>125350</v>
      </c>
      <c r="P37" s="112">
        <f>VLOOKUP(O37,deuda!A$1:H$543,4,0)</f>
        <v>1</v>
      </c>
      <c r="Q37" s="112">
        <f>VLOOKUP(O37,deuda!A$1:H$543,5,0)</f>
        <v>0</v>
      </c>
      <c r="R37" s="112" t="str">
        <f>IF(VLOOKUP(O37,deuda!A$1:H$543,6,0)=0,"",VLOOKUP(O37,deuda!A$1:H$543,6,0))</f>
        <v/>
      </c>
      <c r="S37" s="113" t="str">
        <f>IF((VLOOKUP(O37,deuda!A$1:H$543,7,0))=0,"",VLOOKUP(O37,deuda!A$1:H$543,7,0))</f>
        <v/>
      </c>
      <c r="T37" s="114" t="str">
        <f>IF((VLOOKUP(O37,deuda!A$1:H$543,8,0))=0,"",VLOOKUP(O37,deuda!A$1:H$543,8,0))</f>
        <v/>
      </c>
    </row>
    <row r="38" spans="1:20" ht="30" customHeight="1" thickBot="1">
      <c r="A38" s="5">
        <v>12</v>
      </c>
      <c r="B38" s="250">
        <v>1253</v>
      </c>
      <c r="C38" s="179">
        <v>12</v>
      </c>
      <c r="D38" s="250">
        <v>2</v>
      </c>
      <c r="E38" s="9">
        <v>10</v>
      </c>
      <c r="F38" s="85" t="str">
        <f t="shared" si="0"/>
        <v>SI</v>
      </c>
      <c r="G38" s="335" t="s">
        <v>216</v>
      </c>
      <c r="H38" s="125">
        <f>IF(Hijuelas!$G$5="fracción",IF(F38="NO",0,IF(Hijuelas!$G$6="si",IF(D38=1,E38,E38*0.8),E38)),IF(F38="NO",0,IF(Hijuelas!$G$6="si",IF(D38=1,ROUNDUP(E38,0),ROUNDUP(E38*0.8,0)),ROUNDUP(E38,0))))</f>
        <v>8</v>
      </c>
      <c r="I38" s="137">
        <v>0</v>
      </c>
      <c r="J38" s="137">
        <f t="shared" si="1"/>
        <v>6.5718898518801874E-2</v>
      </c>
      <c r="K38" s="95">
        <f t="shared" si="2"/>
        <v>42975.573761750027</v>
      </c>
      <c r="L38" s="95">
        <f t="shared" si="3"/>
        <v>42975.639480648548</v>
      </c>
      <c r="M38" s="5"/>
      <c r="N38" s="83"/>
      <c r="O38" s="27" t="str">
        <f t="shared" si="4"/>
        <v>125312</v>
      </c>
      <c r="P38" s="112">
        <f>VLOOKUP(O38,deuda!A$1:H$543,4,0)</f>
        <v>1</v>
      </c>
      <c r="Q38" s="112">
        <f>VLOOKUP(O38,deuda!A$1:H$543,5,0)</f>
        <v>0</v>
      </c>
      <c r="R38" s="112" t="str">
        <f>IF(VLOOKUP(O38,deuda!A$1:H$543,6,0)=0,"",VLOOKUP(O38,deuda!A$1:H$543,6,0))</f>
        <v/>
      </c>
      <c r="S38" s="113" t="str">
        <f>IF((VLOOKUP(O38,deuda!A$1:H$543,7,0))=0,"",VLOOKUP(O38,deuda!A$1:H$543,7,0))</f>
        <v/>
      </c>
      <c r="T38" s="114" t="str">
        <f>IF((VLOOKUP(O38,deuda!A$1:H$543,8,0))=0,"",VLOOKUP(O38,deuda!A$1:H$543,8,0))</f>
        <v/>
      </c>
    </row>
    <row r="39" spans="1:20" ht="27" customHeight="1" thickBot="1">
      <c r="A39" s="5">
        <v>12</v>
      </c>
      <c r="B39" s="250">
        <v>1253</v>
      </c>
      <c r="C39" s="179">
        <v>71</v>
      </c>
      <c r="D39" s="250">
        <v>2</v>
      </c>
      <c r="E39" s="9">
        <v>4.8056000000000001</v>
      </c>
      <c r="F39" s="85" t="str">
        <f t="shared" si="0"/>
        <v>SI</v>
      </c>
      <c r="G39" s="335" t="s">
        <v>216</v>
      </c>
      <c r="H39" s="125">
        <f>IF(Hijuelas!$G$5="fracción",IF(F39="NO",0,IF(Hijuelas!$G$6="si",IF(D39=1,E39,E39*0.8),E39)),IF(F39="NO",0,IF(Hijuelas!$G$6="si",IF(D39=1,ROUNDUP(E39,0),ROUNDUP(E39*0.8,0)),ROUNDUP(E39,0))))</f>
        <v>3.8444800000000003</v>
      </c>
      <c r="I39" s="137">
        <v>0</v>
      </c>
      <c r="J39" s="137">
        <f t="shared" si="1"/>
        <v>3.158187387219543E-2</v>
      </c>
      <c r="K39" s="95">
        <f t="shared" si="2"/>
        <v>42975.542179876153</v>
      </c>
      <c r="L39" s="95">
        <f t="shared" si="3"/>
        <v>42975.573761750027</v>
      </c>
      <c r="M39" s="5"/>
      <c r="N39" s="83"/>
      <c r="O39" s="27" t="str">
        <f t="shared" si="4"/>
        <v>125371</v>
      </c>
      <c r="P39" s="112">
        <f>VLOOKUP(O39,deuda!A$1:H$543,4,0)</f>
        <v>1</v>
      </c>
      <c r="Q39" s="112">
        <f>VLOOKUP(O39,deuda!A$1:H$543,5,0)</f>
        <v>0</v>
      </c>
      <c r="R39" s="112" t="str">
        <f>IF(VLOOKUP(O39,deuda!A$1:H$543,6,0)=0,"",VLOOKUP(O39,deuda!A$1:H$543,6,0))</f>
        <v/>
      </c>
      <c r="S39" s="113" t="str">
        <f>IF((VLOOKUP(O39,deuda!A$1:H$543,7,0))=0,"",VLOOKUP(O39,deuda!A$1:H$543,7,0))</f>
        <v/>
      </c>
      <c r="T39" s="114" t="str">
        <f>IF((VLOOKUP(O39,deuda!A$1:H$543,8,0))=0,"",VLOOKUP(O39,deuda!A$1:H$543,8,0))</f>
        <v/>
      </c>
    </row>
    <row r="40" spans="1:20" ht="27" customHeight="1" thickBot="1">
      <c r="A40" s="5">
        <v>12</v>
      </c>
      <c r="B40" s="250">
        <v>1253</v>
      </c>
      <c r="C40" s="179">
        <v>119</v>
      </c>
      <c r="D40" s="250">
        <v>2</v>
      </c>
      <c r="E40" s="9">
        <v>22.800999999999998</v>
      </c>
      <c r="F40" s="85" t="str">
        <f t="shared" si="0"/>
        <v>SI</v>
      </c>
      <c r="G40" s="335" t="s">
        <v>216</v>
      </c>
      <c r="H40" s="125">
        <f>IF(Hijuelas!$G$5="fracción",IF(F40="NO",0,IF(Hijuelas!$G$6="si",IF(D40=1,E40,E40*0.8),E40)),IF(F40="NO",0,IF(Hijuelas!$G$6="si",IF(D40=1,ROUNDUP(E40,0),ROUNDUP(E40*0.8,0)),ROUNDUP(E40,0))))</f>
        <v>18.2408</v>
      </c>
      <c r="I40" s="137">
        <v>1.3888888888888888E-2</v>
      </c>
      <c r="J40" s="137">
        <f t="shared" si="1"/>
        <v>0.14984566051272016</v>
      </c>
      <c r="K40" s="95">
        <f t="shared" si="2"/>
        <v>42975.378445326751</v>
      </c>
      <c r="L40" s="95">
        <f t="shared" si="3"/>
        <v>42975.542179876153</v>
      </c>
      <c r="M40" s="5"/>
      <c r="N40" s="83"/>
      <c r="O40" s="27" t="str">
        <f t="shared" si="4"/>
        <v>1253119</v>
      </c>
      <c r="P40" s="112">
        <f>VLOOKUP(O40,deuda!A$1:H$543,4,0)</f>
        <v>1</v>
      </c>
      <c r="Q40" s="112">
        <f>VLOOKUP(O40,deuda!A$1:H$543,5,0)</f>
        <v>0</v>
      </c>
      <c r="R40" s="112" t="str">
        <f>IF(VLOOKUP(O40,deuda!A$1:H$543,6,0)=0,"",VLOOKUP(O40,deuda!A$1:H$543,6,0))</f>
        <v/>
      </c>
      <c r="S40" s="113" t="str">
        <f>IF((VLOOKUP(O40,deuda!A$1:H$543,7,0))=0,"",VLOOKUP(O40,deuda!A$1:H$543,7,0))</f>
        <v/>
      </c>
      <c r="T40" s="114" t="str">
        <f>IF((VLOOKUP(O40,deuda!A$1:H$543,8,0))=0,"",VLOOKUP(O40,deuda!A$1:H$543,8,0))</f>
        <v/>
      </c>
    </row>
    <row r="41" spans="1:20" ht="30" customHeight="1" thickBot="1">
      <c r="A41" s="71">
        <v>13</v>
      </c>
      <c r="B41" s="250">
        <v>1253</v>
      </c>
      <c r="C41" s="179">
        <v>103</v>
      </c>
      <c r="D41" s="250">
        <v>2</v>
      </c>
      <c r="E41" s="9">
        <v>2.4493999999999998</v>
      </c>
      <c r="F41" s="85" t="str">
        <f t="shared" si="0"/>
        <v>NO</v>
      </c>
      <c r="G41" s="335" t="s">
        <v>228</v>
      </c>
      <c r="H41" s="125">
        <f>IF(Hijuelas!$G$5="fracción",IF(F41="NO",0,IF(Hijuelas!$G$6="si",IF(D41=1,E41,E41*0.8),E41)),IF(F41="NO",0,IF(Hijuelas!$G$6="si",IF(D41=1,ROUNDUP(E41,0),ROUNDUP(E41*0.8,0)),ROUNDUP(E41,0))))</f>
        <v>0</v>
      </c>
      <c r="I41" s="137">
        <v>0</v>
      </c>
      <c r="J41" s="137">
        <f t="shared" si="1"/>
        <v>0</v>
      </c>
      <c r="K41" s="95">
        <f t="shared" si="2"/>
        <v>42975.378445326751</v>
      </c>
      <c r="L41" s="95">
        <f t="shared" si="3"/>
        <v>42975.378445326751</v>
      </c>
      <c r="M41" s="5"/>
      <c r="N41" s="83"/>
      <c r="O41" s="27" t="str">
        <f t="shared" si="4"/>
        <v>1253103</v>
      </c>
      <c r="P41" s="112">
        <f>VLOOKUP(O41,deuda!A$1:H$543,4,0)</f>
        <v>0</v>
      </c>
      <c r="Q41" s="112">
        <f>VLOOKUP(O41,deuda!A$1:H$543,5,0)</f>
        <v>4</v>
      </c>
      <c r="R41" s="112" t="str">
        <f>IF(VLOOKUP(O41,deuda!A$1:H$543,6,0)=0,"",VLOOKUP(O41,deuda!A$1:H$543,6,0))</f>
        <v/>
      </c>
      <c r="S41" s="113" t="str">
        <f>IF((VLOOKUP(O41,deuda!A$1:H$543,7,0))=0,"",VLOOKUP(O41,deuda!A$1:H$543,7,0))</f>
        <v/>
      </c>
      <c r="T41" s="114" t="str">
        <f>IF((VLOOKUP(O41,deuda!A$1:H$543,8,0))=0,"",VLOOKUP(O41,deuda!A$1:H$543,8,0))</f>
        <v/>
      </c>
    </row>
    <row r="42" spans="1:20" ht="30" customHeight="1" thickBot="1">
      <c r="A42" s="5">
        <v>13</v>
      </c>
      <c r="B42" s="250">
        <v>1253</v>
      </c>
      <c r="C42" s="179">
        <v>117</v>
      </c>
      <c r="D42" s="250">
        <v>2</v>
      </c>
      <c r="E42" s="9">
        <v>2.4514</v>
      </c>
      <c r="F42" s="85" t="str">
        <f t="shared" si="0"/>
        <v>NO</v>
      </c>
      <c r="G42" s="335" t="s">
        <v>228</v>
      </c>
      <c r="H42" s="125">
        <f>IF(Hijuelas!$G$5="fracción",IF(F42="NO",0,IF(Hijuelas!$G$6="si",IF(D42=1,E42,E42*0.8),E42)),IF(F42="NO",0,IF(Hijuelas!$G$6="si",IF(D42=1,ROUNDUP(E42,0),ROUNDUP(E42*0.8,0)),ROUNDUP(E42,0))))</f>
        <v>0</v>
      </c>
      <c r="I42" s="137">
        <v>0</v>
      </c>
      <c r="J42" s="137">
        <f t="shared" si="1"/>
        <v>0</v>
      </c>
      <c r="K42" s="95">
        <f t="shared" si="2"/>
        <v>42975.378445326751</v>
      </c>
      <c r="L42" s="95">
        <f t="shared" si="3"/>
        <v>42975.378445326751</v>
      </c>
      <c r="M42" s="5"/>
      <c r="N42" s="83"/>
      <c r="O42" s="27" t="str">
        <f t="shared" si="4"/>
        <v>1253117</v>
      </c>
      <c r="P42" s="112">
        <f>VLOOKUP(O42,deuda!A$1:H$543,4,0)</f>
        <v>0</v>
      </c>
      <c r="Q42" s="112">
        <f>VLOOKUP(O42,deuda!A$1:H$543,5,0)</f>
        <v>4</v>
      </c>
      <c r="R42" s="112" t="str">
        <f>IF(VLOOKUP(O42,deuda!A$1:H$543,6,0)=0,"",VLOOKUP(O42,deuda!A$1:H$543,6,0))</f>
        <v/>
      </c>
      <c r="S42" s="113" t="str">
        <f>IF((VLOOKUP(O42,deuda!A$1:H$543,7,0))=0,"",VLOOKUP(O42,deuda!A$1:H$543,7,0))</f>
        <v/>
      </c>
      <c r="T42" s="114" t="str">
        <f>IF((VLOOKUP(O42,deuda!A$1:H$543,8,0))=0,"",VLOOKUP(O42,deuda!A$1:H$543,8,0))</f>
        <v/>
      </c>
    </row>
    <row r="43" spans="1:20" ht="30" customHeight="1" thickBot="1">
      <c r="A43" s="5">
        <v>14</v>
      </c>
      <c r="B43" s="250">
        <v>1253</v>
      </c>
      <c r="C43" s="250">
        <v>47</v>
      </c>
      <c r="D43" s="250">
        <v>2</v>
      </c>
      <c r="E43" s="9">
        <v>4.9028</v>
      </c>
      <c r="F43" s="85" t="str">
        <f t="shared" si="0"/>
        <v>SI</v>
      </c>
      <c r="G43" s="335" t="s">
        <v>229</v>
      </c>
      <c r="H43" s="125">
        <f>IF(Hijuelas!$G$5="fracción",IF(F43="NO",0,IF(Hijuelas!$G$6="si",IF(D43=1,E43,E43*0.8),E43)),IF(F43="NO",0,IF(Hijuelas!$G$6="si",IF(D43=1,ROUNDUP(E43,0),ROUNDUP(E43*0.8,0)),ROUNDUP(E43,0))))</f>
        <v>3.9222400000000004</v>
      </c>
      <c r="I43" s="137">
        <v>1.3888888888888888E-2</v>
      </c>
      <c r="J43" s="137">
        <f t="shared" si="1"/>
        <v>3.2220661565798184E-2</v>
      </c>
      <c r="K43" s="95">
        <f t="shared" si="2"/>
        <v>42975.332335776293</v>
      </c>
      <c r="L43" s="95">
        <f t="shared" si="3"/>
        <v>42975.378445326751</v>
      </c>
      <c r="M43" s="5"/>
      <c r="N43" s="83"/>
      <c r="O43" s="27" t="str">
        <f t="shared" si="4"/>
        <v>125347</v>
      </c>
      <c r="P43" s="112">
        <f>VLOOKUP(O43,deuda!A$1:H$543,4,0)</f>
        <v>1</v>
      </c>
      <c r="Q43" s="112">
        <f>VLOOKUP(O43,deuda!A$1:H$543,5,0)</f>
        <v>1</v>
      </c>
      <c r="R43" s="112" t="str">
        <f>IF(VLOOKUP(O43,deuda!A$1:H$543,6,0)=0,"",VLOOKUP(O43,deuda!A$1:H$543,6,0))</f>
        <v/>
      </c>
      <c r="S43" s="113" t="str">
        <f>IF((VLOOKUP(O43,deuda!A$1:H$543,7,0))=0,"",VLOOKUP(O43,deuda!A$1:H$543,7,0))</f>
        <v/>
      </c>
      <c r="T43" s="114" t="str">
        <f>IF((VLOOKUP(O43,deuda!A$1:H$543,8,0))=0,"",VLOOKUP(O43,deuda!A$1:H$543,8,0))</f>
        <v/>
      </c>
    </row>
    <row r="44" spans="1:20" ht="30" customHeight="1" thickBot="1">
      <c r="A44" s="5">
        <v>15</v>
      </c>
      <c r="B44" s="250">
        <v>1253</v>
      </c>
      <c r="C44" s="250">
        <v>128</v>
      </c>
      <c r="D44" s="250">
        <v>2</v>
      </c>
      <c r="E44" s="9">
        <v>2.7481</v>
      </c>
      <c r="F44" s="85" t="str">
        <f t="shared" si="0"/>
        <v>NO</v>
      </c>
      <c r="G44" s="335" t="s">
        <v>230</v>
      </c>
      <c r="H44" s="125">
        <f>IF(Hijuelas!$G$5="fracción",IF(F44="NO",0,IF(Hijuelas!$G$6="si",IF(D44=1,E44,E44*0.8),E44)),IF(F44="NO",0,IF(Hijuelas!$G$6="si",IF(D44=1,ROUNDUP(E44,0),ROUNDUP(E44*0.8,0)),ROUNDUP(E44,0))))</f>
        <v>0</v>
      </c>
      <c r="I44" s="137">
        <v>0</v>
      </c>
      <c r="J44" s="137">
        <f t="shared" si="1"/>
        <v>0</v>
      </c>
      <c r="K44" s="95">
        <f t="shared" si="2"/>
        <v>42975.332335776293</v>
      </c>
      <c r="L44" s="95">
        <f t="shared" si="3"/>
        <v>42975.332335776293</v>
      </c>
      <c r="M44" s="5"/>
      <c r="N44" s="83"/>
      <c r="O44" s="27" t="str">
        <f t="shared" si="4"/>
        <v>1253128</v>
      </c>
      <c r="P44" s="112">
        <f>VLOOKUP(O44,deuda!A$1:H$543,4,0)</f>
        <v>0</v>
      </c>
      <c r="Q44" s="112">
        <f>VLOOKUP(O44,deuda!A$1:H$543,5,0)</f>
        <v>36</v>
      </c>
      <c r="R44" s="112" t="str">
        <f>IF(VLOOKUP(O44,deuda!A$1:H$543,6,0)=0,"",VLOOKUP(O44,deuda!A$1:H$543,6,0))</f>
        <v/>
      </c>
      <c r="S44" s="113" t="str">
        <f>IF((VLOOKUP(O44,deuda!A$1:H$543,7,0))=0,"",VLOOKUP(O44,deuda!A$1:H$543,7,0))</f>
        <v/>
      </c>
      <c r="T44" s="114" t="str">
        <f>IF((VLOOKUP(O44,deuda!A$1:H$543,8,0))=0,"",VLOOKUP(O44,deuda!A$1:H$543,8,0))</f>
        <v/>
      </c>
    </row>
    <row r="45" spans="1:20" ht="30" customHeight="1" thickBot="1">
      <c r="A45" s="604">
        <v>16</v>
      </c>
      <c r="B45" s="250">
        <v>1253</v>
      </c>
      <c r="C45" s="250">
        <v>109</v>
      </c>
      <c r="D45" s="250">
        <v>2</v>
      </c>
      <c r="E45" s="9">
        <v>10</v>
      </c>
      <c r="F45" s="85" t="str">
        <f>IF(P45=0,"NO",IF(P45=1,"SI","CONDICIONAL"))</f>
        <v>SI</v>
      </c>
      <c r="G45" s="335" t="s">
        <v>231</v>
      </c>
      <c r="H45" s="125">
        <f>IF(Hijuelas!$G$5="fracción",IF(F45="NO",0,IF(Hijuelas!$G$6="si",IF(D45=1,E45,E45*0.8),E45)),IF(F45="NO",0,IF(Hijuelas!$G$6="si",IF(D45=1,ROUNDUP(E45,0),ROUNDUP(E45*0.8,0)),ROUNDUP(E45,0))))</f>
        <v>8</v>
      </c>
      <c r="I45" s="137">
        <v>1.0416666666666666E-2</v>
      </c>
      <c r="J45" s="137">
        <f>+$J$9/60*H45</f>
        <v>6.5718898518801874E-2</v>
      </c>
      <c r="K45" s="95">
        <f t="shared" si="2"/>
        <v>42975.256200211108</v>
      </c>
      <c r="L45" s="95">
        <f t="shared" si="3"/>
        <v>42975.332335776293</v>
      </c>
      <c r="M45" s="5"/>
      <c r="N45" s="83"/>
      <c r="O45" s="27" t="str">
        <f>+CONCATENATE(B45,C45)</f>
        <v>1253109</v>
      </c>
      <c r="P45" s="112">
        <f>VLOOKUP(O45,deuda!A$1:H$543,4,0)</f>
        <v>1</v>
      </c>
      <c r="Q45" s="112">
        <f>VLOOKUP(O45,deuda!A$1:H$543,5,0)</f>
        <v>0</v>
      </c>
      <c r="R45" s="112" t="str">
        <f>IF(VLOOKUP(O45,deuda!A$1:H$543,6,0)=0,"",VLOOKUP(O45,deuda!A$1:H$543,6,0))</f>
        <v/>
      </c>
      <c r="S45" s="113" t="str">
        <f>IF((VLOOKUP(O45,deuda!A$1:H$543,7,0))=0,"",VLOOKUP(O45,deuda!A$1:H$543,7,0))</f>
        <v/>
      </c>
      <c r="T45" s="114" t="str">
        <f>IF((VLOOKUP(O45,deuda!A$1:H$543,8,0))=0,"",VLOOKUP(O45,deuda!A$1:H$543,8,0))</f>
        <v/>
      </c>
    </row>
    <row r="46" spans="1:20" s="73" customFormat="1" ht="30" customHeight="1" thickBot="1">
      <c r="A46" s="71">
        <v>17</v>
      </c>
      <c r="B46" s="179">
        <v>1253</v>
      </c>
      <c r="C46" s="179">
        <v>102</v>
      </c>
      <c r="D46" s="179">
        <v>2</v>
      </c>
      <c r="E46" s="20">
        <v>9.7924000000000007</v>
      </c>
      <c r="F46" s="85" t="str">
        <f t="shared" si="0"/>
        <v>SI</v>
      </c>
      <c r="G46" s="392" t="s">
        <v>232</v>
      </c>
      <c r="H46" s="125">
        <f>IF(Hijuelas!$G$5="fracción",IF(F46="NO",0,IF(Hijuelas!$G$6="si",IF(D46=1,E46,E46*0.8),E46)),IF(F46="NO",0,IF(Hijuelas!$G$6="si",IF(D46=1,ROUNDUP(E46,0),ROUNDUP(E46*0.8,0)),ROUNDUP(E46,0))))</f>
        <v>7.8339200000000009</v>
      </c>
      <c r="I46" s="340">
        <v>0</v>
      </c>
      <c r="J46" s="340">
        <f t="shared" si="1"/>
        <v>6.4354574185551558E-2</v>
      </c>
      <c r="K46" s="95">
        <f t="shared" si="2"/>
        <v>42975.191845636924</v>
      </c>
      <c r="L46" s="95">
        <f t="shared" si="3"/>
        <v>42975.256200211108</v>
      </c>
      <c r="M46" s="71"/>
      <c r="N46" s="588"/>
      <c r="O46" s="27" t="str">
        <f t="shared" si="4"/>
        <v>1253102</v>
      </c>
      <c r="P46" s="112">
        <f>VLOOKUP(O46,deuda!A$1:H$543,4,0)</f>
        <v>1</v>
      </c>
      <c r="Q46" s="112">
        <f>VLOOKUP(O46,deuda!A$1:H$543,5,0)</f>
        <v>0</v>
      </c>
      <c r="R46" s="112" t="str">
        <f>IF(VLOOKUP(O46,deuda!A$1:H$543,6,0)=0,"",VLOOKUP(O46,deuda!A$1:H$543,6,0))</f>
        <v/>
      </c>
      <c r="S46" s="113" t="str">
        <f>IF((VLOOKUP(O46,deuda!A$1:H$543,7,0))=0,"",VLOOKUP(O46,deuda!A$1:H$543,7,0))</f>
        <v/>
      </c>
      <c r="T46" s="114" t="str">
        <f>IF((VLOOKUP(O46,deuda!A$1:H$543,8,0))=0,"",VLOOKUP(O46,deuda!A$1:H$543,8,0))</f>
        <v/>
      </c>
    </row>
    <row r="47" spans="1:20" ht="30" customHeight="1" thickBot="1">
      <c r="A47" s="5">
        <v>17</v>
      </c>
      <c r="B47" s="250">
        <v>1253</v>
      </c>
      <c r="C47" s="250">
        <v>13</v>
      </c>
      <c r="D47" s="250">
        <v>2</v>
      </c>
      <c r="E47" s="9">
        <v>7.7080000000000002</v>
      </c>
      <c r="F47" s="85" t="str">
        <f t="shared" si="0"/>
        <v>SI</v>
      </c>
      <c r="G47" s="335" t="s">
        <v>233</v>
      </c>
      <c r="H47" s="125">
        <f>IF(Hijuelas!$G$5="fracción",IF(F47="NO",0,IF(Hijuelas!$G$6="si",IF(D47=1,E47,E47*0.8),E47)),IF(F47="NO",0,IF(Hijuelas!$G$6="si",IF(D47=1,ROUNDUP(E47,0),ROUNDUP(E47*0.8,0)),ROUNDUP(E47,0))))</f>
        <v>6.1664000000000003</v>
      </c>
      <c r="I47" s="137">
        <v>0</v>
      </c>
      <c r="J47" s="137">
        <f t="shared" si="1"/>
        <v>5.0656126978292484E-2</v>
      </c>
      <c r="K47" s="95">
        <f t="shared" si="2"/>
        <v>42975.141189509945</v>
      </c>
      <c r="L47" s="95">
        <f t="shared" si="3"/>
        <v>42975.191845636924</v>
      </c>
      <c r="M47" s="5"/>
      <c r="N47" s="83"/>
      <c r="O47" s="27" t="str">
        <f t="shared" si="4"/>
        <v>125313</v>
      </c>
      <c r="P47" s="112">
        <f>VLOOKUP(O47,deuda!A$1:H$543,4,0)</f>
        <v>1</v>
      </c>
      <c r="Q47" s="112">
        <f>VLOOKUP(O47,deuda!A$1:H$543,5,0)</f>
        <v>0</v>
      </c>
      <c r="R47" s="112" t="str">
        <f>IF(VLOOKUP(O47,deuda!A$1:H$543,6,0)=0,"",VLOOKUP(O47,deuda!A$1:H$543,6,0))</f>
        <v/>
      </c>
      <c r="S47" s="113" t="str">
        <f>IF((VLOOKUP(O47,deuda!A$1:H$543,7,0))=0,"",VLOOKUP(O47,deuda!A$1:H$543,7,0))</f>
        <v/>
      </c>
      <c r="T47" s="114" t="str">
        <f>IF((VLOOKUP(O47,deuda!A$1:H$543,8,0))=0,"",VLOOKUP(O47,deuda!A$1:H$543,8,0))</f>
        <v/>
      </c>
    </row>
    <row r="48" spans="1:20" ht="30" customHeight="1" thickBot="1">
      <c r="A48" s="5">
        <v>17</v>
      </c>
      <c r="B48" s="250">
        <v>1253</v>
      </c>
      <c r="C48" s="250">
        <v>110</v>
      </c>
      <c r="D48" s="250">
        <v>2</v>
      </c>
      <c r="E48" s="9">
        <v>12.292</v>
      </c>
      <c r="F48" s="85" t="str">
        <f t="shared" si="0"/>
        <v>SI</v>
      </c>
      <c r="G48" s="335" t="s">
        <v>234</v>
      </c>
      <c r="H48" s="125">
        <f>IF(Hijuelas!$G$5="fracción",IF(F48="NO",0,IF(Hijuelas!$G$6="si",IF(D48=1,E48,E48*0.8),E48)),IF(F48="NO",0,IF(Hijuelas!$G$6="si",IF(D48=1,ROUNDUP(E48,0),ROUNDUP(E48*0.8,0)),ROUNDUP(E48,0))))</f>
        <v>9.8336000000000006</v>
      </c>
      <c r="I48" s="137">
        <v>1.0416666666666666E-2</v>
      </c>
      <c r="J48" s="137">
        <f t="shared" si="1"/>
        <v>8.0781670059311264E-2</v>
      </c>
      <c r="K48" s="95">
        <f t="shared" si="2"/>
        <v>42975.049991173219</v>
      </c>
      <c r="L48" s="95">
        <f t="shared" si="3"/>
        <v>42975.141189509945</v>
      </c>
      <c r="M48" s="5"/>
      <c r="N48" s="83"/>
      <c r="O48" s="27" t="str">
        <f t="shared" si="4"/>
        <v>1253110</v>
      </c>
      <c r="P48" s="112">
        <f>VLOOKUP(O48,deuda!A$1:H$543,4,0)</f>
        <v>1</v>
      </c>
      <c r="Q48" s="112">
        <f>VLOOKUP(O48,deuda!A$1:H$543,5,0)</f>
        <v>0</v>
      </c>
      <c r="R48" s="112" t="str">
        <f>IF(VLOOKUP(O48,deuda!A$1:H$543,6,0)=0,"",VLOOKUP(O48,deuda!A$1:H$543,6,0))</f>
        <v/>
      </c>
      <c r="S48" s="113" t="str">
        <f>IF((VLOOKUP(O48,deuda!A$1:H$543,7,0))=0,"",VLOOKUP(O48,deuda!A$1:H$543,7,0))</f>
        <v/>
      </c>
      <c r="T48" s="114" t="str">
        <f>IF((VLOOKUP(O48,deuda!A$1:H$543,8,0))=0,"",VLOOKUP(O48,deuda!A$1:H$543,8,0))</f>
        <v/>
      </c>
    </row>
    <row r="49" spans="1:20" ht="30" customHeight="1" thickBot="1">
      <c r="A49" s="5">
        <v>18</v>
      </c>
      <c r="B49" s="250">
        <v>1253</v>
      </c>
      <c r="C49" s="250">
        <v>63</v>
      </c>
      <c r="D49" s="250">
        <v>2</v>
      </c>
      <c r="E49" s="9">
        <v>5.7423999999999999</v>
      </c>
      <c r="F49" s="85" t="str">
        <f t="shared" si="0"/>
        <v>SI</v>
      </c>
      <c r="G49" s="335" t="s">
        <v>235</v>
      </c>
      <c r="H49" s="125">
        <f>IF(Hijuelas!$G$5="fracción",IF(F49="NO",0,IF(Hijuelas!$G$6="si",IF(D49=1,E49,E49*0.8),E49)),IF(F49="NO",0,IF(Hijuelas!$G$6="si",IF(D49=1,ROUNDUP(E49,0),ROUNDUP(E49*0.8,0)),ROUNDUP(E49,0))))</f>
        <v>4.5939199999999998</v>
      </c>
      <c r="I49" s="137">
        <v>0</v>
      </c>
      <c r="J49" s="137">
        <f t="shared" si="1"/>
        <v>3.7738420285436787E-2</v>
      </c>
      <c r="K49" s="95">
        <f t="shared" si="2"/>
        <v>42975.012252752931</v>
      </c>
      <c r="L49" s="95">
        <f t="shared" si="3"/>
        <v>42975.049991173219</v>
      </c>
      <c r="M49" s="5"/>
      <c r="N49" s="83"/>
      <c r="O49" s="27" t="str">
        <f t="shared" si="4"/>
        <v>125363</v>
      </c>
      <c r="P49" s="112">
        <f>VLOOKUP(O49,deuda!A$1:H$543,4,0)</f>
        <v>1</v>
      </c>
      <c r="Q49" s="112">
        <f>VLOOKUP(O49,deuda!A$1:H$543,5,0)</f>
        <v>0</v>
      </c>
      <c r="R49" s="112" t="str">
        <f>IF(VLOOKUP(O49,deuda!A$1:H$543,6,0)=0,"",VLOOKUP(O49,deuda!A$1:H$543,6,0))</f>
        <v/>
      </c>
      <c r="S49" s="113" t="str">
        <f>IF((VLOOKUP(O49,deuda!A$1:H$543,7,0))=0,"",VLOOKUP(O49,deuda!A$1:H$543,7,0))</f>
        <v/>
      </c>
      <c r="T49" s="114" t="str">
        <f>IF((VLOOKUP(O49,deuda!A$1:H$543,8,0))=0,"",VLOOKUP(O49,deuda!A$1:H$543,8,0))</f>
        <v/>
      </c>
    </row>
    <row r="50" spans="1:20" ht="30" customHeight="1" thickBot="1">
      <c r="A50" s="5">
        <v>19</v>
      </c>
      <c r="B50" s="250">
        <v>1253</v>
      </c>
      <c r="C50" s="250">
        <v>46</v>
      </c>
      <c r="D50" s="250">
        <v>2</v>
      </c>
      <c r="E50" s="9">
        <v>5.7423000000000002</v>
      </c>
      <c r="F50" s="85" t="str">
        <f t="shared" si="0"/>
        <v>SI</v>
      </c>
      <c r="G50" s="335" t="s">
        <v>236</v>
      </c>
      <c r="H50" s="125">
        <f>IF(Hijuelas!$G$5="fracción",IF(F50="NO",0,IF(Hijuelas!$G$6="si",IF(D50=1,E50,E50*0.8),E50)),IF(F50="NO",0,IF(Hijuelas!$G$6="si",IF(D50=1,ROUNDUP(E50,0),ROUNDUP(E50*0.8,0)),ROUNDUP(E50,0))))</f>
        <v>4.5938400000000001</v>
      </c>
      <c r="I50" s="137">
        <v>2.7777777777777776E-2</v>
      </c>
      <c r="J50" s="137">
        <f t="shared" si="1"/>
        <v>3.7737763096451604E-2</v>
      </c>
      <c r="K50" s="95">
        <f t="shared" si="2"/>
        <v>42974.946737212056</v>
      </c>
      <c r="L50" s="95">
        <f t="shared" si="3"/>
        <v>42975.012252752931</v>
      </c>
      <c r="M50" s="5"/>
      <c r="N50" s="83"/>
      <c r="O50" s="27" t="str">
        <f t="shared" si="4"/>
        <v>125346</v>
      </c>
      <c r="P50" s="112">
        <f>VLOOKUP(O50,deuda!A$1:H$543,4,0)</f>
        <v>1</v>
      </c>
      <c r="Q50" s="112">
        <f>VLOOKUP(O50,deuda!A$1:H$543,5,0)</f>
        <v>0</v>
      </c>
      <c r="R50" s="112" t="str">
        <f>IF(VLOOKUP(O50,deuda!A$1:H$543,6,0)=0,"",VLOOKUP(O50,deuda!A$1:H$543,6,0))</f>
        <v/>
      </c>
      <c r="S50" s="113" t="str">
        <f>IF((VLOOKUP(O50,deuda!A$1:H$543,7,0))=0,"",VLOOKUP(O50,deuda!A$1:H$543,7,0))</f>
        <v/>
      </c>
      <c r="T50" s="114" t="str">
        <f>IF((VLOOKUP(O50,deuda!A$1:H$543,8,0))=0,"",VLOOKUP(O50,deuda!A$1:H$543,8,0))</f>
        <v/>
      </c>
    </row>
    <row r="51" spans="1:20" ht="30" customHeight="1" thickBot="1">
      <c r="A51" s="5">
        <v>20</v>
      </c>
      <c r="B51" s="250">
        <v>1253</v>
      </c>
      <c r="C51" s="250">
        <v>41</v>
      </c>
      <c r="D51" s="250">
        <v>2</v>
      </c>
      <c r="E51" s="9">
        <v>14.9977</v>
      </c>
      <c r="F51" s="85" t="str">
        <f t="shared" si="0"/>
        <v>SI</v>
      </c>
      <c r="G51" s="335" t="s">
        <v>237</v>
      </c>
      <c r="H51" s="125">
        <f>IF(Hijuelas!$G$5="fracción",IF(F51="NO",0,IF(Hijuelas!$G$6="si",IF(D51=1,E51,E51*0.8),E51)),IF(F51="NO",0,IF(Hijuelas!$G$6="si",IF(D51=1,ROUNDUP(E51,0),ROUNDUP(E51*0.8,0)),ROUNDUP(E51,0))))</f>
        <v>11.99816</v>
      </c>
      <c r="I51" s="137">
        <v>2.7777777777777776E-2</v>
      </c>
      <c r="J51" s="137">
        <f t="shared" si="1"/>
        <v>9.8563232431543496E-2</v>
      </c>
      <c r="K51" s="95">
        <f t="shared" si="2"/>
        <v>42974.820396201845</v>
      </c>
      <c r="L51" s="95">
        <f t="shared" si="3"/>
        <v>42974.946737212056</v>
      </c>
      <c r="M51" s="5"/>
      <c r="N51" s="83"/>
      <c r="O51" s="27" t="str">
        <f t="shared" si="4"/>
        <v>125341</v>
      </c>
      <c r="P51" s="112">
        <f>VLOOKUP(O51,deuda!A$1:H$543,4,0)</f>
        <v>1</v>
      </c>
      <c r="Q51" s="112">
        <f>VLOOKUP(O51,deuda!A$1:H$543,5,0)</f>
        <v>0</v>
      </c>
      <c r="R51" s="112" t="str">
        <f>IF(VLOOKUP(O51,deuda!A$1:H$543,6,0)=0,"",VLOOKUP(O51,deuda!A$1:H$543,6,0))</f>
        <v/>
      </c>
      <c r="S51" s="113" t="str">
        <f>IF((VLOOKUP(O51,deuda!A$1:H$543,7,0))=0,"",VLOOKUP(O51,deuda!A$1:H$543,7,0))</f>
        <v/>
      </c>
      <c r="T51" s="114" t="str">
        <f>IF((VLOOKUP(O51,deuda!A$1:H$543,8,0))=0,"",VLOOKUP(O51,deuda!A$1:H$543,8,0))</f>
        <v/>
      </c>
    </row>
    <row r="52" spans="1:20" ht="30" customHeight="1" thickBot="1">
      <c r="A52" s="5">
        <v>21</v>
      </c>
      <c r="B52" s="250">
        <v>1253</v>
      </c>
      <c r="C52" s="179">
        <v>40</v>
      </c>
      <c r="D52" s="250">
        <v>2</v>
      </c>
      <c r="E52" s="9">
        <v>5</v>
      </c>
      <c r="F52" s="85" t="str">
        <f t="shared" si="0"/>
        <v>SI</v>
      </c>
      <c r="G52" s="392" t="s">
        <v>238</v>
      </c>
      <c r="H52" s="125">
        <f>IF(Hijuelas!$G$5="fracción",IF(F52="NO",0,IF(Hijuelas!$G$6="si",IF(D52=1,E52,E52*0.8),E52)),IF(F52="NO",0,IF(Hijuelas!$G$6="si",IF(D52=1,ROUNDUP(E52,0),ROUNDUP(E52*0.8,0)),ROUNDUP(E52,0))))</f>
        <v>4</v>
      </c>
      <c r="I52" s="137">
        <v>2.0833333333333332E-2</v>
      </c>
      <c r="J52" s="137">
        <f t="shared" si="1"/>
        <v>3.2859449259400937E-2</v>
      </c>
      <c r="K52" s="95">
        <f t="shared" si="2"/>
        <v>42974.766703419249</v>
      </c>
      <c r="L52" s="95">
        <f t="shared" si="3"/>
        <v>42974.820396201845</v>
      </c>
      <c r="M52" s="71"/>
      <c r="N52" s="83"/>
      <c r="O52" s="27" t="str">
        <f t="shared" si="4"/>
        <v>125340</v>
      </c>
      <c r="P52" s="112">
        <f>VLOOKUP(O52,deuda!A$1:H$543,4,0)</f>
        <v>1</v>
      </c>
      <c r="Q52" s="112">
        <f>VLOOKUP(O52,deuda!A$1:H$543,5,0)</f>
        <v>1</v>
      </c>
      <c r="R52" s="112" t="str">
        <f>IF(VLOOKUP(O52,deuda!A$1:H$543,6,0)=0,"",VLOOKUP(O52,deuda!A$1:H$543,6,0))</f>
        <v/>
      </c>
      <c r="S52" s="113" t="str">
        <f>IF((VLOOKUP(O52,deuda!A$1:H$543,7,0))=0,"",VLOOKUP(O52,deuda!A$1:H$543,7,0))</f>
        <v/>
      </c>
      <c r="T52" s="114" t="str">
        <f>IF((VLOOKUP(O52,deuda!A$1:H$543,8,0))=0,"",VLOOKUP(O52,deuda!A$1:H$543,8,0))</f>
        <v/>
      </c>
    </row>
    <row r="53" spans="1:20" ht="30" customHeight="1" thickBot="1">
      <c r="A53" s="5">
        <v>22</v>
      </c>
      <c r="B53" s="250">
        <v>1253</v>
      </c>
      <c r="C53" s="250">
        <v>68</v>
      </c>
      <c r="D53" s="250">
        <v>2</v>
      </c>
      <c r="E53" s="9">
        <v>10</v>
      </c>
      <c r="F53" s="85" t="str">
        <f t="shared" si="0"/>
        <v>SI</v>
      </c>
      <c r="G53" s="335" t="s">
        <v>239</v>
      </c>
      <c r="H53" s="125">
        <f>IF(Hijuelas!$G$5="fracción",IF(F53="NO",0,IF(Hijuelas!$G$6="si",IF(D53=1,E53,E53*0.8),E53)),IF(F53="NO",0,IF(Hijuelas!$G$6="si",IF(D53=1,ROUNDUP(E53,0),ROUNDUP(E53*0.8,0)),ROUNDUP(E53,0))))</f>
        <v>8</v>
      </c>
      <c r="I53" s="137">
        <v>2.0833333333333332E-2</v>
      </c>
      <c r="J53" s="137">
        <f t="shared" si="1"/>
        <v>6.5718898518801874E-2</v>
      </c>
      <c r="K53" s="95">
        <f t="shared" si="2"/>
        <v>42974.680151187393</v>
      </c>
      <c r="L53" s="95">
        <f t="shared" si="3"/>
        <v>42974.766703419249</v>
      </c>
      <c r="M53" s="5"/>
      <c r="N53" s="83"/>
      <c r="O53" s="27" t="str">
        <f t="shared" si="4"/>
        <v>125368</v>
      </c>
      <c r="P53" s="112">
        <f>VLOOKUP(O53,deuda!A$1:H$543,4,0)</f>
        <v>1</v>
      </c>
      <c r="Q53" s="112">
        <f>VLOOKUP(O53,deuda!A$1:H$543,5,0)</f>
        <v>0</v>
      </c>
      <c r="R53" s="112" t="str">
        <f>IF(VLOOKUP(O53,deuda!A$1:H$543,6,0)=0,"",VLOOKUP(O53,deuda!A$1:H$543,6,0))</f>
        <v/>
      </c>
      <c r="S53" s="113" t="str">
        <f>IF((VLOOKUP(O53,deuda!A$1:H$543,7,0))=0,"",VLOOKUP(O53,deuda!A$1:H$543,7,0))</f>
        <v/>
      </c>
      <c r="T53" s="114" t="str">
        <f>IF((VLOOKUP(O53,deuda!A$1:H$543,8,0))=0,"",VLOOKUP(O53,deuda!A$1:H$543,8,0))</f>
        <v/>
      </c>
    </row>
    <row r="54" spans="1:20" ht="30" customHeight="1" thickBot="1">
      <c r="A54" s="5">
        <v>23</v>
      </c>
      <c r="B54" s="250">
        <v>1253</v>
      </c>
      <c r="C54" s="250">
        <v>52</v>
      </c>
      <c r="D54" s="250">
        <v>2</v>
      </c>
      <c r="E54" s="9">
        <v>5</v>
      </c>
      <c r="F54" s="85" t="str">
        <f t="shared" si="0"/>
        <v>SI</v>
      </c>
      <c r="G54" s="335" t="s">
        <v>240</v>
      </c>
      <c r="H54" s="125">
        <f>IF(Hijuelas!$G$5="fracción",IF(F54="NO",0,IF(Hijuelas!$G$6="si",IF(D54=1,E54,E54*0.8),E54)),IF(F54="NO",0,IF(Hijuelas!$G$6="si",IF(D54=1,ROUNDUP(E54,0),ROUNDUP(E54*0.8,0)),ROUNDUP(E54,0))))</f>
        <v>4</v>
      </c>
      <c r="I54" s="137">
        <v>0</v>
      </c>
      <c r="J54" s="137">
        <f t="shared" si="1"/>
        <v>3.2859449259400937E-2</v>
      </c>
      <c r="K54" s="95">
        <f t="shared" si="2"/>
        <v>42974.647291738132</v>
      </c>
      <c r="L54" s="95">
        <f t="shared" si="3"/>
        <v>42974.680151187393</v>
      </c>
      <c r="M54" s="5"/>
      <c r="N54" s="83"/>
      <c r="O54" s="27" t="str">
        <f t="shared" si="4"/>
        <v>125352</v>
      </c>
      <c r="P54" s="112">
        <f>VLOOKUP(O54,deuda!A$1:H$543,4,0)</f>
        <v>1</v>
      </c>
      <c r="Q54" s="112">
        <f>VLOOKUP(O54,deuda!A$1:H$543,5,0)</f>
        <v>0</v>
      </c>
      <c r="R54" s="112" t="str">
        <f>IF(VLOOKUP(O54,deuda!A$1:H$543,6,0)=0,"",VLOOKUP(O54,deuda!A$1:H$543,6,0))</f>
        <v/>
      </c>
      <c r="S54" s="113" t="str">
        <f>IF((VLOOKUP(O54,deuda!A$1:H$543,7,0))=0,"",VLOOKUP(O54,deuda!A$1:H$543,7,0))</f>
        <v/>
      </c>
      <c r="T54" s="114" t="str">
        <f>IF((VLOOKUP(O54,deuda!A$1:H$543,8,0))=0,"",VLOOKUP(O54,deuda!A$1:H$543,8,0))</f>
        <v/>
      </c>
    </row>
    <row r="55" spans="1:20" ht="30" customHeight="1" thickBot="1">
      <c r="A55" s="5">
        <v>23</v>
      </c>
      <c r="B55" s="250">
        <v>1253</v>
      </c>
      <c r="C55" s="250">
        <v>83</v>
      </c>
      <c r="D55" s="250">
        <v>2</v>
      </c>
      <c r="E55" s="9">
        <v>5</v>
      </c>
      <c r="F55" s="85" t="str">
        <f t="shared" si="0"/>
        <v>SI</v>
      </c>
      <c r="G55" s="335" t="s">
        <v>241</v>
      </c>
      <c r="H55" s="125">
        <f>IF(Hijuelas!$G$5="fracción",IF(F55="NO",0,IF(Hijuelas!$G$6="si",IF(D55=1,E55,E55*0.8),E55)),IF(F55="NO",0,IF(Hijuelas!$G$6="si",IF(D55=1,ROUNDUP(E55,0),ROUNDUP(E55*0.8,0)),ROUNDUP(E55,0))))</f>
        <v>4</v>
      </c>
      <c r="I55" s="137">
        <v>0</v>
      </c>
      <c r="J55" s="137">
        <f t="shared" si="1"/>
        <v>3.2859449259400937E-2</v>
      </c>
      <c r="K55" s="95">
        <f t="shared" si="2"/>
        <v>42974.614432288872</v>
      </c>
      <c r="L55" s="95">
        <f t="shared" si="3"/>
        <v>42974.647291738132</v>
      </c>
      <c r="M55" s="5"/>
      <c r="N55" s="83"/>
      <c r="O55" s="27" t="str">
        <f t="shared" si="4"/>
        <v>125383</v>
      </c>
      <c r="P55" s="112">
        <f>VLOOKUP(O55,deuda!A$1:H$543,4,0)</f>
        <v>1</v>
      </c>
      <c r="Q55" s="112">
        <f>VLOOKUP(O55,deuda!A$1:H$543,5,0)</f>
        <v>0</v>
      </c>
      <c r="R55" s="112" t="str">
        <f>IF(VLOOKUP(O55,deuda!A$1:H$543,6,0)=0,"",VLOOKUP(O55,deuda!A$1:H$543,6,0))</f>
        <v/>
      </c>
      <c r="S55" s="113" t="str">
        <f>IF((VLOOKUP(O55,deuda!A$1:H$543,7,0))=0,"",VLOOKUP(O55,deuda!A$1:H$543,7,0))</f>
        <v/>
      </c>
      <c r="T55" s="114" t="str">
        <f>IF((VLOOKUP(O55,deuda!A$1:H$543,8,0))=0,"",VLOOKUP(O55,deuda!A$1:H$543,8,0))</f>
        <v/>
      </c>
    </row>
    <row r="56" spans="1:20" ht="30" customHeight="1" thickBot="1">
      <c r="A56" s="5">
        <v>23</v>
      </c>
      <c r="B56" s="250">
        <v>1253</v>
      </c>
      <c r="C56" s="250">
        <v>42</v>
      </c>
      <c r="D56" s="250">
        <v>2</v>
      </c>
      <c r="E56" s="9">
        <v>11.2112</v>
      </c>
      <c r="F56" s="85" t="str">
        <f t="shared" si="0"/>
        <v>SI</v>
      </c>
      <c r="G56" s="335" t="s">
        <v>241</v>
      </c>
      <c r="H56" s="125">
        <f>IF(Hijuelas!$G$5="fracción",IF(F56="NO",0,IF(Hijuelas!$G$6="si",IF(D56=1,E56,E56*0.8),E56)),IF(F56="NO",0,IF(Hijuelas!$G$6="si",IF(D56=1,ROUNDUP(E56,0),ROUNDUP(E56*0.8,0)),ROUNDUP(E56,0))))</f>
        <v>8.9689600000000009</v>
      </c>
      <c r="I56" s="137">
        <v>2.0833333333333332E-2</v>
      </c>
      <c r="J56" s="137">
        <f t="shared" si="1"/>
        <v>7.3678771507399168E-2</v>
      </c>
      <c r="K56" s="95">
        <f t="shared" si="2"/>
        <v>42974.51992018403</v>
      </c>
      <c r="L56" s="95">
        <f t="shared" si="3"/>
        <v>42974.614432288872</v>
      </c>
      <c r="M56" s="5"/>
      <c r="N56" s="83"/>
      <c r="O56" s="27" t="str">
        <f t="shared" si="4"/>
        <v>125342</v>
      </c>
      <c r="P56" s="112">
        <f>VLOOKUP(O56,deuda!A$1:H$543,4,0)</f>
        <v>1</v>
      </c>
      <c r="Q56" s="112">
        <f>VLOOKUP(O56,deuda!A$1:H$543,5,0)</f>
        <v>0</v>
      </c>
      <c r="R56" s="112" t="str">
        <f>IF(VLOOKUP(O56,deuda!A$1:H$543,6,0)=0,"",VLOOKUP(O56,deuda!A$1:H$543,6,0))</f>
        <v/>
      </c>
      <c r="S56" s="113" t="str">
        <f>IF((VLOOKUP(O56,deuda!A$1:H$543,7,0))=0,"",VLOOKUP(O56,deuda!A$1:H$543,7,0))</f>
        <v/>
      </c>
      <c r="T56" s="114" t="str">
        <f>IF((VLOOKUP(O56,deuda!A$1:H$543,8,0))=0,"",VLOOKUP(O56,deuda!A$1:H$543,8,0))</f>
        <v/>
      </c>
    </row>
    <row r="57" spans="1:20" ht="30" customHeight="1" thickBot="1">
      <c r="A57" s="5">
        <v>24</v>
      </c>
      <c r="B57" s="250">
        <v>1253</v>
      </c>
      <c r="C57" s="179">
        <v>35</v>
      </c>
      <c r="D57" s="250">
        <v>2</v>
      </c>
      <c r="E57" s="9">
        <v>9.9979999999999993</v>
      </c>
      <c r="F57" s="85" t="str">
        <f t="shared" si="0"/>
        <v>SI</v>
      </c>
      <c r="G57" s="335" t="s">
        <v>216</v>
      </c>
      <c r="H57" s="125">
        <f>IF(Hijuelas!$G$5="fracción",IF(F57="NO",0,IF(Hijuelas!$G$6="si",IF(D57=1,E57,E57*0.8),E57)),IF(F57="NO",0,IF(Hijuelas!$G$6="si",IF(D57=1,ROUNDUP(E57,0),ROUNDUP(E57*0.8,0)),ROUNDUP(E57,0))))</f>
        <v>7.9984000000000002</v>
      </c>
      <c r="I57" s="137">
        <v>0</v>
      </c>
      <c r="J57" s="137">
        <f t="shared" si="1"/>
        <v>6.5705754739098121E-2</v>
      </c>
      <c r="K57" s="95">
        <f t="shared" si="2"/>
        <v>42974.454214429294</v>
      </c>
      <c r="L57" s="95">
        <f t="shared" si="3"/>
        <v>42974.51992018403</v>
      </c>
      <c r="M57" s="5"/>
      <c r="N57" s="83"/>
      <c r="O57" s="27" t="str">
        <f t="shared" si="4"/>
        <v>125335</v>
      </c>
      <c r="P57" s="112">
        <f>VLOOKUP(O57,deuda!A$1:H$543,4,0)</f>
        <v>1</v>
      </c>
      <c r="Q57" s="112">
        <f>VLOOKUP(O57,deuda!A$1:H$543,5,0)</f>
        <v>0</v>
      </c>
      <c r="R57" s="112" t="str">
        <f>IF(VLOOKUP(O57,deuda!A$1:H$543,6,0)=0,"",VLOOKUP(O57,deuda!A$1:H$543,6,0))</f>
        <v/>
      </c>
      <c r="S57" s="113" t="str">
        <f>IF((VLOOKUP(O57,deuda!A$1:H$543,7,0))=0,"",VLOOKUP(O57,deuda!A$1:H$543,7,0))</f>
        <v/>
      </c>
      <c r="T57" s="114" t="str">
        <f>IF((VLOOKUP(O57,deuda!A$1:H$543,8,0))=0,"",VLOOKUP(O57,deuda!A$1:H$543,8,0))</f>
        <v/>
      </c>
    </row>
    <row r="58" spans="1:20" ht="30" customHeight="1" thickBot="1">
      <c r="A58" s="5">
        <v>24</v>
      </c>
      <c r="B58" s="179">
        <v>1253</v>
      </c>
      <c r="C58" s="179">
        <v>124</v>
      </c>
      <c r="D58" s="250">
        <v>2</v>
      </c>
      <c r="E58" s="9">
        <v>27.996300000000002</v>
      </c>
      <c r="F58" s="85" t="str">
        <f t="shared" si="0"/>
        <v>SI</v>
      </c>
      <c r="G58" s="335" t="s">
        <v>216</v>
      </c>
      <c r="H58" s="125">
        <f>IF(Hijuelas!$G$5="fracción",IF(F58="NO",0,IF(Hijuelas!$G$6="si",IF(D58=1,E58,E58*0.8),E58)),IF(F58="NO",0,IF(Hijuelas!$G$6="si",IF(D58=1,ROUNDUP(E58,0),ROUNDUP(E58*0.8,0)),ROUNDUP(E58,0))))</f>
        <v>22.397040000000004</v>
      </c>
      <c r="I58" s="137">
        <v>0</v>
      </c>
      <c r="J58" s="137">
        <f t="shared" si="1"/>
        <v>0.18398859986019334</v>
      </c>
      <c r="K58" s="95">
        <f t="shared" si="2"/>
        <v>42974.27022582943</v>
      </c>
      <c r="L58" s="95">
        <f t="shared" si="3"/>
        <v>42974.454214429294</v>
      </c>
      <c r="M58" s="5"/>
      <c r="N58" s="83"/>
      <c r="O58" s="27" t="str">
        <f t="shared" si="4"/>
        <v>1253124</v>
      </c>
      <c r="P58" s="112">
        <f>VLOOKUP(O58,deuda!A$1:H$543,4,0)</f>
        <v>1</v>
      </c>
      <c r="Q58" s="112">
        <f>VLOOKUP(O58,deuda!A$1:H$543,5,0)</f>
        <v>0</v>
      </c>
      <c r="R58" s="112" t="str">
        <f>IF(VLOOKUP(O58,deuda!A$1:H$543,6,0)=0,"",VLOOKUP(O58,deuda!A$1:H$543,6,0))</f>
        <v/>
      </c>
      <c r="S58" s="113" t="str">
        <f>IF((VLOOKUP(O58,deuda!A$1:H$543,7,0))=0,"",VLOOKUP(O58,deuda!A$1:H$543,7,0))</f>
        <v/>
      </c>
      <c r="T58" s="114" t="str">
        <f>IF((VLOOKUP(O58,deuda!A$1:H$543,8,0))=0,"",VLOOKUP(O58,deuda!A$1:H$543,8,0))</f>
        <v/>
      </c>
    </row>
    <row r="59" spans="1:20" ht="30" customHeight="1" thickBot="1">
      <c r="A59" s="5">
        <v>24</v>
      </c>
      <c r="B59" s="250">
        <v>1253</v>
      </c>
      <c r="C59" s="179">
        <v>57</v>
      </c>
      <c r="D59" s="250">
        <v>2</v>
      </c>
      <c r="E59" s="9">
        <v>9.8056000000000001</v>
      </c>
      <c r="F59" s="85" t="str">
        <f t="shared" si="0"/>
        <v>SI</v>
      </c>
      <c r="G59" s="335" t="s">
        <v>216</v>
      </c>
      <c r="H59" s="125">
        <f>IF(Hijuelas!$G$5="fracción",IF(F59="NO",0,IF(Hijuelas!$G$6="si",IF(D59=1,E59,E59*0.8),E59)),IF(F59="NO",0,IF(Hijuelas!$G$6="si",IF(D59=1,ROUNDUP(E59,0),ROUNDUP(E59*0.8,0)),ROUNDUP(E59,0))))</f>
        <v>7.8444800000000008</v>
      </c>
      <c r="I59" s="137">
        <v>0</v>
      </c>
      <c r="J59" s="137">
        <f t="shared" si="1"/>
        <v>6.4441323131596367E-2</v>
      </c>
      <c r="K59" s="95">
        <f t="shared" si="2"/>
        <v>42974.205784506295</v>
      </c>
      <c r="L59" s="95">
        <f t="shared" si="3"/>
        <v>42974.27022582943</v>
      </c>
      <c r="M59" s="5"/>
      <c r="N59" s="83"/>
      <c r="O59" s="27" t="str">
        <f t="shared" si="4"/>
        <v>125357</v>
      </c>
      <c r="P59" s="112">
        <f>VLOOKUP(O59,deuda!A$1:H$543,4,0)</f>
        <v>1</v>
      </c>
      <c r="Q59" s="112">
        <f>VLOOKUP(O59,deuda!A$1:H$543,5,0)</f>
        <v>0</v>
      </c>
      <c r="R59" s="112" t="str">
        <f>IF(VLOOKUP(O59,deuda!A$1:H$543,6,0)=0,"",VLOOKUP(O59,deuda!A$1:H$543,6,0))</f>
        <v/>
      </c>
      <c r="S59" s="113" t="str">
        <f>IF((VLOOKUP(O59,deuda!A$1:H$543,7,0))=0,"",VLOOKUP(O59,deuda!A$1:H$543,7,0))</f>
        <v/>
      </c>
      <c r="T59" s="114" t="str">
        <f>IF((VLOOKUP(O59,deuda!A$1:H$543,8,0))=0,"",VLOOKUP(O59,deuda!A$1:H$543,8,0))</f>
        <v/>
      </c>
    </row>
    <row r="60" spans="1:20" ht="30" customHeight="1" thickBot="1">
      <c r="A60" s="5">
        <v>24</v>
      </c>
      <c r="B60" s="250">
        <v>1253</v>
      </c>
      <c r="C60" s="179">
        <v>126</v>
      </c>
      <c r="D60" s="250">
        <v>2</v>
      </c>
      <c r="E60" s="9">
        <v>3</v>
      </c>
      <c r="F60" s="85" t="str">
        <f t="shared" si="0"/>
        <v>SI</v>
      </c>
      <c r="G60" s="335" t="s">
        <v>216</v>
      </c>
      <c r="H60" s="125">
        <f>IF(Hijuelas!$G$5="fracción",IF(F60="NO",0,IF(Hijuelas!$G$6="si",IF(D60=1,E60,E60*0.8),E60)),IF(F60="NO",0,IF(Hijuelas!$G$6="si",IF(D60=1,ROUNDUP(E60,0),ROUNDUP(E60*0.8,0)),ROUNDUP(E60,0))))</f>
        <v>2.4000000000000004</v>
      </c>
      <c r="I60" s="137">
        <v>0</v>
      </c>
      <c r="J60" s="137">
        <f t="shared" si="1"/>
        <v>1.9715669555640566E-2</v>
      </c>
      <c r="K60" s="95">
        <f t="shared" si="2"/>
        <v>42974.186068836738</v>
      </c>
      <c r="L60" s="95">
        <f t="shared" si="3"/>
        <v>42974.205784506295</v>
      </c>
      <c r="M60" s="5"/>
      <c r="N60" s="83"/>
      <c r="O60" s="27" t="str">
        <f t="shared" si="4"/>
        <v>1253126</v>
      </c>
      <c r="P60" s="112">
        <f>VLOOKUP(O60,deuda!A$1:H$543,4,0)</f>
        <v>1</v>
      </c>
      <c r="Q60" s="112">
        <f>VLOOKUP(O60,deuda!A$1:H$543,5,0)</f>
        <v>0</v>
      </c>
      <c r="R60" s="112" t="str">
        <f>IF(VLOOKUP(O60,deuda!A$1:H$543,6,0)=0,"",VLOOKUP(O60,deuda!A$1:H$543,6,0))</f>
        <v/>
      </c>
      <c r="S60" s="113" t="str">
        <f>IF((VLOOKUP(O60,deuda!A$1:H$543,7,0))=0,"",VLOOKUP(O60,deuda!A$1:H$543,7,0))</f>
        <v/>
      </c>
      <c r="T60" s="114" t="str">
        <f>IF((VLOOKUP(O60,deuda!A$1:H$543,8,0))=0,"",VLOOKUP(O60,deuda!A$1:H$543,8,0))</f>
        <v/>
      </c>
    </row>
    <row r="61" spans="1:20" ht="30" customHeight="1" thickBot="1">
      <c r="A61" s="5">
        <v>24</v>
      </c>
      <c r="B61" s="250">
        <v>1253</v>
      </c>
      <c r="C61" s="179">
        <v>19</v>
      </c>
      <c r="D61" s="250">
        <v>2</v>
      </c>
      <c r="E61" s="9">
        <v>10.96</v>
      </c>
      <c r="F61" s="85" t="str">
        <f t="shared" si="0"/>
        <v>SI</v>
      </c>
      <c r="G61" s="335" t="s">
        <v>216</v>
      </c>
      <c r="H61" s="125">
        <f>IF(Hijuelas!$G$5="fracción",IF(F61="NO",0,IF(Hijuelas!$G$6="si",IF(D61=1,E61,E61*0.8),E61)),IF(F61="NO",0,IF(Hijuelas!$G$6="si",IF(D61=1,ROUNDUP(E61,0),ROUNDUP(E61*0.8,0)),ROUNDUP(E61,0))))</f>
        <v>8.7680000000000007</v>
      </c>
      <c r="I61" s="137">
        <v>1.3888888888888888E-2</v>
      </c>
      <c r="J61" s="137">
        <f t="shared" si="1"/>
        <v>7.2027912776606862E-2</v>
      </c>
      <c r="K61" s="95">
        <f t="shared" si="2"/>
        <v>42974.100152035069</v>
      </c>
      <c r="L61" s="95">
        <f t="shared" si="3"/>
        <v>42974.186068836738</v>
      </c>
      <c r="M61" s="5"/>
      <c r="N61" s="83"/>
      <c r="O61" s="27" t="str">
        <f t="shared" si="4"/>
        <v>125319</v>
      </c>
      <c r="P61" s="112">
        <f>VLOOKUP(O61,deuda!A$1:H$543,4,0)</f>
        <v>1</v>
      </c>
      <c r="Q61" s="112">
        <f>VLOOKUP(O61,deuda!A$1:H$543,5,0)</f>
        <v>0</v>
      </c>
      <c r="R61" s="112" t="str">
        <f>IF(VLOOKUP(O61,deuda!A$1:H$543,6,0)=0,"",VLOOKUP(O61,deuda!A$1:H$543,6,0))</f>
        <v/>
      </c>
      <c r="S61" s="113" t="str">
        <f>IF((VLOOKUP(O61,deuda!A$1:H$543,7,0))=0,"",VLOOKUP(O61,deuda!A$1:H$543,7,0))</f>
        <v/>
      </c>
      <c r="T61" s="114" t="str">
        <f>IF((VLOOKUP(O61,deuda!A$1:H$543,8,0))=0,"",VLOOKUP(O61,deuda!A$1:H$543,8,0))</f>
        <v/>
      </c>
    </row>
    <row r="62" spans="1:20" ht="30" customHeight="1" thickBot="1">
      <c r="A62" s="5">
        <v>25</v>
      </c>
      <c r="B62" s="250">
        <v>1253</v>
      </c>
      <c r="C62" s="250">
        <v>146</v>
      </c>
      <c r="D62" s="250">
        <v>2</v>
      </c>
      <c r="E62" s="9">
        <v>10</v>
      </c>
      <c r="F62" s="85" t="str">
        <f t="shared" si="0"/>
        <v>SI</v>
      </c>
      <c r="G62" s="335" t="s">
        <v>242</v>
      </c>
      <c r="H62" s="125">
        <f>IF(Hijuelas!$G$5="fracción",IF(F62="NO",0,IF(Hijuelas!$G$6="si",IF(D62=1,E62,E62*0.8),E62)),IF(F62="NO",0,IF(Hijuelas!$G$6="si",IF(D62=1,ROUNDUP(E62,0),ROUNDUP(E62*0.8,0)),ROUNDUP(E62,0))))</f>
        <v>8</v>
      </c>
      <c r="I62" s="137">
        <v>2.0833333333333332E-2</v>
      </c>
      <c r="J62" s="137">
        <f t="shared" si="1"/>
        <v>6.5718898518801874E-2</v>
      </c>
      <c r="K62" s="95">
        <f t="shared" si="2"/>
        <v>42974.013599803213</v>
      </c>
      <c r="L62" s="95">
        <f t="shared" si="3"/>
        <v>42974.100152035069</v>
      </c>
      <c r="M62" s="5"/>
      <c r="N62" s="83"/>
      <c r="O62" s="27" t="str">
        <f t="shared" si="4"/>
        <v>1253146</v>
      </c>
      <c r="P62" s="112">
        <f>VLOOKUP(O62,deuda!A$1:H$543,4,0)</f>
        <v>1</v>
      </c>
      <c r="Q62" s="112">
        <f>VLOOKUP(O62,deuda!A$1:H$543,5,0)</f>
        <v>0</v>
      </c>
      <c r="R62" s="112" t="str">
        <f>IF(VLOOKUP(O62,deuda!A$1:H$543,6,0)=0,"",VLOOKUP(O62,deuda!A$1:H$543,6,0))</f>
        <v/>
      </c>
      <c r="S62" s="113" t="str">
        <f>IF((VLOOKUP(O62,deuda!A$1:H$543,7,0))=0,"",VLOOKUP(O62,deuda!A$1:H$543,7,0))</f>
        <v/>
      </c>
      <c r="T62" s="114" t="str">
        <f>IF((VLOOKUP(O62,deuda!A$1:H$543,8,0))=0,"",VLOOKUP(O62,deuda!A$1:H$543,8,0))</f>
        <v/>
      </c>
    </row>
    <row r="63" spans="1:20" ht="30" customHeight="1" thickBot="1">
      <c r="A63" s="5">
        <v>25</v>
      </c>
      <c r="B63" s="250">
        <v>1253</v>
      </c>
      <c r="C63" s="250">
        <v>43</v>
      </c>
      <c r="D63" s="250">
        <v>2</v>
      </c>
      <c r="E63" s="9">
        <v>4.7759999999999998</v>
      </c>
      <c r="F63" s="85" t="str">
        <f t="shared" si="0"/>
        <v>NO</v>
      </c>
      <c r="G63" s="335" t="s">
        <v>222</v>
      </c>
      <c r="H63" s="125">
        <f>IF(Hijuelas!$G$5="fracción",IF(F63="NO",0,IF(Hijuelas!$G$6="si",IF(D63=1,E63,E63*0.8),E63)),IF(F63="NO",0,IF(Hijuelas!$G$6="si",IF(D63=1,ROUNDUP(E63,0),ROUNDUP(E63*0.8,0)),ROUNDUP(E63,0))))</f>
        <v>0</v>
      </c>
      <c r="I63" s="137">
        <v>0</v>
      </c>
      <c r="J63" s="137">
        <f t="shared" si="1"/>
        <v>0</v>
      </c>
      <c r="K63" s="95">
        <f t="shared" si="2"/>
        <v>42974.013599803213</v>
      </c>
      <c r="L63" s="95">
        <f t="shared" si="3"/>
        <v>42974.013599803213</v>
      </c>
      <c r="M63" s="5"/>
      <c r="N63" s="83"/>
      <c r="O63" s="27" t="str">
        <f t="shared" si="4"/>
        <v>125343</v>
      </c>
      <c r="P63" s="112">
        <f>VLOOKUP(O63,deuda!A$1:H$543,4,0)</f>
        <v>0</v>
      </c>
      <c r="Q63" s="112">
        <f>VLOOKUP(O63,deuda!A$1:H$543,5,0)</f>
        <v>74</v>
      </c>
      <c r="R63" s="112" t="str">
        <f>IF(VLOOKUP(O63,deuda!A$1:H$543,6,0)=0,"",VLOOKUP(O63,deuda!A$1:H$543,6,0))</f>
        <v/>
      </c>
      <c r="S63" s="113" t="str">
        <f>IF((VLOOKUP(O63,deuda!A$1:H$543,7,0))=0,"",VLOOKUP(O63,deuda!A$1:H$543,7,0))</f>
        <v/>
      </c>
      <c r="T63" s="114" t="str">
        <f>IF((VLOOKUP(O63,deuda!A$1:H$543,8,0))=0,"",VLOOKUP(O63,deuda!A$1:H$543,8,0))</f>
        <v/>
      </c>
    </row>
    <row r="64" spans="1:20" ht="30" customHeight="1" thickBot="1">
      <c r="A64" s="5">
        <v>26</v>
      </c>
      <c r="B64" s="250">
        <v>1253</v>
      </c>
      <c r="C64" s="250">
        <v>14</v>
      </c>
      <c r="D64" s="250">
        <v>2</v>
      </c>
      <c r="E64" s="9">
        <v>20</v>
      </c>
      <c r="F64" s="85" t="str">
        <f t="shared" si="0"/>
        <v>SI</v>
      </c>
      <c r="G64" s="335" t="s">
        <v>243</v>
      </c>
      <c r="H64" s="125">
        <f>IF(Hijuelas!$G$5="fracción",IF(F64="NO",0,IF(Hijuelas!$G$6="si",IF(D64=1,E64,E64*0.8),E64)),IF(F64="NO",0,IF(Hijuelas!$G$6="si",IF(D64=1,ROUNDUP(E64,0),ROUNDUP(E64*0.8,0)),ROUNDUP(E64,0))))</f>
        <v>16</v>
      </c>
      <c r="I64" s="340">
        <v>2.0833333333333332E-2</v>
      </c>
      <c r="J64" s="137">
        <f t="shared" si="1"/>
        <v>0.13143779703760375</v>
      </c>
      <c r="K64" s="95">
        <f>+L65</f>
        <v>42973.861328672836</v>
      </c>
      <c r="L64" s="95">
        <f>+K64+J64+I64</f>
        <v>42974.013599803213</v>
      </c>
      <c r="M64" s="5"/>
      <c r="N64" s="83"/>
      <c r="O64" s="27" t="str">
        <f t="shared" si="4"/>
        <v>125314</v>
      </c>
      <c r="P64" s="112">
        <f>VLOOKUP(O64,deuda!A$1:H$543,4,0)</f>
        <v>1</v>
      </c>
      <c r="Q64" s="112">
        <f>VLOOKUP(O64,deuda!A$1:H$543,5,0)</f>
        <v>0</v>
      </c>
      <c r="R64" s="112" t="str">
        <f>IF(VLOOKUP(O64,deuda!A$1:H$543,6,0)=0,"",VLOOKUP(O64,deuda!A$1:H$543,6,0))</f>
        <v/>
      </c>
      <c r="S64" s="113" t="str">
        <f>IF((VLOOKUP(O64,deuda!A$1:H$543,7,0))=0,"",VLOOKUP(O64,deuda!A$1:H$543,7,0))</f>
        <v/>
      </c>
      <c r="T64" s="114" t="str">
        <f>IF((VLOOKUP(O64,deuda!A$1:H$543,8,0))=0,"",VLOOKUP(O64,deuda!A$1:H$543,8,0))</f>
        <v/>
      </c>
    </row>
    <row r="65" spans="1:20" ht="30" customHeight="1" thickBot="1">
      <c r="A65" s="5">
        <v>27</v>
      </c>
      <c r="B65" s="250">
        <v>1253</v>
      </c>
      <c r="C65" s="250">
        <v>16</v>
      </c>
      <c r="D65" s="250">
        <v>2</v>
      </c>
      <c r="E65" s="9">
        <v>29.6204</v>
      </c>
      <c r="F65" s="85" t="str">
        <f t="shared" si="0"/>
        <v>SI</v>
      </c>
      <c r="G65" s="392" t="s">
        <v>244</v>
      </c>
      <c r="H65" s="125">
        <f>IF(Hijuelas!$G$5="fracción",IF(F65="NO",0,IF(Hijuelas!$G$6="si",IF(D65=1,E65,E65*0.8),E65)),IF(F65="NO",0,IF(Hijuelas!$G$6="si",IF(D65=1,ROUNDUP(E65,0),ROUNDUP(E65*0.8,0)),ROUNDUP(E65,0))))</f>
        <v>23.69632</v>
      </c>
      <c r="I65" s="137">
        <v>0</v>
      </c>
      <c r="J65" s="137">
        <f t="shared" si="1"/>
        <v>0.19466200616863191</v>
      </c>
      <c r="K65" s="95">
        <f>+C5+H6</f>
        <v>42973.666666666664</v>
      </c>
      <c r="L65" s="95">
        <f>+K65+J65</f>
        <v>42973.861328672836</v>
      </c>
      <c r="M65" s="5"/>
      <c r="N65" s="5"/>
      <c r="O65" s="27" t="str">
        <f t="shared" si="4"/>
        <v>125316</v>
      </c>
      <c r="P65" s="112">
        <f>VLOOKUP(O65,deuda!A$1:H$543,4,0)</f>
        <v>1</v>
      </c>
      <c r="Q65" s="112">
        <f>VLOOKUP(O65,deuda!A$1:H$543,5,0)</f>
        <v>0</v>
      </c>
      <c r="R65" s="112" t="str">
        <f>IF(VLOOKUP(O65,deuda!A$1:H$543,6,0)=0,"",VLOOKUP(O65,deuda!A$1:H$543,6,0))</f>
        <v/>
      </c>
      <c r="S65" s="113" t="str">
        <f>IF((VLOOKUP(O65,deuda!A$1:H$543,7,0))=0,"",VLOOKUP(O65,deuda!A$1:H$543,7,0))</f>
        <v/>
      </c>
      <c r="T65" s="114" t="str">
        <f>IF((VLOOKUP(O65,deuda!A$1:H$543,8,0))=0,"",VLOOKUP(O65,deuda!A$1:H$543,8,0))</f>
        <v/>
      </c>
    </row>
    <row r="66" spans="1:20" ht="30" customHeight="1">
      <c r="E66" s="25">
        <f>SUM(E13:E65)</f>
        <v>553.45860000000016</v>
      </c>
      <c r="F66" s="14">
        <f>SUM(F13:F65)</f>
        <v>0</v>
      </c>
      <c r="H66" s="125">
        <f>SUM(H13:H65)</f>
        <v>423.09831999999994</v>
      </c>
      <c r="I66" s="137">
        <f>SUM(I13:I65)</f>
        <v>0.38888888888888878</v>
      </c>
      <c r="J66" s="137">
        <f>SUM(J13:J65)</f>
        <v>3.475694444444446</v>
      </c>
      <c r="K66" s="95"/>
      <c r="L66" s="95"/>
    </row>
    <row r="67" spans="1:20">
      <c r="E67" t="s">
        <v>133</v>
      </c>
      <c r="I67" s="67"/>
    </row>
  </sheetData>
  <autoFilter ref="A12:T65" xr:uid="{00000000-0009-0000-0000-00000A000000}"/>
  <mergeCells count="5">
    <mergeCell ref="A9:B9"/>
    <mergeCell ref="A5:B5"/>
    <mergeCell ref="C5:E5"/>
    <mergeCell ref="A6:B6"/>
    <mergeCell ref="C6:E6"/>
  </mergeCells>
  <phoneticPr fontId="0" type="noConversion"/>
  <dataValidations count="2">
    <dataValidation type="whole" allowBlank="1" showInputMessage="1" showErrorMessage="1" errorTitle="ATENCIÓN" error="SOLO PUEDE INGRESAR EL &quot;2&quot;" promptTitle="RECORDAR" prompt="SI MODIFICA EL VALOR DE LA CELDA, RECUERDE VOLVER A COPIAR LA FÓRMULA." sqref="P14 P16:P17 P20:P27 P29:P65" xr:uid="{00000000-0002-0000-0A00-000000000000}">
      <formula1>2</formula1>
      <formula2>2</formula2>
    </dataValidation>
    <dataValidation allowBlank="1" showInputMessage="1" showErrorMessage="1" errorTitle="ATENCIÓN" error="SOLO PUEDE INGRESAR EL &quot;2&quot;" promptTitle="RECORDAR" prompt="SI MODIFICA EL VALOR DE LA CELDA, RECUERDE VOLVER A COPIAR LA FÓRMULA." sqref="P28:T28 P13:T13 P18:T19 P15:T15" xr:uid="{00000000-0002-0000-0A00-000001000000}"/>
  </dataValidations>
  <pageMargins left="0.78740157480314965" right="0.39370078740157483" top="0.98425196850393704" bottom="0.98425196850393704" header="0" footer="0"/>
  <pageSetup paperSize="9" scale="71" orientation="landscape" horizontalDpi="300" verticalDpi="300" r:id="rId1"/>
  <headerFooter alignWithMargins="0"/>
  <rowBreaks count="1" manualBreakCount="1">
    <brk id="66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8"/>
  <dimension ref="A1:H552"/>
  <sheetViews>
    <sheetView view="pageBreakPreview" zoomScale="60" zoomScaleNormal="60" workbookViewId="0" xr3:uid="{FF0BDA26-1AD6-5648-BD9A-E01AA4DDCA7C}">
      <selection activeCell="K25" sqref="K25"/>
    </sheetView>
  </sheetViews>
  <sheetFormatPr defaultRowHeight="12.75"/>
  <cols>
    <col min="1" max="2" width="11.42578125" customWidth="1"/>
    <col min="3" max="3" width="11.5703125" bestFit="1" customWidth="1"/>
    <col min="4" max="4" width="21.85546875" customWidth="1"/>
    <col min="5" max="5" width="11.42578125" customWidth="1"/>
    <col min="6" max="6" width="11.5703125" bestFit="1" customWidth="1"/>
    <col min="7" max="7" width="32.8554687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tr">
        <f>+'3_1'!$C$2</f>
        <v>CUADRO DE TURNO SAN PEDRO Y SAN PABLO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VLOOKUP(G5,'3_1'!$A$12:$G$65,7,0)</f>
        <v>CARBONE, PEDRO OMAR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+'3_1'!$H$2</f>
        <v>Hijuela Perfoga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76" t="s">
        <v>183</v>
      </c>
      <c r="C7" s="100">
        <f>VLOOKUP(G5,'3_1'!$A$12:$B$65,2,0)</f>
        <v>1253</v>
      </c>
      <c r="D7" s="76"/>
      <c r="E7" s="635" t="s">
        <v>184</v>
      </c>
      <c r="F7" s="102">
        <f>DSUM('3_1'!A$12:J$65,'3_1'!$J$12,G4:G5)</f>
        <v>0.12943731376669143</v>
      </c>
      <c r="G7" s="382"/>
      <c r="H7" s="76"/>
    </row>
    <row r="8" spans="1:8">
      <c r="A8" s="381"/>
      <c r="B8" s="76" t="s">
        <v>185</v>
      </c>
      <c r="C8" s="129" t="s">
        <v>245</v>
      </c>
      <c r="D8" s="76"/>
      <c r="E8" s="635" t="s">
        <v>186</v>
      </c>
      <c r="F8" s="368" t="str">
        <f>IF(VLOOKUP(G5,'3_1'!$A$12:$D$65,4,0)=2,"Eventual 80%","Definitivo 100%")</f>
        <v>Eventual 80%</v>
      </c>
      <c r="G8" s="382"/>
      <c r="H8" s="76"/>
    </row>
    <row r="9" spans="1:8">
      <c r="A9" s="381"/>
      <c r="B9" s="76" t="s">
        <v>187</v>
      </c>
      <c r="C9" s="130">
        <f>DSUM('3_1'!$A$12:$H$65,'3_1'!$F$12,G4:G5)</f>
        <v>0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76" t="s">
        <v>189</v>
      </c>
      <c r="D10" s="107">
        <f>DMIN('3_1'!A$12:K$65,'3_1'!$K$12,G4:G5)</f>
        <v>42977.401812686279</v>
      </c>
      <c r="E10" s="127" t="str">
        <f>IF(F10=1,"Domingo",IF(F10=2,"Lunes",IF(F10=3,"Martes",IF(F10=4,"Miercoles",IF(F10=5,"Jueves",IF(F10=6,"Viernes",IF(F10=7,"Sábado",0)))))))</f>
        <v>Miercoles</v>
      </c>
      <c r="F10" s="128">
        <f>WEEKDAY(D10)</f>
        <v>4</v>
      </c>
      <c r="G10" s="385"/>
      <c r="H10" s="76"/>
    </row>
    <row r="11" spans="1:8" ht="15.75">
      <c r="A11" s="381"/>
      <c r="B11" s="76"/>
      <c r="C11" s="76" t="s">
        <v>190</v>
      </c>
      <c r="D11" s="107">
        <f>DMAX('3_1'!A$12:L$65,'3_1'!$L$12,G4:G5)</f>
        <v>42977.531250000051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/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377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>
        <f>41*17</f>
        <v>697</v>
      </c>
    </row>
    <row r="14" spans="1:8">
      <c r="A14" s="381"/>
      <c r="B14" s="377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IF(DSUM('3_1'!$A$12:$P$81,16,G4:G5)=COUNTIF('3_1'!$A$13:$A$81,G5),"","Regularice su Deuda")</f>
        <v>Regularice su Deuda</v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tr">
        <f>+'3_1'!$C$2</f>
        <v>CUADRO DE TURNO SAN PEDRO Y SAN PABLO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VLOOKUP(G22,'3_1'!$A$12:$G$65,7,0)</f>
        <v>MIRABILE, FRANCISCO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+'3_1'!$H$2</f>
        <v>Hijuela Perfoga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76" t="s">
        <v>183</v>
      </c>
      <c r="C24" s="100">
        <f>VLOOKUP(G22,'3_1'!$A$12:$B$65,2,0)</f>
        <v>1253</v>
      </c>
      <c r="D24" s="76"/>
      <c r="E24" s="635" t="s">
        <v>184</v>
      </c>
      <c r="F24" s="102">
        <f>DSUM('3_1'!A$12:J$65,'3_1'!$J$12,G21:G22)</f>
        <v>0</v>
      </c>
      <c r="G24" s="382"/>
    </row>
    <row r="25" spans="1:7">
      <c r="A25" s="381"/>
      <c r="B25" s="76" t="s">
        <v>185</v>
      </c>
      <c r="C25" s="129">
        <v>79</v>
      </c>
      <c r="D25" s="76"/>
      <c r="E25" s="635" t="s">
        <v>186</v>
      </c>
      <c r="F25" s="368" t="str">
        <f>IF(VLOOKUP(G22,'3_1'!$A$12:$D$65,4,0)=2,"Eventual 80%","Definitivo 100%")</f>
        <v>Eventual 80%</v>
      </c>
      <c r="G25" s="382"/>
    </row>
    <row r="26" spans="1:7">
      <c r="A26" s="381"/>
      <c r="B26" s="76" t="s">
        <v>187</v>
      </c>
      <c r="C26" s="130">
        <f>DSUM('3_1'!$A$12:$H$65,'3_1'!$F$12,G21:G22)</f>
        <v>0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76" t="s">
        <v>189</v>
      </c>
      <c r="D27" s="107">
        <f>DMIN('3_1'!A$12:K$65,'3_1'!$K$12,G21:G22)</f>
        <v>42977.401812686279</v>
      </c>
      <c r="E27" s="127" t="str">
        <f>IF(F27=1,"Domingo",IF(F27=2,"Lunes",IF(F27=3,"Martes",IF(F27=4,"Miercoles",IF(F27=5,"Jueves",IF(F27=6,"Viernes",IF(F27=7,"Sábado",0)))))))</f>
        <v>Miercoles</v>
      </c>
      <c r="F27" s="128">
        <f>WEEKDAY(D27)</f>
        <v>4</v>
      </c>
      <c r="G27" s="385"/>
    </row>
    <row r="28" spans="1:7" ht="15.75">
      <c r="A28" s="381"/>
      <c r="B28" s="76"/>
      <c r="C28" s="76" t="s">
        <v>190</v>
      </c>
      <c r="D28" s="107">
        <f>DMAX('3_1'!A$12:L$65,'3_1'!$L$12,G21:G22)</f>
        <v>42977.401812686279</v>
      </c>
      <c r="E28" s="127" t="str">
        <f>IF(F28=1,"Domingo",IF(F28=2,"Lunes",IF(F28=3,"Martes",IF(F28=4,"Miercoles",IF(F28=5,"Jueves",IF(F28=6,"Viernes",IF(F28=7,"Sábado",0)))))))</f>
        <v>Miercoles</v>
      </c>
      <c r="F28" s="128">
        <f>WEEKDAY(D28)</f>
        <v>4</v>
      </c>
      <c r="G28" s="385"/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377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377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IF(DSUM('3_1'!$A$12:$P$81,16,G21:G22)=COUNTIF('3_1'!$A$13:$A$81,G22),"","Regularice su Deuda")</f>
        <v>Regularice su Deuda</v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tr">
        <f>+'3_1'!$C$2</f>
        <v>CUADRO DE TURNO SAN PEDRO Y SAN PABLO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VLOOKUP(G39,'3_1'!$A$12:$G$65,7,0)</f>
        <v>SIMIONATO, VALERIA ROSALBA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+'3_1'!$H$2</f>
        <v>Hijuela Perfoga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76" t="s">
        <v>183</v>
      </c>
      <c r="C41" s="100">
        <f>VLOOKUP(G39,'3_1'!$A$12:$B$65,2,0)</f>
        <v>1253</v>
      </c>
      <c r="D41" s="76"/>
      <c r="E41" s="635" t="s">
        <v>184</v>
      </c>
      <c r="F41" s="102">
        <f>DSUM('3_1'!A$12:J$65,'3_1'!$J$12,G38:G39)</f>
        <v>4.8671416243024672E-2</v>
      </c>
      <c r="G41" s="382"/>
    </row>
    <row r="42" spans="1:7">
      <c r="A42" s="381"/>
      <c r="B42" s="76" t="s">
        <v>185</v>
      </c>
      <c r="C42" s="129">
        <v>80</v>
      </c>
      <c r="D42" s="76"/>
      <c r="E42" s="635" t="s">
        <v>186</v>
      </c>
      <c r="F42" s="368" t="str">
        <f>IF(VLOOKUP(G39,'3_1'!$A$12:$D$65,4,0)=2,"Eventual 80%","Definitivo 100%")</f>
        <v>Eventual 80%</v>
      </c>
      <c r="G42" s="382"/>
    </row>
    <row r="43" spans="1:7">
      <c r="A43" s="381"/>
      <c r="B43" s="76" t="s">
        <v>187</v>
      </c>
      <c r="C43" s="130">
        <f>DSUM('3_1'!$A$12:$H$65,'3_1'!$F$12,G38:G39)</f>
        <v>0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76" t="s">
        <v>189</v>
      </c>
      <c r="D44" s="107">
        <f>DMIN('3_1'!A$12:K$65,'3_1'!$K$12,G38:G39)</f>
        <v>42977.332307936704</v>
      </c>
      <c r="E44" s="127" t="str">
        <f>IF(F44=1,"Domingo",IF(F44=2,"Lunes",IF(F44=3,"Martes",IF(F44=4,"Miercoles",IF(F44=5,"Jueves",IF(F44=6,"Viernes",IF(F44=7,"Sábado",0)))))))</f>
        <v>Miercoles</v>
      </c>
      <c r="F44" s="128">
        <f>WEEKDAY(D44)</f>
        <v>4</v>
      </c>
      <c r="G44" s="385"/>
    </row>
    <row r="45" spans="1:7" ht="15.75">
      <c r="A45" s="381"/>
      <c r="B45" s="76"/>
      <c r="C45" s="76" t="s">
        <v>190</v>
      </c>
      <c r="D45" s="107">
        <f>DMAX('3_1'!A$12:L$65,'3_1'!$L$12,G38:G39)</f>
        <v>42977.401812686279</v>
      </c>
      <c r="E45" s="127" t="str">
        <f>IF(F45=1,"Domingo",IF(F45=2,"Lunes",IF(F45=3,"Martes",IF(F45=4,"Miercoles",IF(F45=5,"Jueves",IF(F45=6,"Viernes",IF(F45=7,"Sábado",0)))))))</f>
        <v>Miercoles</v>
      </c>
      <c r="F45" s="128">
        <f>WEEKDAY(D45)</f>
        <v>4</v>
      </c>
      <c r="G45" s="385"/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377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377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IF(DSUM('3_1'!$A$12:$P$81,16,G38:G39)=COUNTIF('3_1'!$A$13:$A$81,G39),"","Regularice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tr">
        <f>+'3_1'!$C$2</f>
        <v>CUADRO DE TURNO SAN PEDRO Y SAN PABLO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VLOOKUP(G56,'3_1'!$A$12:$G$65,7,0)</f>
        <v>CARBONI, CARLOS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+'3_1'!$H$2</f>
        <v>Hijuela Perfoga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76" t="s">
        <v>183</v>
      </c>
      <c r="C58" s="100">
        <f>VLOOKUP(G56,'3_1'!$A$12:$B$65,2,0)</f>
        <v>1253</v>
      </c>
      <c r="D58" s="76"/>
      <c r="E58" s="635" t="s">
        <v>184</v>
      </c>
      <c r="F58" s="102">
        <f>DSUM('3_1'!A$12:J$65,'3_1'!$J$12,G55:G56)</f>
        <v>1.0298992599797296</v>
      </c>
      <c r="G58" s="382"/>
    </row>
    <row r="59" spans="1:7">
      <c r="A59" s="381"/>
      <c r="B59" s="76" t="s">
        <v>185</v>
      </c>
      <c r="C59" s="129" t="s">
        <v>246</v>
      </c>
      <c r="D59" s="76"/>
      <c r="E59" s="635" t="s">
        <v>186</v>
      </c>
      <c r="F59" s="368" t="str">
        <f>IF(VLOOKUP(G56,'3_1'!$A$12:$D$65,4,0)=2,"Eventual 80%","Definitivo 100%")</f>
        <v>Eventual 80%</v>
      </c>
      <c r="G59" s="382"/>
    </row>
    <row r="60" spans="1:7">
      <c r="A60" s="381"/>
      <c r="B60" s="76" t="s">
        <v>187</v>
      </c>
      <c r="C60" s="130">
        <f>DSUM('3_1'!$A$12:$H$65,'3_1'!$F$12,G55:G56)</f>
        <v>0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76" t="s">
        <v>189</v>
      </c>
      <c r="D61" s="107">
        <f>DMIN('3_1'!A$12:K$65,'3_1'!$K$12,G55:G56)</f>
        <v>42976.28157534339</v>
      </c>
      <c r="E61" s="127" t="str">
        <f>IF(F61=1,"Domingo",IF(F61=2,"Lunes",IF(F61=3,"Martes",IF(F61=4,"Miercoles",IF(F61=5,"Jueves",IF(F61=6,"Viernes",IF(F61=7,"Sábado",0)))))))</f>
        <v>Martes</v>
      </c>
      <c r="F61" s="128">
        <f>WEEKDAY(D61)</f>
        <v>3</v>
      </c>
      <c r="G61" s="385"/>
    </row>
    <row r="62" spans="1:7" ht="15.75">
      <c r="A62" s="381"/>
      <c r="B62" s="76"/>
      <c r="C62" s="76" t="s">
        <v>190</v>
      </c>
      <c r="D62" s="107">
        <f>DMAX('3_1'!A$12:L$65,'3_1'!$L$12,G55:G56)</f>
        <v>42977.332307936704</v>
      </c>
      <c r="E62" s="127" t="str">
        <f>IF(F62=1,"Domingo",IF(F62=2,"Lunes",IF(F62=3,"Martes",IF(F62=4,"Miercoles",IF(F62=5,"Jueves",IF(F62=6,"Viernes",IF(F62=7,"Sábado",0)))))))</f>
        <v>Miercoles</v>
      </c>
      <c r="F62" s="128">
        <f>WEEKDAY(D62)</f>
        <v>4</v>
      </c>
      <c r="G62" s="385"/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377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377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IF(DSUM('3_1'!$A$12:$P$81,16,G55:G56)=COUNTIF('3_1'!$A$13:$A$81,G56),"","Regularice su Deuda")</f>
        <v/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tr">
        <f>+'3_1'!$C$2</f>
        <v>CUADRO DE TURNO SAN PEDRO Y SAN PABLO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VLOOKUP(G73,'3_1'!$A$12:$G$65,7,0)</f>
        <v>LOZANO, CESAR RAMON; LOZANO, CAYETANO ABENAMAR Y FERNANDERZ, WASHINGTON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+'3_1'!$H$2</f>
        <v>Hijuela Perfoga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76" t="s">
        <v>183</v>
      </c>
      <c r="C75" s="100">
        <f>VLOOKUP(G73,'3_1'!$A$12:$B$65,2,0)</f>
        <v>1253</v>
      </c>
      <c r="D75" s="76"/>
      <c r="E75" s="635" t="s">
        <v>184</v>
      </c>
      <c r="F75" s="102">
        <f>DSUM('3_1'!A$12:J$65,'3_1'!$J$12,G72:G73)</f>
        <v>0.10391537952691471</v>
      </c>
      <c r="G75" s="382"/>
    </row>
    <row r="76" spans="1:7">
      <c r="A76" s="381"/>
      <c r="B76" s="76" t="s">
        <v>185</v>
      </c>
      <c r="C76" s="129">
        <v>77</v>
      </c>
      <c r="D76" s="76"/>
      <c r="E76" s="635" t="s">
        <v>186</v>
      </c>
      <c r="F76" s="368" t="str">
        <f>IF(VLOOKUP(G73,'3_1'!$A$12:$D$65,4,0)=2,"Eventual 80%","Definitivo 100%")</f>
        <v>Eventual 80%</v>
      </c>
      <c r="G76" s="382"/>
    </row>
    <row r="77" spans="1:7">
      <c r="A77" s="381"/>
      <c r="B77" s="76" t="s">
        <v>187</v>
      </c>
      <c r="C77" s="130">
        <f>DSUM('3_1'!$A$12:$H$65,'3_1'!$F$12,G72:G73)</f>
        <v>0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76" t="s">
        <v>189</v>
      </c>
      <c r="D78" s="107">
        <f>DMIN('3_1'!A$12:K$65,'3_1'!$K$12,G72:G73)</f>
        <v>42976.156826630526</v>
      </c>
      <c r="E78" s="127" t="str">
        <f>IF(F78=1,"Domingo",IF(F78=2,"Lunes",IF(F78=3,"Martes",IF(F78=4,"Miercoles",IF(F78=5,"Jueves",IF(F78=6,"Viernes",IF(F78=7,"Sábado",0)))))))</f>
        <v>Martes</v>
      </c>
      <c r="F78" s="128">
        <f>WEEKDAY(D78)</f>
        <v>3</v>
      </c>
      <c r="G78" s="385"/>
    </row>
    <row r="79" spans="1:7" ht="15.75">
      <c r="A79" s="381"/>
      <c r="B79" s="76"/>
      <c r="C79" s="76" t="s">
        <v>190</v>
      </c>
      <c r="D79" s="107">
        <f>DMAX('3_1'!A$12:L$65,'3_1'!$L$12,G72:G73)</f>
        <v>42976.28157534339</v>
      </c>
      <c r="E79" s="127" t="str">
        <f>IF(F79=1,"Domingo",IF(F79=2,"Lunes",IF(F79=3,"Martes",IF(F79=4,"Miercoles",IF(F79=5,"Jueves",IF(F79=6,"Viernes",IF(F79=7,"Sábado",0)))))))</f>
        <v>Martes</v>
      </c>
      <c r="F79" s="128">
        <f>WEEKDAY(D79)</f>
        <v>3</v>
      </c>
      <c r="G79" s="385"/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377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377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IF(DSUM('3_1'!$A$12:$P$81,16,G72:G73)=COUNTIF('3_1'!$A$13:$A$81,G73),"","Regularice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tr">
        <f>+'3_1'!$C$2</f>
        <v>CUADRO DE TURNO SAN PEDRO Y SAN PABLO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VLOOKUP(G90,'3_1'!$A$12:$G$65,7,0)</f>
        <v>AVENAMAR LOZANO, CAYETANO; LOZANO, CESAR Y FERNANDEZ, WASHINGTON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+'3_1'!$H$2</f>
        <v>Hijuela Perfoga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76" t="s">
        <v>183</v>
      </c>
      <c r="C92" s="100">
        <f>VLOOKUP(G90,'3_1'!$A$12:$B$65,2,0)</f>
        <v>1253</v>
      </c>
      <c r="D92" s="76"/>
      <c r="E92" s="635" t="s">
        <v>184</v>
      </c>
      <c r="F92" s="102">
        <f>DSUM('3_1'!A$12:J$65,'3_1'!$J$12,G89:G90)</f>
        <v>6.825630519061282E-2</v>
      </c>
      <c r="G92" s="382"/>
    </row>
    <row r="93" spans="1:7">
      <c r="A93" s="381"/>
      <c r="B93" s="76" t="s">
        <v>185</v>
      </c>
      <c r="C93" s="129">
        <v>55</v>
      </c>
      <c r="D93" s="76"/>
      <c r="E93" s="635" t="s">
        <v>186</v>
      </c>
      <c r="F93" s="368" t="str">
        <f>IF(VLOOKUP(G90,'3_1'!$A$12:$D$65,4,0)=2,"Eventual 80%","Definitivo 100%")</f>
        <v>Eventual 80%</v>
      </c>
      <c r="G93" s="382"/>
    </row>
    <row r="94" spans="1:7">
      <c r="A94" s="381"/>
      <c r="B94" s="76" t="s">
        <v>187</v>
      </c>
      <c r="C94" s="130">
        <f>DSUM('3_1'!$A$12:$H$65,'3_1'!$F$12,G89:G90)</f>
        <v>0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76" t="s">
        <v>189</v>
      </c>
      <c r="D95" s="107">
        <f>DMIN('3_1'!A$12:K$65,'3_1'!$K$12,G89:G90)</f>
        <v>42976.067736992001</v>
      </c>
      <c r="E95" s="127" t="str">
        <f>IF(F95=1,"Domingo",IF(F95=2,"Lunes",IF(F95=3,"Martes",IF(F95=4,"Miercoles",IF(F95=5,"Jueves",IF(F95=6,"Viernes",IF(F95=7,"Sábado",0)))))))</f>
        <v>Martes</v>
      </c>
      <c r="F95" s="128">
        <f>WEEKDAY(D95)</f>
        <v>3</v>
      </c>
      <c r="G95" s="385"/>
    </row>
    <row r="96" spans="1:7" ht="15.75">
      <c r="A96" s="381"/>
      <c r="B96" s="76"/>
      <c r="C96" s="76" t="s">
        <v>190</v>
      </c>
      <c r="D96" s="107">
        <f>DMAX('3_1'!A$12:L$65,'3_1'!$L$12,G89:G90)</f>
        <v>42976.156826630526</v>
      </c>
      <c r="E96" s="127" t="str">
        <f>IF(F96=1,"Domingo",IF(F96=2,"Lunes",IF(F96=3,"Martes",IF(F96=4,"Miercoles",IF(F96=5,"Jueves",IF(F96=6,"Viernes",IF(F96=7,"Sábado",0)))))))</f>
        <v>Martes</v>
      </c>
      <c r="F96" s="128">
        <f>WEEKDAY(D96)</f>
        <v>3</v>
      </c>
      <c r="G96" s="385"/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377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377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IF(DSUM('3_1'!$A$12:$P$81,16,G89:G90)=COUNTIF('3_1'!$A$13:$A$81,G90),"","Regularice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tr">
        <f>+'3_1'!$C$2</f>
        <v>CUADRO DE TURNO SAN PEDRO Y SAN PABLO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VLOOKUP(G107,'3_1'!$A$12:$G$65,7,0)</f>
        <v>JOFRE, ELEUTERIO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+'3_1'!$H$2</f>
        <v>Hijuela Perfoga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76" t="s">
        <v>183</v>
      </c>
      <c r="C109" s="100">
        <f>VLOOKUP(G107,'3_1'!$A$12:$B$65,2,0)</f>
        <v>1253</v>
      </c>
      <c r="D109" s="76"/>
      <c r="E109" s="635" t="s">
        <v>184</v>
      </c>
      <c r="F109" s="102">
        <f>DSUM('3_1'!A$12:J$65,'3_1'!$J$12,G106:G107)</f>
        <v>0</v>
      </c>
      <c r="G109" s="382"/>
    </row>
    <row r="110" spans="1:7">
      <c r="A110" s="381"/>
      <c r="B110" s="76" t="s">
        <v>185</v>
      </c>
      <c r="C110" s="129">
        <v>43</v>
      </c>
      <c r="D110" s="76"/>
      <c r="E110" s="635" t="s">
        <v>186</v>
      </c>
      <c r="F110" s="368" t="str">
        <f>IF(VLOOKUP(G107,'3_1'!$A$12:$D$65,4,0)=2,"Eventual 80%","Definitivo 100%")</f>
        <v>Eventual 80%</v>
      </c>
      <c r="G110" s="382"/>
    </row>
    <row r="111" spans="1:7">
      <c r="A111" s="381"/>
      <c r="B111" s="76" t="s">
        <v>187</v>
      </c>
      <c r="C111" s="130">
        <f>DSUM('3_1'!$A$12:$H$65,'3_1'!$F$12,G106:G107)</f>
        <v>0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76" t="s">
        <v>189</v>
      </c>
      <c r="D112" s="107">
        <f>DMIN('3_1'!A$12:K$65,'3_1'!$K$12,G106:G107)</f>
        <v>42976.067736992001</v>
      </c>
      <c r="E112" s="127" t="str">
        <f>IF(F112=1,"Domingo",IF(F112=2,"Lunes",IF(F112=3,"Martes",IF(F112=4,"Miercoles",IF(F112=5,"Jueves",IF(F112=6,"Viernes",IF(F112=7,"Sábado",0)))))))</f>
        <v>Martes</v>
      </c>
      <c r="F112" s="128">
        <f>WEEKDAY(D112)</f>
        <v>3</v>
      </c>
      <c r="G112" s="385"/>
    </row>
    <row r="113" spans="1:7" ht="15.75">
      <c r="A113" s="381"/>
      <c r="B113" s="76"/>
      <c r="C113" s="76" t="s">
        <v>190</v>
      </c>
      <c r="D113" s="107">
        <f>DMAX('3_1'!A$12:L$65,'3_1'!$L$12,G106:G107)</f>
        <v>42976.067736992001</v>
      </c>
      <c r="E113" s="127" t="str">
        <f>IF(F113=1,"Domingo",IF(F113=2,"Lunes",IF(F113=3,"Martes",IF(F113=4,"Miercoles",IF(F113=5,"Jueves",IF(F113=6,"Viernes",IF(F113=7,"Sábado",0)))))))</f>
        <v>Martes</v>
      </c>
      <c r="F113" s="128">
        <f>WEEKDAY(D113)</f>
        <v>3</v>
      </c>
      <c r="G113" s="385"/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377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377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IF(DSUM('3_1'!$A$12:$P$81,16,G106:G107)=COUNTIF('3_1'!$A$13:$A$81,G107),"","Regularice su Deuda")</f>
        <v>Regularice su Deuda</v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tr">
        <f>+'3_1'!$C$2</f>
        <v>CUADRO DE TURNO SAN PEDRO Y SAN PABLO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VLOOKUP(G124,'3_1'!$A$12:$G$65,7,0)</f>
        <v>GAROFOLI, ORLANDO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+'3_1'!$H$2</f>
        <v>Hijuela Perfoga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76" t="s">
        <v>183</v>
      </c>
      <c r="C126" s="100">
        <f>VLOOKUP(G124,'3_1'!$A$12:$B$65,2,0)</f>
        <v>1253</v>
      </c>
      <c r="D126" s="76"/>
      <c r="E126" s="635" t="s">
        <v>184</v>
      </c>
      <c r="F126" s="102">
        <f>DSUM('3_1'!A$12:J$65,'3_1'!$J$12,G123:G124)</f>
        <v>6.9000900310830851E-2</v>
      </c>
      <c r="G126" s="382"/>
    </row>
    <row r="127" spans="1:7">
      <c r="A127" s="381"/>
      <c r="B127" s="76" t="s">
        <v>185</v>
      </c>
      <c r="C127" s="129">
        <v>59</v>
      </c>
      <c r="D127" s="76"/>
      <c r="E127" s="635" t="s">
        <v>186</v>
      </c>
      <c r="F127" s="368" t="str">
        <f>IF(VLOOKUP(G124,'3_1'!$A$12:$D$65,4,0)=2,"Eventual 80%","Definitivo 100%")</f>
        <v>Eventual 80%</v>
      </c>
      <c r="G127" s="382"/>
    </row>
    <row r="128" spans="1:7">
      <c r="A128" s="381"/>
      <c r="B128" s="76" t="s">
        <v>187</v>
      </c>
      <c r="C128" s="130">
        <f>DSUM('3_1'!$A$12:$H$65,'3_1'!$F$12,G123:G124)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76" t="s">
        <v>189</v>
      </c>
      <c r="D129" s="107">
        <f>DMIN('3_1'!A$12:K$65,'3_1'!$K$12,G123:G124)</f>
        <v>42975.977902758357</v>
      </c>
      <c r="E129" s="127" t="str">
        <f>IF(F129=1,"Domingo",IF(F129=2,"Lunes",IF(F129=3,"Martes",IF(F129=4,"Miercoles",IF(F129=5,"Jueves",IF(F129=6,"Viernes",IF(F129=7,"Sábado",0)))))))</f>
        <v>Lunes</v>
      </c>
      <c r="F129" s="128">
        <f>WEEKDAY(D129)</f>
        <v>2</v>
      </c>
      <c r="G129" s="385"/>
    </row>
    <row r="130" spans="1:7" ht="15.75">
      <c r="A130" s="381"/>
      <c r="B130" s="76"/>
      <c r="C130" s="76" t="s">
        <v>190</v>
      </c>
      <c r="D130" s="107">
        <f>DMAX('3_1'!A$12:L$65,'3_1'!$L$12,G123:G124)</f>
        <v>42976.067736992001</v>
      </c>
      <c r="E130" s="127" t="str">
        <f>IF(F130=1,"Domingo",IF(F130=2,"Lunes",IF(F130=3,"Martes",IF(F130=4,"Miercoles",IF(F130=5,"Jueves",IF(F130=6,"Viernes",IF(F130=7,"Sábado",0)))))))</f>
        <v>Martes</v>
      </c>
      <c r="F130" s="128">
        <f>WEEKDAY(D130)</f>
        <v>3</v>
      </c>
      <c r="G130" s="385"/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377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377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IF(DSUM('3_1'!$A$12:$P$81,16,G123:G124)=COUNTIF('3_1'!$A$13:$A$81,G124),"","Regularice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tr">
        <f>+'3_1'!$C$2</f>
        <v>CUADRO DE TURNO SAN PEDRO Y SAN PABLO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VLOOKUP(G141,'3_1'!$A$12:$G$65,7,0)</f>
        <v>FERNANDEZ MARTIN, ANTONIO EMILIO; FERNANDEZ MARTIN, NICOLAS PEDRO Y FER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+'3_1'!$H$2</f>
        <v>Hijuela Perfoga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76" t="s">
        <v>183</v>
      </c>
      <c r="C143" s="100">
        <f>VLOOKUP(G141,'3_1'!$A$12:$B$65,2,0)</f>
        <v>1253</v>
      </c>
      <c r="D143" s="76"/>
      <c r="E143" s="635" t="s">
        <v>184</v>
      </c>
      <c r="F143" s="102">
        <f>DSUM('3_1'!A$12:J$65,'3_1'!$J$12,G140:G141)</f>
        <v>0.14704209230190807</v>
      </c>
      <c r="G143" s="382"/>
    </row>
    <row r="144" spans="1:7">
      <c r="A144" s="381"/>
      <c r="B144" s="76" t="s">
        <v>185</v>
      </c>
      <c r="C144" s="129" t="s">
        <v>247</v>
      </c>
      <c r="D144" s="76"/>
      <c r="E144" s="635" t="s">
        <v>186</v>
      </c>
      <c r="F144" s="368" t="str">
        <f>IF(VLOOKUP(G141,'3_1'!$A$12:$D$65,4,0)=2,"Eventual 80%","Definitivo 100%")</f>
        <v>Eventual 80%</v>
      </c>
      <c r="G144" s="382"/>
    </row>
    <row r="145" spans="1:7">
      <c r="A145" s="381"/>
      <c r="B145" s="76" t="s">
        <v>187</v>
      </c>
      <c r="C145" s="130">
        <f>DSUM('3_1'!$A$12:$H$65,'3_1'!$F$12,G140:G141)</f>
        <v>0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76" t="s">
        <v>189</v>
      </c>
      <c r="D146" s="107">
        <f>DMIN('3_1'!A$12:K$65,'3_1'!$K$12,G140:G141)</f>
        <v>42975.810027332722</v>
      </c>
      <c r="E146" s="127" t="str">
        <f>IF(F146=1,"Domingo",IF(F146=2,"Lunes",IF(F146=3,"Martes",IF(F146=4,"Miercoles",IF(F146=5,"Jueves",IF(F146=6,"Viernes",IF(F146=7,"Sábado",0)))))))</f>
        <v>Lunes</v>
      </c>
      <c r="F146" s="128">
        <f>WEEKDAY(D146)</f>
        <v>2</v>
      </c>
      <c r="G146" s="385"/>
    </row>
    <row r="147" spans="1:7" ht="15.75">
      <c r="A147" s="381"/>
      <c r="B147" s="76"/>
      <c r="C147" s="76" t="s">
        <v>190</v>
      </c>
      <c r="D147" s="107">
        <f>DMAX('3_1'!A$12:L$65,'3_1'!$L$12,G140:G141)</f>
        <v>42975.977902758357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385"/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377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377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IF(DSUM('3_1'!$A$12:$P$81,16,G140:G141)=COUNTIF('3_1'!$A$13:$A$81,G141),"","Regularice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tr">
        <f>+'3_1'!$C$2</f>
        <v>CUADRO DE TURNO SAN PEDRO Y SAN PABLO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VLOOKUP(G158,'3_1'!$A$12:$G$65,7,0)</f>
        <v>ZALAZAR, FLORENCIA ELIZABETH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+'3_1'!$H$2</f>
        <v>Hijuela Perfoga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76" t="s">
        <v>183</v>
      </c>
      <c r="C160" s="100">
        <f>VLOOKUP(G158,'3_1'!$A$12:$B$65,2,0)</f>
        <v>1253</v>
      </c>
      <c r="D160" s="76"/>
      <c r="E160" s="635" t="s">
        <v>184</v>
      </c>
      <c r="F160" s="102">
        <f>DSUM('3_1'!A$12:J$65,'3_1'!$J$12,G157:G158)</f>
        <v>6.4441323131596367E-2</v>
      </c>
      <c r="G160" s="382"/>
    </row>
    <row r="161" spans="1:7">
      <c r="A161" s="381"/>
      <c r="B161" s="76" t="s">
        <v>185</v>
      </c>
      <c r="C161" s="129">
        <v>49</v>
      </c>
      <c r="D161" s="76"/>
      <c r="E161" s="635" t="s">
        <v>186</v>
      </c>
      <c r="F161" s="368" t="str">
        <f>IF(VLOOKUP(G158,'3_1'!$A$12:$D$65,4,0)=2,"Eventual 80%","Definitivo 100%")</f>
        <v>Eventual 80%</v>
      </c>
      <c r="G161" s="382"/>
    </row>
    <row r="162" spans="1:7">
      <c r="A162" s="381"/>
      <c r="B162" s="76" t="s">
        <v>187</v>
      </c>
      <c r="C162" s="130">
        <f>DSUM('3_1'!$A$12:$H$65,'3_1'!$F$12,G157:G158)</f>
        <v>0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76" t="s">
        <v>189</v>
      </c>
      <c r="D163" s="107">
        <f>DMIN('3_1'!A$12:K$65,'3_1'!$K$12,G157:G158)</f>
        <v>42975.745586009587</v>
      </c>
      <c r="E163" s="127" t="str">
        <f>IF(F163=1,"Domingo",IF(F163=2,"Lunes",IF(F163=3,"Martes",IF(F163=4,"Miercoles",IF(F163=5,"Jueves",IF(F163=6,"Viernes",IF(F163=7,"Sábado",0)))))))</f>
        <v>Lunes</v>
      </c>
      <c r="F163" s="128">
        <f>WEEKDAY(D163)</f>
        <v>2</v>
      </c>
      <c r="G163" s="385"/>
    </row>
    <row r="164" spans="1:7" ht="15.75">
      <c r="A164" s="381"/>
      <c r="B164" s="76"/>
      <c r="C164" s="76" t="s">
        <v>190</v>
      </c>
      <c r="D164" s="107">
        <f>DMAX('3_1'!A$12:L$65,'3_1'!$L$12,G157:G158)</f>
        <v>42975.810027332722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385"/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377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377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IF(DSUM('3_1'!$A$12:$P$81,16,G157:G158)=COUNTIF('3_1'!$A$13:$A$81,G158),"","Regularice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tr">
        <f>+'3_1'!$C$2</f>
        <v>CUADRO DE TURNO SAN PEDRO Y SAN PABLO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VLOOKUP(G175,'3_1'!$A$12:$G$65,7,0)</f>
        <v>GUZMAN, ALBERTO ANTONIO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+'3_1'!$H$2</f>
        <v>Hijuela Perfoga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76" t="s">
        <v>183</v>
      </c>
      <c r="C177" s="100">
        <f>VLOOKUP(G175,'3_1'!$A$12:$B$65,2,0)</f>
        <v>1253</v>
      </c>
      <c r="D177" s="76"/>
      <c r="E177" s="635" t="s">
        <v>184</v>
      </c>
      <c r="F177" s="102">
        <f>DSUM('3_1'!A$12:J$65,'3_1'!$J$12,G174:G175)</f>
        <v>6.4438694375655609E-2</v>
      </c>
      <c r="G177" s="382"/>
    </row>
    <row r="178" spans="1:7">
      <c r="A178" s="381"/>
      <c r="B178" s="76" t="s">
        <v>185</v>
      </c>
      <c r="C178" s="129">
        <v>50</v>
      </c>
      <c r="D178" s="76"/>
      <c r="E178" s="635" t="s">
        <v>186</v>
      </c>
      <c r="F178" s="368" t="str">
        <f>IF(VLOOKUP(G175,'3_1'!$A$12:$D$65,4,0)=2,"Eventual 80%","Definitivo 100%")</f>
        <v>Eventual 80%</v>
      </c>
      <c r="G178" s="382"/>
    </row>
    <row r="179" spans="1:7">
      <c r="A179" s="381"/>
      <c r="B179" s="76" t="s">
        <v>187</v>
      </c>
      <c r="C179" s="130">
        <f>DSUM('3_1'!$A$12:$H$65,'3_1'!$F$12,G174:G175)</f>
        <v>0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76" t="s">
        <v>189</v>
      </c>
      <c r="D180" s="107">
        <f>DMIN('3_1'!A$12:K$65,'3_1'!$K$12,G174:G175)</f>
        <v>42975.639480648548</v>
      </c>
      <c r="E180" s="127" t="str">
        <f>IF(F180=1,"Domingo",IF(F180=2,"Lunes",IF(F180=3,"Martes",IF(F180=4,"Miercoles",IF(F180=5,"Jueves",IF(F180=6,"Viernes",IF(F180=7,"Sábado",0)))))))</f>
        <v>Lunes</v>
      </c>
      <c r="F180" s="128">
        <f>WEEKDAY(D180)</f>
        <v>2</v>
      </c>
      <c r="G180" s="385"/>
    </row>
    <row r="181" spans="1:7" ht="15.75">
      <c r="A181" s="381"/>
      <c r="B181" s="76"/>
      <c r="C181" s="76" t="s">
        <v>190</v>
      </c>
      <c r="D181" s="107">
        <f>DMAX('3_1'!A$12:L$65,'3_1'!$L$12,G174:G175)</f>
        <v>42975.745586009587</v>
      </c>
      <c r="E181" s="127" t="str">
        <f>IF(F181=1,"Domingo",IF(F181=2,"Lunes",IF(F181=3,"Martes",IF(F181=4,"Miercoles",IF(F181=5,"Jueves",IF(F181=6,"Viernes",IF(F181=7,"Sábado",0)))))))</f>
        <v>Lunes</v>
      </c>
      <c r="F181" s="128">
        <f>WEEKDAY(D181)</f>
        <v>2</v>
      </c>
      <c r="G181" s="385"/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377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377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IF(DSUM('3_1'!$A$12:$P$81,16,G174:G175)=COUNTIF('3_1'!$A$13:$A$81,G175),"","Regularice su Deuda")</f>
        <v/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tr">
        <f>+'3_1'!$C$2</f>
        <v>CUADRO DE TURNO SAN PEDRO Y SAN PABLO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VLOOKUP(G192,'3_1'!$A$12:$G$65,7,0)</f>
        <v>VAIERETTI, CESAR DELFOS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76" t="str">
        <f>+'3_1'!$H$2</f>
        <v>Hijuela Perfoga</v>
      </c>
      <c r="D192" s="76"/>
      <c r="E192" s="76"/>
      <c r="F192" s="76"/>
      <c r="G192" s="383">
        <v>12</v>
      </c>
    </row>
    <row r="193" spans="1:7">
      <c r="A193" s="381"/>
      <c r="B193" s="76"/>
      <c r="C193" s="76"/>
      <c r="D193" s="76"/>
      <c r="E193" s="76"/>
      <c r="F193" s="76"/>
      <c r="G193" s="382"/>
    </row>
    <row r="194" spans="1:7">
      <c r="A194" s="381"/>
      <c r="B194" s="76" t="s">
        <v>183</v>
      </c>
      <c r="C194" s="100">
        <f>VLOOKUP(G192,'3_1'!$A$12:$B$65,2,0)</f>
        <v>1253</v>
      </c>
      <c r="D194" s="76"/>
      <c r="E194" s="635" t="s">
        <v>184</v>
      </c>
      <c r="F194" s="102">
        <f>DSUM('3_1'!A$12:J$65,'3_1'!$J$12,G191:G192)</f>
        <v>0.24714643290371746</v>
      </c>
      <c r="G194" s="382"/>
    </row>
    <row r="195" spans="1:7">
      <c r="A195" s="381"/>
      <c r="B195" s="76" t="s">
        <v>185</v>
      </c>
      <c r="C195" s="129" t="s">
        <v>248</v>
      </c>
      <c r="D195" s="76"/>
      <c r="E195" s="635" t="s">
        <v>186</v>
      </c>
      <c r="F195" s="368" t="str">
        <f>IF(VLOOKUP(G192,'3_1'!$A$12:$D$65,4,0)=2,"Eventual 80%","Definitivo 100%")</f>
        <v>Eventual 80%</v>
      </c>
      <c r="G195" s="382"/>
    </row>
    <row r="196" spans="1:7">
      <c r="A196" s="381"/>
      <c r="B196" s="76" t="s">
        <v>187</v>
      </c>
      <c r="C196" s="130">
        <f>DSUM('3_1'!$A$12:$H$65,'3_1'!$F$12,G191:G192)</f>
        <v>0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76" t="s">
        <v>189</v>
      </c>
      <c r="D197" s="107">
        <f>DMIN('3_1'!A$12:K$65,'3_1'!$K$12,G191:G192)</f>
        <v>42975.378445326751</v>
      </c>
      <c r="E197" s="127" t="str">
        <f>IF(F197=1,"Domingo",IF(F197=2,"Lunes",IF(F197=3,"Martes",IF(F197=4,"Miercoles",IF(F197=5,"Jueves",IF(F197=6,"Viernes",IF(F197=7,"Sábado",0)))))))</f>
        <v>Lunes</v>
      </c>
      <c r="F197" s="128">
        <f>WEEKDAY(D197)</f>
        <v>2</v>
      </c>
      <c r="G197" s="385"/>
    </row>
    <row r="198" spans="1:7" ht="15.75">
      <c r="A198" s="381"/>
      <c r="B198" s="76"/>
      <c r="C198" s="76" t="s">
        <v>190</v>
      </c>
      <c r="D198" s="107">
        <f>DMAX('3_1'!A$12:L$65,'3_1'!$L$12,G191:G192)</f>
        <v>42975.639480648548</v>
      </c>
      <c r="E198" s="127" t="str">
        <f>IF(F198=1,"Domingo",IF(F198=2,"Lunes",IF(F198=3,"Martes",IF(F198=4,"Miercoles",IF(F198=5,"Jueves",IF(F198=6,"Viernes",IF(F198=7,"Sábado",0)))))))</f>
        <v>Lunes</v>
      </c>
      <c r="F198" s="128">
        <f>WEEKDAY(D198)</f>
        <v>2</v>
      </c>
      <c r="G198" s="385"/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377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377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IF(DSUM('3_1'!$A$12:$P$81,16,G191:G192)=COUNTIF('3_1'!$A$13:$A$81,G192),"","Regularice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tr">
        <f>+'3_1'!$C$2</f>
        <v>CUADRO DE TURNO SAN PEDRO Y SAN PABLO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VLOOKUP(G209,'3_1'!$A$12:$G$65,7,0)</f>
        <v>SANCHEZ MARTIN, LORENZO JOSE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76" t="str">
        <f>+'3_1'!$H$2</f>
        <v>Hijuela Perfoga</v>
      </c>
      <c r="D209" s="76"/>
      <c r="E209" s="76"/>
      <c r="F209" s="76"/>
      <c r="G209" s="383">
        <v>13</v>
      </c>
    </row>
    <row r="210" spans="1:7">
      <c r="A210" s="381"/>
      <c r="B210" s="76"/>
      <c r="C210" s="76"/>
      <c r="D210" s="76"/>
      <c r="E210" s="76"/>
      <c r="F210" s="76"/>
      <c r="G210" s="382"/>
    </row>
    <row r="211" spans="1:7">
      <c r="A211" s="381"/>
      <c r="B211" s="76" t="s">
        <v>183</v>
      </c>
      <c r="C211" s="100">
        <f>VLOOKUP(G209,'3_1'!$A$12:$B$65,2,0)</f>
        <v>1253</v>
      </c>
      <c r="D211" s="76"/>
      <c r="E211" s="635" t="s">
        <v>184</v>
      </c>
      <c r="F211" s="102">
        <f>DSUM('3_1'!A$12:J$65,'3_1'!$J$12,G208:G209)</f>
        <v>0</v>
      </c>
      <c r="G211" s="382"/>
    </row>
    <row r="212" spans="1:7">
      <c r="A212" s="381"/>
      <c r="B212" s="76" t="s">
        <v>185</v>
      </c>
      <c r="C212" s="129" t="s">
        <v>249</v>
      </c>
      <c r="D212" s="76"/>
      <c r="E212" s="635" t="s">
        <v>186</v>
      </c>
      <c r="F212" s="368" t="str">
        <f>IF(VLOOKUP(G209,'3_1'!$A$12:$D$65,4,0)=2,"Eventual 80%","Definitivo 100%")</f>
        <v>Eventual 80%</v>
      </c>
      <c r="G212" s="382"/>
    </row>
    <row r="213" spans="1:7">
      <c r="A213" s="381"/>
      <c r="B213" s="76" t="s">
        <v>187</v>
      </c>
      <c r="C213" s="130">
        <f>DSUM('3_1'!$A$12:$H$65,'3_1'!$F$12,G208:G209)</f>
        <v>0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76" t="s">
        <v>189</v>
      </c>
      <c r="D214" s="107">
        <f>DMIN('3_1'!A$12:K$65,'3_1'!$K$12,G208:G209)</f>
        <v>42975.378445326751</v>
      </c>
      <c r="E214" s="127" t="str">
        <f>IF(F214=1,"Domingo",IF(F214=2,"Lunes",IF(F214=3,"Martes",IF(F214=4,"Miercoles",IF(F214=5,"Jueves",IF(F214=6,"Viernes",IF(F214=7,"Sábado",0)))))))</f>
        <v>Lunes</v>
      </c>
      <c r="F214" s="128">
        <f>WEEKDAY(D214)</f>
        <v>2</v>
      </c>
      <c r="G214" s="385"/>
    </row>
    <row r="215" spans="1:7" ht="15.75">
      <c r="A215" s="381"/>
      <c r="B215" s="76"/>
      <c r="C215" s="76" t="s">
        <v>190</v>
      </c>
      <c r="D215" s="107">
        <f>DMAX('3_1'!A$12:L$65,'3_1'!$L$12,G208:G209)</f>
        <v>42975.378445326751</v>
      </c>
      <c r="E215" s="127" t="str">
        <f>IF(F215=1,"Domingo",IF(F215=2,"Lunes",IF(F215=3,"Martes",IF(F215=4,"Miercoles",IF(F215=5,"Jueves",IF(F215=6,"Viernes",IF(F215=7,"Sábado",0)))))))</f>
        <v>Lunes</v>
      </c>
      <c r="F215" s="128">
        <f>WEEKDAY(D215)</f>
        <v>2</v>
      </c>
      <c r="G215" s="385"/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377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377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IF(DSUM('3_1'!$A$12:$P$81,16,G208:G209)=COUNTIF('3_1'!$A$13:$A$81,G209),"","Regularice su Deuda")</f>
        <v>Regularice su Deuda</v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tr">
        <f>+'3_1'!$C$2</f>
        <v>CUADRO DE TURNO SAN PEDRO Y SAN PABLO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str">
        <f>VLOOKUP(G226,'3_1'!$A$12:$G$65,7,0)</f>
        <v>CALDERARO, RODOLFO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76" t="str">
        <f>+'3_1'!$H$2</f>
        <v>Hijuela Perfoga</v>
      </c>
      <c r="D226" s="76"/>
      <c r="E226" s="76"/>
      <c r="F226" s="76"/>
      <c r="G226" s="383">
        <v>14</v>
      </c>
    </row>
    <row r="227" spans="1:7">
      <c r="A227" s="381"/>
      <c r="B227" s="76"/>
      <c r="C227" s="76"/>
      <c r="D227" s="76"/>
      <c r="E227" s="76"/>
      <c r="F227" s="76"/>
      <c r="G227" s="382"/>
    </row>
    <row r="228" spans="1:7">
      <c r="A228" s="381"/>
      <c r="B228" s="76" t="s">
        <v>183</v>
      </c>
      <c r="C228" s="100">
        <f>VLOOKUP(G226,'3_1'!$A$12:$B$65,2,0)</f>
        <v>1253</v>
      </c>
      <c r="D228" s="76"/>
      <c r="E228" s="635" t="s">
        <v>184</v>
      </c>
      <c r="F228" s="102">
        <f>DSUM('3_1'!A$12:J$65,'3_1'!$J$12,G225:G226)</f>
        <v>3.2220661565798184E-2</v>
      </c>
      <c r="G228" s="382"/>
    </row>
    <row r="229" spans="1:7">
      <c r="A229" s="381"/>
      <c r="B229" s="76" t="s">
        <v>185</v>
      </c>
      <c r="C229" s="129">
        <v>47</v>
      </c>
      <c r="D229" s="76"/>
      <c r="E229" s="635" t="s">
        <v>186</v>
      </c>
      <c r="F229" s="368" t="str">
        <f>IF(VLOOKUP(G226,'3_1'!$A$12:$D$65,4,0)=2,"Eventual 80%","Definitivo 100%")</f>
        <v>Eventual 80%</v>
      </c>
      <c r="G229" s="382"/>
    </row>
    <row r="230" spans="1:7">
      <c r="A230" s="381"/>
      <c r="B230" s="76" t="s">
        <v>187</v>
      </c>
      <c r="C230" s="130">
        <f>DSUM('3_1'!$A$12:$H$65,'3_1'!$F$12,G225:G226)</f>
        <v>0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76" t="s">
        <v>189</v>
      </c>
      <c r="D231" s="107">
        <f>DMIN('3_1'!A$12:K$65,'3_1'!$K$12,G225:G226)</f>
        <v>42975.332335776293</v>
      </c>
      <c r="E231" s="127" t="str">
        <f>IF(F231=1,"Domingo",IF(F231=2,"Lunes",IF(F231=3,"Martes",IF(F231=4,"Miercoles",IF(F231=5,"Jueves",IF(F231=6,"Viernes",IF(F231=7,"Sábado",0)))))))</f>
        <v>Lunes</v>
      </c>
      <c r="F231" s="128">
        <f>WEEKDAY(D231)</f>
        <v>2</v>
      </c>
      <c r="G231" s="385"/>
    </row>
    <row r="232" spans="1:7" ht="15.75">
      <c r="A232" s="381"/>
      <c r="B232" s="76"/>
      <c r="C232" s="76" t="s">
        <v>190</v>
      </c>
      <c r="D232" s="107">
        <f>DMAX('3_1'!A$12:L$65,'3_1'!$L$12,G225:G226)</f>
        <v>42975.378445326751</v>
      </c>
      <c r="E232" s="127" t="str">
        <f>IF(F232=1,"Domingo",IF(F232=2,"Lunes",IF(F232=3,"Martes",IF(F232=4,"Miercoles",IF(F232=5,"Jueves",IF(F232=6,"Viernes",IF(F232=7,"Sábado",0)))))))</f>
        <v>Lunes</v>
      </c>
      <c r="F232" s="128">
        <f>WEEKDAY(D232)</f>
        <v>2</v>
      </c>
      <c r="G232" s="385"/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377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377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IF(DSUM('3_1'!$A$12:$P$81,16,G225:G226)=COUNTIF('3_1'!$A$13:$A$81,G226),"","Regularice su Deuda")</f>
        <v/>
      </c>
      <c r="C237" s="326"/>
      <c r="D237" s="326"/>
      <c r="E237" s="326"/>
      <c r="F237" s="326"/>
      <c r="G237" s="388"/>
    </row>
    <row r="238" spans="1:7" ht="13.5" thickBot="1"/>
    <row r="239" spans="1:7">
      <c r="A239" s="378"/>
      <c r="B239" s="379"/>
      <c r="C239" s="379"/>
      <c r="D239" s="379"/>
      <c r="E239" s="379"/>
      <c r="F239" s="379"/>
      <c r="G239" s="380"/>
    </row>
    <row r="240" spans="1:7">
      <c r="A240" s="381"/>
      <c r="B240" s="109" t="str">
        <f>+'3_1'!$C$2</f>
        <v>CUADRO DE TURNO SAN PEDRO Y SAN PABLO</v>
      </c>
      <c r="C240" s="76"/>
      <c r="D240" s="76"/>
      <c r="E240" s="76"/>
      <c r="F240" s="76"/>
      <c r="G240" s="382"/>
    </row>
    <row r="241" spans="1:7">
      <c r="A241" s="381"/>
      <c r="B241" s="76"/>
      <c r="C241" s="76"/>
      <c r="D241" s="76"/>
      <c r="E241" s="76"/>
      <c r="F241" s="76"/>
      <c r="G241" s="382"/>
    </row>
    <row r="242" spans="1:7">
      <c r="A242" s="381"/>
      <c r="B242" s="76" t="s">
        <v>182</v>
      </c>
      <c r="C242" s="76" t="str">
        <f>VLOOKUP(G243,'3_1'!$A$12:$G$65,7,0)</f>
        <v>MIRABILE, ANTONIO IGNACIO</v>
      </c>
      <c r="D242" s="76"/>
      <c r="E242" s="76"/>
      <c r="F242" s="76"/>
      <c r="G242" s="383" t="s">
        <v>134</v>
      </c>
    </row>
    <row r="243" spans="1:7">
      <c r="A243" s="381"/>
      <c r="B243" s="76" t="s">
        <v>91</v>
      </c>
      <c r="C243" s="76" t="str">
        <f>+'3_1'!$H$2</f>
        <v>Hijuela Perfoga</v>
      </c>
      <c r="D243" s="76"/>
      <c r="E243" s="76"/>
      <c r="F243" s="76"/>
      <c r="G243" s="383">
        <v>15</v>
      </c>
    </row>
    <row r="244" spans="1:7">
      <c r="A244" s="381"/>
      <c r="B244" s="76"/>
      <c r="C244" s="76"/>
      <c r="D244" s="76"/>
      <c r="E244" s="76"/>
      <c r="F244" s="76"/>
      <c r="G244" s="382"/>
    </row>
    <row r="245" spans="1:7">
      <c r="A245" s="381"/>
      <c r="B245" s="76" t="s">
        <v>183</v>
      </c>
      <c r="C245" s="100">
        <f>VLOOKUP(G243,'3_1'!$A$12:$B$65,2,0)</f>
        <v>1253</v>
      </c>
      <c r="D245" s="76"/>
      <c r="E245" s="635" t="s">
        <v>184</v>
      </c>
      <c r="F245" s="102">
        <f>DSUM('3_1'!A$12:J$65,'3_1'!$J$12,G242:G243)</f>
        <v>0</v>
      </c>
      <c r="G245" s="382"/>
    </row>
    <row r="246" spans="1:7">
      <c r="A246" s="381"/>
      <c r="B246" s="76" t="s">
        <v>185</v>
      </c>
      <c r="C246" s="129">
        <v>128</v>
      </c>
      <c r="D246" s="76"/>
      <c r="E246" s="635" t="s">
        <v>186</v>
      </c>
      <c r="F246" s="368" t="str">
        <f>IF(VLOOKUP(G243,'3_1'!$A$12:$D$65,4,0)=2,"Eventual 80%","Definitivo 100%")</f>
        <v>Eventual 80%</v>
      </c>
      <c r="G246" s="382"/>
    </row>
    <row r="247" spans="1:7">
      <c r="A247" s="381"/>
      <c r="B247" s="76" t="s">
        <v>187</v>
      </c>
      <c r="C247" s="130">
        <f>DSUM('3_1'!$A$12:$H$65,'3_1'!$F$12,G242:G243)</f>
        <v>0</v>
      </c>
      <c r="D247" s="76"/>
      <c r="E247" s="635" t="s">
        <v>188</v>
      </c>
      <c r="F247" s="369" t="str">
        <f>+Hijuelas!$G$5</f>
        <v>fracción</v>
      </c>
      <c r="G247" s="384"/>
    </row>
    <row r="248" spans="1:7" ht="15.75">
      <c r="A248" s="381"/>
      <c r="B248" s="76"/>
      <c r="C248" s="76" t="s">
        <v>189</v>
      </c>
      <c r="D248" s="107">
        <f>DMIN('3_1'!A$12:K$65,'3_1'!$K$12,G242:G243)</f>
        <v>42975.332335776293</v>
      </c>
      <c r="E248" s="127" t="str">
        <f>IF(F248=1,"Domingo",IF(F248=2,"Lunes",IF(F248=3,"Martes",IF(F248=4,"Miercoles",IF(F248=5,"Jueves",IF(F248=6,"Viernes",IF(F248=7,"Sábado",0)))))))</f>
        <v>Lunes</v>
      </c>
      <c r="F248" s="128">
        <f>WEEKDAY(D248)</f>
        <v>2</v>
      </c>
      <c r="G248" s="385"/>
    </row>
    <row r="249" spans="1:7" ht="15.75">
      <c r="A249" s="381"/>
      <c r="B249" s="76"/>
      <c r="C249" s="76" t="s">
        <v>190</v>
      </c>
      <c r="D249" s="107">
        <f>DMAX('3_1'!A$12:L$65,'3_1'!$L$12,G242:G243)</f>
        <v>42975.332335776293</v>
      </c>
      <c r="E249" s="127" t="str">
        <f>IF(F249=1,"Domingo",IF(F249=2,"Lunes",IF(F249=3,"Martes",IF(F249=4,"Miercoles",IF(F249=5,"Jueves",IF(F249=6,"Viernes",IF(F249=7,"Sábado",0)))))))</f>
        <v>Lunes</v>
      </c>
      <c r="F249" s="128">
        <f>WEEKDAY(D249)</f>
        <v>2</v>
      </c>
      <c r="G249" s="385"/>
    </row>
    <row r="250" spans="1:7">
      <c r="A250" s="381"/>
      <c r="B250" s="76"/>
      <c r="C250" s="76"/>
      <c r="D250" s="76"/>
      <c r="E250" s="76"/>
      <c r="F250" s="106"/>
      <c r="G250" s="384"/>
    </row>
    <row r="251" spans="1:7">
      <c r="A251" s="381"/>
      <c r="B251" s="377" t="str">
        <f>+Mensajes!$B$7</f>
        <v>PARA CUALQUIER MODIFICACION EN EL CUADRO DE TURNO COMUNIQUESE CON SU TOMERO</v>
      </c>
      <c r="C251" s="76"/>
      <c r="D251" s="76"/>
      <c r="E251" s="76"/>
      <c r="F251" s="76"/>
      <c r="G251" s="382"/>
    </row>
    <row r="252" spans="1:7">
      <c r="A252" s="381"/>
      <c r="B252" s="377" t="str">
        <f>+Mensajes!$B$12</f>
        <v>Recuerde que con 1 (una) cuotas vigentes impagas se restringirá el servicio.</v>
      </c>
      <c r="C252" s="76"/>
      <c r="D252" s="76"/>
      <c r="E252" s="76"/>
      <c r="F252" s="76"/>
      <c r="G252" s="382"/>
    </row>
    <row r="253" spans="1:7">
      <c r="A253" s="381"/>
      <c r="B253" s="108"/>
      <c r="C253" s="76"/>
      <c r="D253" s="76"/>
      <c r="E253" s="76"/>
      <c r="F253" s="76"/>
      <c r="G253" s="382"/>
    </row>
    <row r="254" spans="1:7" ht="13.5" thickBot="1">
      <c r="A254" s="386"/>
      <c r="B254" s="387" t="str">
        <f>IF(DSUM('3_1'!$A$12:$P$81,16,G242:G243)=COUNTIF('3_1'!$A$13:$A$81,G243),"","Regularice su Deuda")</f>
        <v>Regularice su Deuda</v>
      </c>
      <c r="C254" s="326"/>
      <c r="D254" s="326"/>
      <c r="E254" s="326"/>
      <c r="F254" s="326"/>
      <c r="G254" s="388"/>
    </row>
    <row r="255" spans="1:7" ht="13.5" thickBot="1"/>
    <row r="256" spans="1:7">
      <c r="A256" s="378"/>
      <c r="B256" s="379"/>
      <c r="C256" s="379"/>
      <c r="D256" s="379"/>
      <c r="E256" s="379"/>
      <c r="F256" s="379"/>
      <c r="G256" s="380"/>
    </row>
    <row r="257" spans="1:7">
      <c r="A257" s="381"/>
      <c r="B257" s="109" t="str">
        <f>+'3_1'!$C$2</f>
        <v>CUADRO DE TURNO SAN PEDRO Y SAN PABLO</v>
      </c>
      <c r="C257" s="76"/>
      <c r="D257" s="76"/>
      <c r="E257" s="76"/>
      <c r="F257" s="76"/>
      <c r="G257" s="382"/>
    </row>
    <row r="258" spans="1:7">
      <c r="A258" s="381"/>
      <c r="B258" s="76"/>
      <c r="C258" s="76"/>
      <c r="D258" s="76"/>
      <c r="E258" s="76"/>
      <c r="F258" s="76"/>
      <c r="G258" s="382"/>
    </row>
    <row r="259" spans="1:7">
      <c r="A259" s="381"/>
      <c r="B259" s="76" t="s">
        <v>182</v>
      </c>
      <c r="C259" s="76" t="str">
        <f>VLOOKUP(G260,'3_1'!$A$12:$G$65,7,0)</f>
        <v>CARBONI, ANTONIO ALFONSO</v>
      </c>
      <c r="D259" s="76"/>
      <c r="E259" s="76"/>
      <c r="F259" s="76"/>
      <c r="G259" s="383" t="s">
        <v>134</v>
      </c>
    </row>
    <row r="260" spans="1:7">
      <c r="A260" s="381"/>
      <c r="B260" s="76" t="s">
        <v>91</v>
      </c>
      <c r="C260" s="76" t="str">
        <f>+'3_1'!$H$2</f>
        <v>Hijuela Perfoga</v>
      </c>
      <c r="D260" s="76"/>
      <c r="E260" s="76"/>
      <c r="F260" s="76"/>
      <c r="G260" s="383">
        <v>16</v>
      </c>
    </row>
    <row r="261" spans="1:7">
      <c r="A261" s="381"/>
      <c r="B261" s="76"/>
      <c r="C261" s="76"/>
      <c r="D261" s="76"/>
      <c r="E261" s="76"/>
      <c r="F261" s="76"/>
      <c r="G261" s="382"/>
    </row>
    <row r="262" spans="1:7">
      <c r="A262" s="381"/>
      <c r="B262" s="76" t="s">
        <v>183</v>
      </c>
      <c r="C262" s="100">
        <f>VLOOKUP(G260,'3_1'!$A$12:$B$65,2,0)</f>
        <v>1253</v>
      </c>
      <c r="D262" s="76"/>
      <c r="E262" s="635" t="s">
        <v>184</v>
      </c>
      <c r="F262" s="102">
        <f>DSUM('3_1'!A$12:J$65,'3_1'!$J$12,G259:G260)</f>
        <v>6.5718898518801874E-2</v>
      </c>
      <c r="G262" s="382"/>
    </row>
    <row r="263" spans="1:7">
      <c r="A263" s="381"/>
      <c r="B263" s="76" t="s">
        <v>185</v>
      </c>
      <c r="C263" s="129">
        <v>109</v>
      </c>
      <c r="D263" s="76"/>
      <c r="E263" s="635" t="s">
        <v>186</v>
      </c>
      <c r="F263" s="368" t="str">
        <f>IF(VLOOKUP(G260,'3_1'!$A$12:$D$65,4,0)=2,"Eventual 80%","Definitivo 100%")</f>
        <v>Eventual 80%</v>
      </c>
      <c r="G263" s="382"/>
    </row>
    <row r="264" spans="1:7">
      <c r="A264" s="381"/>
      <c r="B264" s="76" t="s">
        <v>187</v>
      </c>
      <c r="C264" s="130">
        <f>DSUM('3_1'!$A$12:$H$65,'3_1'!$F$12,G259:G260)</f>
        <v>0</v>
      </c>
      <c r="D264" s="76"/>
      <c r="E264" s="635" t="s">
        <v>188</v>
      </c>
      <c r="F264" s="369" t="str">
        <f>+Hijuelas!$G$5</f>
        <v>fracción</v>
      </c>
      <c r="G264" s="384"/>
    </row>
    <row r="265" spans="1:7" ht="15.75">
      <c r="A265" s="381"/>
      <c r="B265" s="76"/>
      <c r="C265" s="76" t="s">
        <v>189</v>
      </c>
      <c r="D265" s="107">
        <f>DMIN('3_1'!A$12:K$65,'3_1'!$K$12,G259:G260)</f>
        <v>42975.256200211108</v>
      </c>
      <c r="E265" s="127" t="str">
        <f>IF(F265=1,"Domingo",IF(F265=2,"Lunes",IF(F265=3,"Martes",IF(F265=4,"Miercoles",IF(F265=5,"Jueves",IF(F265=6,"Viernes",IF(F265=7,"Sábado",0)))))))</f>
        <v>Lunes</v>
      </c>
      <c r="F265" s="128">
        <f>WEEKDAY(D265)</f>
        <v>2</v>
      </c>
      <c r="G265" s="385"/>
    </row>
    <row r="266" spans="1:7" ht="15.75">
      <c r="A266" s="381"/>
      <c r="B266" s="76"/>
      <c r="C266" s="76" t="s">
        <v>190</v>
      </c>
      <c r="D266" s="107">
        <f>DMAX('3_1'!A$12:L$65,'3_1'!$L$12,G259:G260)</f>
        <v>42975.332335776293</v>
      </c>
      <c r="E266" s="127" t="str">
        <f>IF(F266=1,"Domingo",IF(F266=2,"Lunes",IF(F266=3,"Martes",IF(F266=4,"Miercoles",IF(F266=5,"Jueves",IF(F266=6,"Viernes",IF(F266=7,"Sábado",0)))))))</f>
        <v>Lunes</v>
      </c>
      <c r="F266" s="128">
        <f>WEEKDAY(D266)</f>
        <v>2</v>
      </c>
      <c r="G266" s="385"/>
    </row>
    <row r="267" spans="1:7">
      <c r="A267" s="381"/>
      <c r="B267" s="76"/>
      <c r="C267" s="76"/>
      <c r="D267" s="76"/>
      <c r="E267" s="76"/>
      <c r="F267" s="106"/>
      <c r="G267" s="384"/>
    </row>
    <row r="268" spans="1:7">
      <c r="A268" s="381"/>
      <c r="B268" s="377" t="str">
        <f>+Mensajes!$B$7</f>
        <v>PARA CUALQUIER MODIFICACION EN EL CUADRO DE TURNO COMUNIQUESE CON SU TOMERO</v>
      </c>
      <c r="C268" s="76"/>
      <c r="D268" s="76"/>
      <c r="E268" s="76"/>
      <c r="F268" s="76"/>
      <c r="G268" s="382"/>
    </row>
    <row r="269" spans="1:7">
      <c r="A269" s="381"/>
      <c r="B269" s="377" t="str">
        <f>+Mensajes!$B$12</f>
        <v>Recuerde que con 1 (una) cuotas vigentes impagas se restringirá el servicio.</v>
      </c>
      <c r="C269" s="76"/>
      <c r="D269" s="76"/>
      <c r="E269" s="76"/>
      <c r="F269" s="76"/>
      <c r="G269" s="382"/>
    </row>
    <row r="270" spans="1:7">
      <c r="A270" s="381"/>
      <c r="B270" s="108"/>
      <c r="C270" s="76"/>
      <c r="D270" s="76"/>
      <c r="E270" s="76"/>
      <c r="F270" s="76"/>
      <c r="G270" s="382"/>
    </row>
    <row r="271" spans="1:7" ht="13.5" thickBot="1">
      <c r="A271" s="386"/>
      <c r="B271" s="387" t="str">
        <f>IF(DSUM('3_1'!$A$12:$P$81,16,G259:G260)=COUNTIF('3_1'!$A$13:$A$81,G260),"","Regularice su Deuda")</f>
        <v/>
      </c>
      <c r="C271" s="326"/>
      <c r="D271" s="326"/>
      <c r="E271" s="326"/>
      <c r="F271" s="326"/>
      <c r="G271" s="388"/>
    </row>
    <row r="272" spans="1:7" ht="13.5" thickBot="1"/>
    <row r="273" spans="1:7">
      <c r="A273" s="378"/>
      <c r="B273" s="379"/>
      <c r="C273" s="379"/>
      <c r="D273" s="379"/>
      <c r="E273" s="379"/>
      <c r="F273" s="379"/>
      <c r="G273" s="380"/>
    </row>
    <row r="274" spans="1:7">
      <c r="A274" s="381"/>
      <c r="B274" s="109" t="str">
        <f>+'3_1'!$C$2</f>
        <v>CUADRO DE TURNO SAN PEDRO Y SAN PABLO</v>
      </c>
      <c r="C274" s="76"/>
      <c r="D274" s="76"/>
      <c r="E274" s="76"/>
      <c r="F274" s="76"/>
      <c r="G274" s="382"/>
    </row>
    <row r="275" spans="1:7">
      <c r="A275" s="381"/>
      <c r="B275" s="76"/>
      <c r="C275" s="76"/>
      <c r="D275" s="76"/>
      <c r="E275" s="76"/>
      <c r="F275" s="76"/>
      <c r="G275" s="382"/>
    </row>
    <row r="276" spans="1:7">
      <c r="A276" s="381"/>
      <c r="B276" s="76" t="s">
        <v>182</v>
      </c>
      <c r="C276" s="76" t="str">
        <f>VLOOKUP(G277,'3_1'!$A$12:$G$65,7,0)</f>
        <v>MORALES, JUAN RAMON</v>
      </c>
      <c r="D276" s="76"/>
      <c r="E276" s="76"/>
      <c r="F276" s="76"/>
      <c r="G276" s="383" t="s">
        <v>134</v>
      </c>
    </row>
    <row r="277" spans="1:7">
      <c r="A277" s="381"/>
      <c r="B277" s="76" t="s">
        <v>91</v>
      </c>
      <c r="C277" s="76" t="str">
        <f>+'3_1'!$H$2</f>
        <v>Hijuela Perfoga</v>
      </c>
      <c r="D277" s="76"/>
      <c r="E277" s="76"/>
      <c r="F277" s="76"/>
      <c r="G277" s="383">
        <v>17</v>
      </c>
    </row>
    <row r="278" spans="1:7">
      <c r="A278" s="381"/>
      <c r="B278" s="76"/>
      <c r="C278" s="76"/>
      <c r="D278" s="76"/>
      <c r="E278" s="76"/>
      <c r="F278" s="76"/>
      <c r="G278" s="382"/>
    </row>
    <row r="279" spans="1:7">
      <c r="A279" s="381"/>
      <c r="B279" s="76" t="s">
        <v>183</v>
      </c>
      <c r="C279" s="100">
        <f>VLOOKUP(G277,'3_1'!$A$12:$B$65,2,0)</f>
        <v>1253</v>
      </c>
      <c r="D279" s="76"/>
      <c r="E279" s="635" t="s">
        <v>184</v>
      </c>
      <c r="F279" s="102">
        <f>DSUM('3_1'!A$12:J$65,'3_1'!$J$12,G276:G277)</f>
        <v>0.19579237122315529</v>
      </c>
      <c r="G279" s="382"/>
    </row>
    <row r="280" spans="1:7">
      <c r="A280" s="381"/>
      <c r="B280" s="76" t="s">
        <v>185</v>
      </c>
      <c r="C280" s="129" t="s">
        <v>250</v>
      </c>
      <c r="D280" s="76"/>
      <c r="E280" s="635" t="s">
        <v>186</v>
      </c>
      <c r="F280" s="368" t="str">
        <f>IF(VLOOKUP(G277,'3_1'!$A$12:$D$65,4,0)=2,"Eventual 80%","Definitivo 100%")</f>
        <v>Eventual 80%</v>
      </c>
      <c r="G280" s="382"/>
    </row>
    <row r="281" spans="1:7">
      <c r="A281" s="381"/>
      <c r="B281" s="76" t="s">
        <v>187</v>
      </c>
      <c r="C281" s="130">
        <f>DSUM('3_1'!$A$12:$H$65,'3_1'!$F$12,G276:G277)</f>
        <v>0</v>
      </c>
      <c r="D281" s="76"/>
      <c r="E281" s="635" t="s">
        <v>188</v>
      </c>
      <c r="F281" s="369" t="str">
        <f>+Hijuelas!$G$5</f>
        <v>fracción</v>
      </c>
      <c r="G281" s="384"/>
    </row>
    <row r="282" spans="1:7" ht="15.75">
      <c r="A282" s="381"/>
      <c r="B282" s="76"/>
      <c r="C282" s="76" t="s">
        <v>189</v>
      </c>
      <c r="D282" s="107">
        <f>DMIN('3_1'!A$12:K$65,'3_1'!$K$12,G276:G277)</f>
        <v>42975.049991173219</v>
      </c>
      <c r="E282" s="127" t="str">
        <f>IF(F282=1,"Domingo",IF(F282=2,"Lunes",IF(F282=3,"Martes",IF(F282=4,"Miercoles",IF(F282=5,"Jueves",IF(F282=6,"Viernes",IF(F282=7,"Sábado",0)))))))</f>
        <v>Lunes</v>
      </c>
      <c r="F282" s="128">
        <f>WEEKDAY(D282)</f>
        <v>2</v>
      </c>
      <c r="G282" s="385"/>
    </row>
    <row r="283" spans="1:7" ht="15.75">
      <c r="A283" s="381"/>
      <c r="B283" s="76"/>
      <c r="C283" s="76" t="s">
        <v>190</v>
      </c>
      <c r="D283" s="107">
        <f>DMAX('3_1'!A$12:L$65,'3_1'!$L$12,G276:G277)</f>
        <v>42975.256200211108</v>
      </c>
      <c r="E283" s="127" t="str">
        <f>IF(F283=1,"Domingo",IF(F283=2,"Lunes",IF(F283=3,"Martes",IF(F283=4,"Miercoles",IF(F283=5,"Jueves",IF(F283=6,"Viernes",IF(F283=7,"Sábado",0)))))))</f>
        <v>Lunes</v>
      </c>
      <c r="F283" s="128">
        <f>WEEKDAY(D283)</f>
        <v>2</v>
      </c>
      <c r="G283" s="385"/>
    </row>
    <row r="284" spans="1:7">
      <c r="A284" s="381"/>
      <c r="B284" s="76"/>
      <c r="C284" s="76"/>
      <c r="D284" s="76"/>
      <c r="E284" s="76"/>
      <c r="F284" s="106"/>
      <c r="G284" s="384"/>
    </row>
    <row r="285" spans="1:7">
      <c r="A285" s="381"/>
      <c r="B285" s="377" t="str">
        <f>+Mensajes!$B$7</f>
        <v>PARA CUALQUIER MODIFICACION EN EL CUADRO DE TURNO COMUNIQUESE CON SU TOMERO</v>
      </c>
      <c r="C285" s="76"/>
      <c r="D285" s="76"/>
      <c r="E285" s="76"/>
      <c r="F285" s="76"/>
      <c r="G285" s="382"/>
    </row>
    <row r="286" spans="1:7">
      <c r="A286" s="381"/>
      <c r="B286" s="377" t="str">
        <f>+Mensajes!$B$12</f>
        <v>Recuerde que con 1 (una) cuotas vigentes impagas se restringirá el servicio.</v>
      </c>
      <c r="C286" s="76"/>
      <c r="D286" s="76"/>
      <c r="E286" s="76"/>
      <c r="F286" s="76"/>
      <c r="G286" s="382"/>
    </row>
    <row r="287" spans="1:7">
      <c r="A287" s="381"/>
      <c r="B287" s="108"/>
      <c r="C287" s="76"/>
      <c r="D287" s="76"/>
      <c r="E287" s="76"/>
      <c r="F287" s="76"/>
      <c r="G287" s="382"/>
    </row>
    <row r="288" spans="1:7" ht="13.5" thickBot="1">
      <c r="A288" s="386"/>
      <c r="B288" s="387" t="str">
        <f>IF(DSUM('3_1'!$A$12:$P$81,16,G276:G277)=COUNTIF('3_1'!$A$13:$A$81,G277),"","Regularice su Deuda")</f>
        <v/>
      </c>
      <c r="C288" s="326"/>
      <c r="D288" s="326"/>
      <c r="E288" s="326"/>
      <c r="F288" s="326"/>
      <c r="G288" s="388"/>
    </row>
    <row r="289" spans="1:7" ht="13.5" thickBot="1"/>
    <row r="290" spans="1:7">
      <c r="A290" s="378"/>
      <c r="B290" s="379"/>
      <c r="C290" s="379"/>
      <c r="D290" s="379"/>
      <c r="E290" s="379"/>
      <c r="F290" s="379"/>
      <c r="G290" s="380"/>
    </row>
    <row r="291" spans="1:7">
      <c r="A291" s="381"/>
      <c r="B291" s="109" t="str">
        <f>+'3_1'!$C$2</f>
        <v>CUADRO DE TURNO SAN PEDRO Y SAN PABLO</v>
      </c>
      <c r="C291" s="76"/>
      <c r="D291" s="76"/>
      <c r="E291" s="76"/>
      <c r="F291" s="76"/>
      <c r="G291" s="382"/>
    </row>
    <row r="292" spans="1:7">
      <c r="A292" s="381"/>
      <c r="B292" s="76"/>
      <c r="C292" s="76"/>
      <c r="D292" s="76"/>
      <c r="E292" s="76"/>
      <c r="F292" s="76"/>
      <c r="G292" s="382"/>
    </row>
    <row r="293" spans="1:7">
      <c r="A293" s="381"/>
      <c r="B293" s="76" t="s">
        <v>182</v>
      </c>
      <c r="C293" s="76" t="str">
        <f>VLOOKUP(G294,'3_1'!$A$12:$G$65,7,0)</f>
        <v>CARBONE, LUIS ALFONSO Y CARBONE, PEDRO OMAR</v>
      </c>
      <c r="D293" s="76"/>
      <c r="E293" s="76"/>
      <c r="F293" s="76"/>
      <c r="G293" s="383" t="s">
        <v>134</v>
      </c>
    </row>
    <row r="294" spans="1:7">
      <c r="A294" s="381"/>
      <c r="B294" s="76" t="s">
        <v>91</v>
      </c>
      <c r="C294" s="76" t="str">
        <f>+'3_1'!$H$2</f>
        <v>Hijuela Perfoga</v>
      </c>
      <c r="D294" s="76"/>
      <c r="E294" s="76"/>
      <c r="F294" s="76"/>
      <c r="G294" s="383">
        <v>18</v>
      </c>
    </row>
    <row r="295" spans="1:7">
      <c r="A295" s="381"/>
      <c r="B295" s="76"/>
      <c r="C295" s="76"/>
      <c r="D295" s="76"/>
      <c r="E295" s="76"/>
      <c r="F295" s="76"/>
      <c r="G295" s="382"/>
    </row>
    <row r="296" spans="1:7">
      <c r="A296" s="381"/>
      <c r="B296" s="76" t="s">
        <v>183</v>
      </c>
      <c r="C296" s="100">
        <f>VLOOKUP(G294,'3_1'!$A$12:$B$65,2,0)</f>
        <v>1253</v>
      </c>
      <c r="D296" s="76"/>
      <c r="E296" s="635" t="s">
        <v>184</v>
      </c>
      <c r="F296" s="102">
        <f>DSUM('3_1'!A$12:J$65,'3_1'!$J$12,G293:G294)</f>
        <v>3.7738420285436787E-2</v>
      </c>
      <c r="G296" s="382"/>
    </row>
    <row r="297" spans="1:7">
      <c r="A297" s="381"/>
      <c r="B297" s="76" t="s">
        <v>185</v>
      </c>
      <c r="C297" s="129">
        <v>63</v>
      </c>
      <c r="D297" s="76"/>
      <c r="E297" s="635" t="s">
        <v>186</v>
      </c>
      <c r="F297" s="368" t="str">
        <f>IF(VLOOKUP(G294,'3_1'!$A$12:$D$65,4,0)=2,"Eventual 80%","Definitivo 100%")</f>
        <v>Eventual 80%</v>
      </c>
      <c r="G297" s="382"/>
    </row>
    <row r="298" spans="1:7">
      <c r="A298" s="381"/>
      <c r="B298" s="76" t="s">
        <v>187</v>
      </c>
      <c r="C298" s="130">
        <f>DSUM('3_1'!$A$12:$H$65,'3_1'!$F$12,G293:G294)</f>
        <v>0</v>
      </c>
      <c r="D298" s="76"/>
      <c r="E298" s="635" t="s">
        <v>188</v>
      </c>
      <c r="F298" s="369" t="str">
        <f>+Hijuelas!$G$5</f>
        <v>fracción</v>
      </c>
      <c r="G298" s="384"/>
    </row>
    <row r="299" spans="1:7" ht="15.75">
      <c r="A299" s="381"/>
      <c r="B299" s="76"/>
      <c r="C299" s="76" t="s">
        <v>189</v>
      </c>
      <c r="D299" s="107">
        <f>DMIN('3_1'!A$12:K$65,'3_1'!$K$12,G293:G294)</f>
        <v>42975.012252752931</v>
      </c>
      <c r="E299" s="127" t="str">
        <f>IF(F299=1,"Domingo",IF(F299=2,"Lunes",IF(F299=3,"Martes",IF(F299=4,"Miercoles",IF(F299=5,"Jueves",IF(F299=6,"Viernes",IF(F299=7,"Sábado",0)))))))</f>
        <v>Lunes</v>
      </c>
      <c r="F299" s="128">
        <f>WEEKDAY(D299)</f>
        <v>2</v>
      </c>
      <c r="G299" s="385"/>
    </row>
    <row r="300" spans="1:7" ht="15.75">
      <c r="A300" s="381"/>
      <c r="B300" s="76"/>
      <c r="C300" s="76" t="s">
        <v>190</v>
      </c>
      <c r="D300" s="107">
        <f>DMAX('3_1'!A$12:L$65,'3_1'!$L$12,G293:G294)</f>
        <v>42975.049991173219</v>
      </c>
      <c r="E300" s="127" t="str">
        <f>IF(F300=1,"Domingo",IF(F300=2,"Lunes",IF(F300=3,"Martes",IF(F300=4,"Miercoles",IF(F300=5,"Jueves",IF(F300=6,"Viernes",IF(F300=7,"Sábado",0)))))))</f>
        <v>Lunes</v>
      </c>
      <c r="F300" s="128">
        <f>WEEKDAY(D300)</f>
        <v>2</v>
      </c>
      <c r="G300" s="385"/>
    </row>
    <row r="301" spans="1:7">
      <c r="A301" s="381"/>
      <c r="B301" s="76"/>
      <c r="C301" s="76"/>
      <c r="D301" s="76"/>
      <c r="E301" s="76"/>
      <c r="F301" s="106"/>
      <c r="G301" s="384"/>
    </row>
    <row r="302" spans="1:7">
      <c r="A302" s="381"/>
      <c r="B302" s="377" t="str">
        <f>+Mensajes!$B$7</f>
        <v>PARA CUALQUIER MODIFICACION EN EL CUADRO DE TURNO COMUNIQUESE CON SU TOMERO</v>
      </c>
      <c r="C302" s="76"/>
      <c r="D302" s="76"/>
      <c r="E302" s="76"/>
      <c r="F302" s="76"/>
      <c r="G302" s="382"/>
    </row>
    <row r="303" spans="1:7">
      <c r="A303" s="381"/>
      <c r="B303" s="377" t="str">
        <f>+Mensajes!$B$12</f>
        <v>Recuerde que con 1 (una) cuotas vigentes impagas se restringirá el servicio.</v>
      </c>
      <c r="C303" s="76"/>
      <c r="D303" s="76"/>
      <c r="E303" s="76"/>
      <c r="F303" s="76"/>
      <c r="G303" s="382"/>
    </row>
    <row r="304" spans="1:7">
      <c r="A304" s="381"/>
      <c r="B304" s="108"/>
      <c r="C304" s="76"/>
      <c r="D304" s="76"/>
      <c r="E304" s="76"/>
      <c r="F304" s="76"/>
      <c r="G304" s="382"/>
    </row>
    <row r="305" spans="1:7" ht="13.5" thickBot="1">
      <c r="A305" s="386"/>
      <c r="B305" s="387" t="str">
        <f>IF(DSUM('3_1'!$A$12:$P$81,16,G293:G294)=COUNTIF('3_1'!$A$13:$A$81,G294),"","Regularice su Deuda")</f>
        <v/>
      </c>
      <c r="C305" s="326"/>
      <c r="D305" s="326"/>
      <c r="E305" s="326"/>
      <c r="F305" s="326"/>
      <c r="G305" s="388"/>
    </row>
    <row r="306" spans="1:7" ht="13.5" thickBot="1"/>
    <row r="307" spans="1:7">
      <c r="A307" s="378"/>
      <c r="B307" s="379"/>
      <c r="C307" s="379"/>
      <c r="D307" s="379"/>
      <c r="E307" s="379"/>
      <c r="F307" s="379"/>
      <c r="G307" s="380"/>
    </row>
    <row r="308" spans="1:7">
      <c r="A308" s="381"/>
      <c r="B308" s="109" t="str">
        <f>+'3_1'!$C$2</f>
        <v>CUADRO DE TURNO SAN PEDRO Y SAN PABLO</v>
      </c>
      <c r="C308" s="76"/>
      <c r="D308" s="76"/>
      <c r="E308" s="76"/>
      <c r="F308" s="76"/>
      <c r="G308" s="382"/>
    </row>
    <row r="309" spans="1:7">
      <c r="A309" s="381"/>
      <c r="B309" s="76"/>
      <c r="C309" s="76"/>
      <c r="D309" s="76"/>
      <c r="E309" s="76"/>
      <c r="F309" s="76"/>
      <c r="G309" s="382"/>
    </row>
    <row r="310" spans="1:7">
      <c r="A310" s="381"/>
      <c r="B310" s="76" t="s">
        <v>182</v>
      </c>
      <c r="C310" s="76" t="str">
        <f>VLOOKUP(G311,'3_1'!$A$12:$G$65,7,0)</f>
        <v>MANRESA, FRANCISCO</v>
      </c>
      <c r="D310" s="76"/>
      <c r="E310" s="76"/>
      <c r="F310" s="76"/>
      <c r="G310" s="383" t="s">
        <v>134</v>
      </c>
    </row>
    <row r="311" spans="1:7">
      <c r="A311" s="381"/>
      <c r="B311" s="76" t="s">
        <v>91</v>
      </c>
      <c r="C311" s="76" t="str">
        <f>+'3_1'!$H$2</f>
        <v>Hijuela Perfoga</v>
      </c>
      <c r="D311" s="76"/>
      <c r="E311" s="76"/>
      <c r="F311" s="76"/>
      <c r="G311" s="383">
        <v>19</v>
      </c>
    </row>
    <row r="312" spans="1:7">
      <c r="A312" s="381"/>
      <c r="B312" s="76"/>
      <c r="C312" s="76"/>
      <c r="D312" s="76"/>
      <c r="E312" s="76"/>
      <c r="F312" s="76"/>
      <c r="G312" s="382"/>
    </row>
    <row r="313" spans="1:7">
      <c r="A313" s="381"/>
      <c r="B313" s="76" t="s">
        <v>183</v>
      </c>
      <c r="C313" s="100">
        <f>VLOOKUP(G311,'3_1'!$A$12:$B$65,2,0)</f>
        <v>1253</v>
      </c>
      <c r="D313" s="76"/>
      <c r="E313" s="635" t="s">
        <v>184</v>
      </c>
      <c r="F313" s="102">
        <f>DSUM('3_1'!A$12:J$65,'3_1'!$J$12,G310:G311)</f>
        <v>3.7737763096451604E-2</v>
      </c>
      <c r="G313" s="382"/>
    </row>
    <row r="314" spans="1:7">
      <c r="A314" s="381"/>
      <c r="B314" s="76" t="s">
        <v>185</v>
      </c>
      <c r="C314" s="129">
        <v>46</v>
      </c>
      <c r="D314" s="76"/>
      <c r="E314" s="635" t="s">
        <v>186</v>
      </c>
      <c r="F314" s="368" t="str">
        <f>IF(VLOOKUP(G311,'3_1'!$A$12:$D$65,4,0)=2,"Eventual 80%","Definitivo 100%")</f>
        <v>Eventual 80%</v>
      </c>
      <c r="G314" s="382"/>
    </row>
    <row r="315" spans="1:7">
      <c r="A315" s="381"/>
      <c r="B315" s="76" t="s">
        <v>187</v>
      </c>
      <c r="C315" s="130">
        <f>DSUM('3_1'!$A$12:$H$65,'3_1'!$F$12,G310:G311)</f>
        <v>0</v>
      </c>
      <c r="D315" s="76"/>
      <c r="E315" s="635" t="s">
        <v>188</v>
      </c>
      <c r="F315" s="369" t="str">
        <f>+Hijuelas!$G$5</f>
        <v>fracción</v>
      </c>
      <c r="G315" s="384"/>
    </row>
    <row r="316" spans="1:7" ht="15.75">
      <c r="A316" s="381"/>
      <c r="B316" s="76"/>
      <c r="C316" s="76" t="s">
        <v>189</v>
      </c>
      <c r="D316" s="107">
        <f>DMIN('3_1'!A$12:K$65,'3_1'!$K$12,G310:G311)</f>
        <v>42974.946737212056</v>
      </c>
      <c r="E316" s="127" t="str">
        <f>IF(F316=1,"Domingo",IF(F316=2,"Lunes",IF(F316=3,"Martes",IF(F316=4,"Miercoles",IF(F316=5,"Jueves",IF(F316=6,"Viernes",IF(F316=7,"Sábado",0)))))))</f>
        <v>Domingo</v>
      </c>
      <c r="F316" s="128">
        <f>WEEKDAY(D316)</f>
        <v>1</v>
      </c>
      <c r="G316" s="385"/>
    </row>
    <row r="317" spans="1:7" ht="15.75">
      <c r="A317" s="381"/>
      <c r="B317" s="76"/>
      <c r="C317" s="76" t="s">
        <v>190</v>
      </c>
      <c r="D317" s="107">
        <f>DMAX('3_1'!A$12:L$65,'3_1'!$L$12,G310:G311)</f>
        <v>42975.012252752931</v>
      </c>
      <c r="E317" s="127" t="str">
        <f>IF(F317=1,"Domingo",IF(F317=2,"Lunes",IF(F317=3,"Martes",IF(F317=4,"Miercoles",IF(F317=5,"Jueves",IF(F317=6,"Viernes",IF(F317=7,"Sábado",0)))))))</f>
        <v>Lunes</v>
      </c>
      <c r="F317" s="128">
        <f>WEEKDAY(D317)</f>
        <v>2</v>
      </c>
      <c r="G317" s="385"/>
    </row>
    <row r="318" spans="1:7">
      <c r="A318" s="381"/>
      <c r="B318" s="76"/>
      <c r="C318" s="76"/>
      <c r="D318" s="76"/>
      <c r="E318" s="76"/>
      <c r="F318" s="106"/>
      <c r="G318" s="384"/>
    </row>
    <row r="319" spans="1:7">
      <c r="A319" s="381"/>
      <c r="B319" s="377" t="str">
        <f>+Mensajes!$B$7</f>
        <v>PARA CUALQUIER MODIFICACION EN EL CUADRO DE TURNO COMUNIQUESE CON SU TOMERO</v>
      </c>
      <c r="C319" s="76"/>
      <c r="D319" s="76"/>
      <c r="E319" s="76"/>
      <c r="F319" s="76"/>
      <c r="G319" s="382"/>
    </row>
    <row r="320" spans="1:7">
      <c r="A320" s="381"/>
      <c r="B320" s="377" t="str">
        <f>+Mensajes!$B$12</f>
        <v>Recuerde que con 1 (una) cuotas vigentes impagas se restringirá el servicio.</v>
      </c>
      <c r="C320" s="76"/>
      <c r="D320" s="76"/>
      <c r="E320" s="76"/>
      <c r="F320" s="76"/>
      <c r="G320" s="382"/>
    </row>
    <row r="321" spans="1:7">
      <c r="A321" s="381"/>
      <c r="B321" s="108"/>
      <c r="C321" s="76"/>
      <c r="D321" s="76"/>
      <c r="E321" s="76"/>
      <c r="F321" s="76"/>
      <c r="G321" s="382"/>
    </row>
    <row r="322" spans="1:7" ht="13.5" thickBot="1">
      <c r="A322" s="386"/>
      <c r="B322" s="387" t="str">
        <f>IF(DSUM('3_1'!$A$12:$P$81,16,G310:G311)=COUNTIF('3_1'!$A$13:$A$81,G311),"","Regularice su Deuda")</f>
        <v/>
      </c>
      <c r="C322" s="326"/>
      <c r="D322" s="326"/>
      <c r="E322" s="326"/>
      <c r="F322" s="326"/>
      <c r="G322" s="388"/>
    </row>
    <row r="323" spans="1:7" ht="13.5" thickBot="1"/>
    <row r="324" spans="1:7">
      <c r="A324" s="378"/>
      <c r="B324" s="379"/>
      <c r="C324" s="379"/>
      <c r="D324" s="379"/>
      <c r="E324" s="379"/>
      <c r="F324" s="379"/>
      <c r="G324" s="380"/>
    </row>
    <row r="325" spans="1:7">
      <c r="A325" s="381"/>
      <c r="B325" s="109" t="str">
        <f>+'3_1'!$C$2</f>
        <v>CUADRO DE TURNO SAN PEDRO Y SAN PABLO</v>
      </c>
      <c r="C325" s="76"/>
      <c r="D325" s="76"/>
      <c r="E325" s="76"/>
      <c r="F325" s="76"/>
      <c r="G325" s="382"/>
    </row>
    <row r="326" spans="1:7">
      <c r="A326" s="381"/>
      <c r="B326" s="76"/>
      <c r="C326" s="76"/>
      <c r="D326" s="76"/>
      <c r="E326" s="76"/>
      <c r="F326" s="76"/>
      <c r="G326" s="382"/>
    </row>
    <row r="327" spans="1:7">
      <c r="A327" s="381"/>
      <c r="B327" s="76" t="s">
        <v>182</v>
      </c>
      <c r="C327" s="76" t="str">
        <f>VLOOKUP(G328,'3_1'!$A$12:$G$65,7,0)</f>
        <v>GIORGIO, JUANA INES</v>
      </c>
      <c r="D327" s="76"/>
      <c r="E327" s="76"/>
      <c r="F327" s="76"/>
      <c r="G327" s="383" t="s">
        <v>134</v>
      </c>
    </row>
    <row r="328" spans="1:7">
      <c r="A328" s="381"/>
      <c r="B328" s="76" t="s">
        <v>91</v>
      </c>
      <c r="C328" s="76" t="str">
        <f>+'3_1'!$H$2</f>
        <v>Hijuela Perfoga</v>
      </c>
      <c r="D328" s="76"/>
      <c r="E328" s="76"/>
      <c r="F328" s="76"/>
      <c r="G328" s="383">
        <v>20</v>
      </c>
    </row>
    <row r="329" spans="1:7">
      <c r="A329" s="381"/>
      <c r="B329" s="76"/>
      <c r="C329" s="76"/>
      <c r="D329" s="76"/>
      <c r="E329" s="76"/>
      <c r="F329" s="76"/>
      <c r="G329" s="382"/>
    </row>
    <row r="330" spans="1:7">
      <c r="A330" s="381"/>
      <c r="B330" s="76" t="s">
        <v>183</v>
      </c>
      <c r="C330" s="100">
        <f>VLOOKUP(G328,'3_1'!$A$12:$B$65,2,0)</f>
        <v>1253</v>
      </c>
      <c r="D330" s="76"/>
      <c r="E330" s="635" t="s">
        <v>184</v>
      </c>
      <c r="F330" s="102">
        <f>DSUM('3_1'!A$12:J$65,'3_1'!$J$12,G327:G328)</f>
        <v>9.8563232431543496E-2</v>
      </c>
      <c r="G330" s="382"/>
    </row>
    <row r="331" spans="1:7">
      <c r="A331" s="381"/>
      <c r="B331" s="76" t="s">
        <v>185</v>
      </c>
      <c r="C331" s="129">
        <v>41</v>
      </c>
      <c r="D331" s="76"/>
      <c r="E331" s="635" t="s">
        <v>186</v>
      </c>
      <c r="F331" s="368" t="str">
        <f>IF(VLOOKUP(G328,'3_1'!$A$12:$D$65,4,0)=2,"Eventual 80%","Definitivo 100%")</f>
        <v>Eventual 80%</v>
      </c>
      <c r="G331" s="382"/>
    </row>
    <row r="332" spans="1:7">
      <c r="A332" s="381"/>
      <c r="B332" s="76" t="s">
        <v>187</v>
      </c>
      <c r="C332" s="130">
        <f>DSUM('3_1'!$A$12:$H$65,'3_1'!$F$12,G327:G328)</f>
        <v>0</v>
      </c>
      <c r="D332" s="76"/>
      <c r="E332" s="635" t="s">
        <v>188</v>
      </c>
      <c r="F332" s="369" t="str">
        <f>+Hijuelas!$G$5</f>
        <v>fracción</v>
      </c>
      <c r="G332" s="384"/>
    </row>
    <row r="333" spans="1:7" ht="15.75">
      <c r="A333" s="381"/>
      <c r="B333" s="76"/>
      <c r="C333" s="76" t="s">
        <v>189</v>
      </c>
      <c r="D333" s="107">
        <f>DMIN('3_1'!A$12:K$65,'3_1'!$K$12,G327:G328)</f>
        <v>42974.820396201845</v>
      </c>
      <c r="E333" s="127" t="str">
        <f>IF(F333=1,"Domingo",IF(F333=2,"Lunes",IF(F333=3,"Martes",IF(F333=4,"Miercoles",IF(F333=5,"Jueves",IF(F333=6,"Viernes",IF(F333=7,"Sábado",0)))))))</f>
        <v>Domingo</v>
      </c>
      <c r="F333" s="128">
        <f>WEEKDAY(D333)</f>
        <v>1</v>
      </c>
      <c r="G333" s="385"/>
    </row>
    <row r="334" spans="1:7" ht="15.75">
      <c r="A334" s="381"/>
      <c r="B334" s="76"/>
      <c r="C334" s="76" t="s">
        <v>190</v>
      </c>
      <c r="D334" s="107">
        <f>DMAX('3_1'!A$12:L$65,'3_1'!$L$12,G327:G328)</f>
        <v>42974.946737212056</v>
      </c>
      <c r="E334" s="127" t="str">
        <f>IF(F334=1,"Domingo",IF(F334=2,"Lunes",IF(F334=3,"Martes",IF(F334=4,"Miercoles",IF(F334=5,"Jueves",IF(F334=6,"Viernes",IF(F334=7,"Sábado",0)))))))</f>
        <v>Domingo</v>
      </c>
      <c r="F334" s="128">
        <f>WEEKDAY(D334)</f>
        <v>1</v>
      </c>
      <c r="G334" s="385"/>
    </row>
    <row r="335" spans="1:7">
      <c r="A335" s="381"/>
      <c r="B335" s="76"/>
      <c r="C335" s="76"/>
      <c r="D335" s="76"/>
      <c r="E335" s="76"/>
      <c r="F335" s="106"/>
      <c r="G335" s="384"/>
    </row>
    <row r="336" spans="1:7">
      <c r="A336" s="381"/>
      <c r="B336" s="377" t="str">
        <f>+Mensajes!$B$7</f>
        <v>PARA CUALQUIER MODIFICACION EN EL CUADRO DE TURNO COMUNIQUESE CON SU TOMERO</v>
      </c>
      <c r="C336" s="76"/>
      <c r="D336" s="76"/>
      <c r="E336" s="76"/>
      <c r="F336" s="76"/>
      <c r="G336" s="382"/>
    </row>
    <row r="337" spans="1:7">
      <c r="A337" s="381"/>
      <c r="B337" s="377" t="str">
        <f>+Mensajes!$B$12</f>
        <v>Recuerde que con 1 (una) cuotas vigentes impagas se restringirá el servicio.</v>
      </c>
      <c r="C337" s="76"/>
      <c r="D337" s="76"/>
      <c r="E337" s="76"/>
      <c r="F337" s="76"/>
      <c r="G337" s="382"/>
    </row>
    <row r="338" spans="1:7">
      <c r="A338" s="381"/>
      <c r="B338" s="108"/>
      <c r="C338" s="76"/>
      <c r="D338" s="76"/>
      <c r="E338" s="76"/>
      <c r="F338" s="76"/>
      <c r="G338" s="382"/>
    </row>
    <row r="339" spans="1:7" ht="13.5" thickBot="1">
      <c r="A339" s="386"/>
      <c r="B339" s="387" t="str">
        <f>IF(DSUM('3_1'!$A$12:$P$81,16,G327:G328)=COUNTIF('3_1'!$A$13:$A$81,G328),"","Regularice su Deuda")</f>
        <v/>
      </c>
      <c r="C339" s="326"/>
      <c r="D339" s="326"/>
      <c r="E339" s="326"/>
      <c r="F339" s="326"/>
      <c r="G339" s="388"/>
    </row>
    <row r="340" spans="1:7" ht="13.5" thickBot="1"/>
    <row r="341" spans="1:7">
      <c r="A341" s="378"/>
      <c r="B341" s="379"/>
      <c r="C341" s="379"/>
      <c r="D341" s="379"/>
      <c r="E341" s="379"/>
      <c r="F341" s="379"/>
      <c r="G341" s="380"/>
    </row>
    <row r="342" spans="1:7">
      <c r="A342" s="381"/>
      <c r="B342" s="109" t="str">
        <f>+'3_1'!$C$2</f>
        <v>CUADRO DE TURNO SAN PEDRO Y SAN PABLO</v>
      </c>
      <c r="C342" s="76"/>
      <c r="D342" s="76"/>
      <c r="E342" s="76"/>
      <c r="F342" s="76"/>
      <c r="G342" s="382"/>
    </row>
    <row r="343" spans="1:7">
      <c r="A343" s="381"/>
      <c r="B343" s="76"/>
      <c r="C343" s="76"/>
      <c r="D343" s="76"/>
      <c r="E343" s="76"/>
      <c r="F343" s="76"/>
      <c r="G343" s="382"/>
    </row>
    <row r="344" spans="1:7">
      <c r="A344" s="381"/>
      <c r="B344" s="76" t="s">
        <v>182</v>
      </c>
      <c r="C344" s="76" t="str">
        <f>VLOOKUP(G345,'3_1'!$A$12:$G$65,7,0)</f>
        <v>AMAYA,  CARMEN  GABRIELA</v>
      </c>
      <c r="D344" s="76"/>
      <c r="E344" s="76"/>
      <c r="F344" s="76"/>
      <c r="G344" s="383" t="s">
        <v>134</v>
      </c>
    </row>
    <row r="345" spans="1:7">
      <c r="A345" s="381"/>
      <c r="B345" s="76" t="s">
        <v>91</v>
      </c>
      <c r="C345" s="76" t="str">
        <f>+'3_1'!$H$2</f>
        <v>Hijuela Perfoga</v>
      </c>
      <c r="D345" s="76"/>
      <c r="E345" s="76"/>
      <c r="F345" s="76"/>
      <c r="G345" s="383">
        <v>21</v>
      </c>
    </row>
    <row r="346" spans="1:7">
      <c r="A346" s="381"/>
      <c r="B346" s="76"/>
      <c r="C346" s="76"/>
      <c r="D346" s="76"/>
      <c r="E346" s="76"/>
      <c r="F346" s="76"/>
      <c r="G346" s="382"/>
    </row>
    <row r="347" spans="1:7">
      <c r="A347" s="381"/>
      <c r="B347" s="76" t="s">
        <v>183</v>
      </c>
      <c r="C347" s="100">
        <f>VLOOKUP(G345,'3_1'!$A$12:$B$65,2,0)</f>
        <v>1253</v>
      </c>
      <c r="D347" s="76"/>
      <c r="E347" s="635" t="s">
        <v>184</v>
      </c>
      <c r="F347" s="102">
        <f>DSUM('3_1'!A$12:J$65,'3_1'!$J$12,G344:G345)</f>
        <v>3.2859449259400937E-2</v>
      </c>
      <c r="G347" s="382"/>
    </row>
    <row r="348" spans="1:7">
      <c r="A348" s="381"/>
      <c r="B348" s="76" t="s">
        <v>185</v>
      </c>
      <c r="C348" s="129">
        <v>40</v>
      </c>
      <c r="D348" s="76"/>
      <c r="E348" s="635" t="s">
        <v>186</v>
      </c>
      <c r="F348" s="368" t="str">
        <f>IF(VLOOKUP(G345,'3_1'!$A$12:$D$65,4,0)=2,"Eventual 80%","Definitivo 100%")</f>
        <v>Eventual 80%</v>
      </c>
      <c r="G348" s="382"/>
    </row>
    <row r="349" spans="1:7">
      <c r="A349" s="381"/>
      <c r="B349" s="76" t="s">
        <v>187</v>
      </c>
      <c r="C349" s="130">
        <f>DSUM('3_1'!$A$12:$H$65,'3_1'!$F$12,G344:G345)</f>
        <v>0</v>
      </c>
      <c r="D349" s="76"/>
      <c r="E349" s="635" t="s">
        <v>188</v>
      </c>
      <c r="F349" s="369" t="str">
        <f>+Hijuelas!$G$5</f>
        <v>fracción</v>
      </c>
      <c r="G349" s="384"/>
    </row>
    <row r="350" spans="1:7" ht="15.75">
      <c r="A350" s="381"/>
      <c r="B350" s="76"/>
      <c r="C350" s="76" t="s">
        <v>189</v>
      </c>
      <c r="D350" s="107">
        <f>DMIN('3_1'!A$12:K$65,'3_1'!$K$12,G344:G345)</f>
        <v>42974.766703419249</v>
      </c>
      <c r="E350" s="127" t="str">
        <f>IF(F350=1,"Domingo",IF(F350=2,"Lunes",IF(F350=3,"Martes",IF(F350=4,"Miercoles",IF(F350=5,"Jueves",IF(F350=6,"Viernes",IF(F350=7,"Sábado",0)))))))</f>
        <v>Domingo</v>
      </c>
      <c r="F350" s="128">
        <f>WEEKDAY(D350)</f>
        <v>1</v>
      </c>
      <c r="G350" s="385"/>
    </row>
    <row r="351" spans="1:7" ht="15.75">
      <c r="A351" s="381"/>
      <c r="B351" s="76"/>
      <c r="C351" s="76" t="s">
        <v>190</v>
      </c>
      <c r="D351" s="107">
        <f>DMAX('3_1'!A$12:L$65,'3_1'!$L$12,G344:G345)</f>
        <v>42974.820396201845</v>
      </c>
      <c r="E351" s="127" t="str">
        <f>IF(F351=1,"Domingo",IF(F351=2,"Lunes",IF(F351=3,"Martes",IF(F351=4,"Miercoles",IF(F351=5,"Jueves",IF(F351=6,"Viernes",IF(F351=7,"Sábado",0)))))))</f>
        <v>Domingo</v>
      </c>
      <c r="F351" s="128">
        <f>WEEKDAY(D351)</f>
        <v>1</v>
      </c>
      <c r="G351" s="385"/>
    </row>
    <row r="352" spans="1:7">
      <c r="A352" s="381"/>
      <c r="B352" s="76"/>
      <c r="C352" s="76"/>
      <c r="D352" s="76"/>
      <c r="E352" s="76"/>
      <c r="F352" s="106"/>
      <c r="G352" s="384"/>
    </row>
    <row r="353" spans="1:7">
      <c r="A353" s="381"/>
      <c r="B353" s="377" t="str">
        <f>+Mensajes!$B$7</f>
        <v>PARA CUALQUIER MODIFICACION EN EL CUADRO DE TURNO COMUNIQUESE CON SU TOMERO</v>
      </c>
      <c r="C353" s="76"/>
      <c r="D353" s="76"/>
      <c r="E353" s="76"/>
      <c r="F353" s="76"/>
      <c r="G353" s="382"/>
    </row>
    <row r="354" spans="1:7">
      <c r="A354" s="381"/>
      <c r="B354" s="377" t="str">
        <f>+Mensajes!$B$12</f>
        <v>Recuerde que con 1 (una) cuotas vigentes impagas se restringirá el servicio.</v>
      </c>
      <c r="C354" s="76"/>
      <c r="D354" s="76"/>
      <c r="E354" s="76"/>
      <c r="F354" s="76"/>
      <c r="G354" s="382"/>
    </row>
    <row r="355" spans="1:7">
      <c r="A355" s="381"/>
      <c r="B355" s="108"/>
      <c r="C355" s="76"/>
      <c r="D355" s="76"/>
      <c r="E355" s="76"/>
      <c r="F355" s="76"/>
      <c r="G355" s="382"/>
    </row>
    <row r="356" spans="1:7" ht="13.5" thickBot="1">
      <c r="A356" s="386"/>
      <c r="B356" s="387" t="str">
        <f>IF(DSUM('3_1'!$A$12:$P$81,16,G344:G345)=COUNTIF('3_1'!$A$13:$A$81,G345),"","Regularice su Deuda")</f>
        <v/>
      </c>
      <c r="C356" s="326"/>
      <c r="D356" s="326"/>
      <c r="E356" s="326"/>
      <c r="F356" s="326"/>
      <c r="G356" s="388"/>
    </row>
    <row r="357" spans="1:7" ht="13.5" thickBot="1"/>
    <row r="358" spans="1:7">
      <c r="A358" s="378"/>
      <c r="B358" s="379"/>
      <c r="C358" s="379"/>
      <c r="D358" s="379"/>
      <c r="E358" s="379"/>
      <c r="F358" s="379"/>
      <c r="G358" s="380"/>
    </row>
    <row r="359" spans="1:7">
      <c r="A359" s="381"/>
      <c r="B359" s="109" t="str">
        <f>+'3_1'!$C$2</f>
        <v>CUADRO DE TURNO SAN PEDRO Y SAN PABLO</v>
      </c>
      <c r="C359" s="76"/>
      <c r="D359" s="76"/>
      <c r="E359" s="76"/>
      <c r="F359" s="76"/>
      <c r="G359" s="382"/>
    </row>
    <row r="360" spans="1:7">
      <c r="A360" s="381"/>
      <c r="B360" s="76"/>
      <c r="C360" s="76"/>
      <c r="D360" s="76"/>
      <c r="E360" s="76"/>
      <c r="F360" s="76"/>
      <c r="G360" s="382"/>
    </row>
    <row r="361" spans="1:7">
      <c r="A361" s="381"/>
      <c r="B361" s="76" t="s">
        <v>182</v>
      </c>
      <c r="C361" s="76" t="str">
        <f>VLOOKUP(G362,'3_1'!$A$12:$G$65,7,0)</f>
        <v>GIMENEZ, RICARDO MANUEL</v>
      </c>
      <c r="D361" s="76"/>
      <c r="E361" s="76"/>
      <c r="F361" s="76"/>
      <c r="G361" s="383" t="s">
        <v>134</v>
      </c>
    </row>
    <row r="362" spans="1:7">
      <c r="A362" s="381"/>
      <c r="B362" s="76" t="s">
        <v>91</v>
      </c>
      <c r="C362" s="76" t="str">
        <f>+'3_1'!$H$2</f>
        <v>Hijuela Perfoga</v>
      </c>
      <c r="D362" s="76"/>
      <c r="E362" s="76"/>
      <c r="F362" s="76"/>
      <c r="G362" s="383">
        <v>22</v>
      </c>
    </row>
    <row r="363" spans="1:7">
      <c r="A363" s="381"/>
      <c r="B363" s="76"/>
      <c r="C363" s="76"/>
      <c r="D363" s="76"/>
      <c r="E363" s="76"/>
      <c r="F363" s="76"/>
      <c r="G363" s="382"/>
    </row>
    <row r="364" spans="1:7">
      <c r="A364" s="381"/>
      <c r="B364" s="76" t="s">
        <v>183</v>
      </c>
      <c r="C364" s="100">
        <f>VLOOKUP(G362,'3_1'!$A$12:$B$65,2,0)</f>
        <v>1253</v>
      </c>
      <c r="D364" s="76"/>
      <c r="E364" s="635" t="s">
        <v>184</v>
      </c>
      <c r="F364" s="102">
        <f>DSUM('3_1'!A$12:J$65,'3_1'!$J$12,G361:G362)</f>
        <v>6.5718898518801874E-2</v>
      </c>
      <c r="G364" s="382"/>
    </row>
    <row r="365" spans="1:7">
      <c r="A365" s="381"/>
      <c r="B365" s="76" t="s">
        <v>185</v>
      </c>
      <c r="C365" s="129">
        <v>68</v>
      </c>
      <c r="D365" s="76"/>
      <c r="E365" s="635" t="s">
        <v>186</v>
      </c>
      <c r="F365" s="368" t="str">
        <f>IF(VLOOKUP(G362,'3_1'!$A$12:$D$65,4,0)=2,"Eventual 80%","Definitivo 100%")</f>
        <v>Eventual 80%</v>
      </c>
      <c r="G365" s="382"/>
    </row>
    <row r="366" spans="1:7">
      <c r="A366" s="381"/>
      <c r="B366" s="76" t="s">
        <v>187</v>
      </c>
      <c r="C366" s="130">
        <f>DSUM('3_1'!$A$12:$H$65,'3_1'!$F$12,G361:G362)</f>
        <v>0</v>
      </c>
      <c r="D366" s="76"/>
      <c r="E366" s="635" t="s">
        <v>188</v>
      </c>
      <c r="F366" s="369" t="str">
        <f>+Hijuelas!$G$5</f>
        <v>fracción</v>
      </c>
      <c r="G366" s="384"/>
    </row>
    <row r="367" spans="1:7" ht="15.75">
      <c r="A367" s="381"/>
      <c r="B367" s="76"/>
      <c r="C367" s="76" t="s">
        <v>189</v>
      </c>
      <c r="D367" s="107">
        <f>DMIN('3_1'!A$12:K$65,'3_1'!$K$12,G361:G362)</f>
        <v>42974.680151187393</v>
      </c>
      <c r="E367" s="127" t="str">
        <f>IF(F367=1,"Domingo",IF(F367=2,"Lunes",IF(F367=3,"Martes",IF(F367=4,"Miercoles",IF(F367=5,"Jueves",IF(F367=6,"Viernes",IF(F367=7,"Sábado",0)))))))</f>
        <v>Domingo</v>
      </c>
      <c r="F367" s="128">
        <f>WEEKDAY(D367)</f>
        <v>1</v>
      </c>
      <c r="G367" s="385"/>
    </row>
    <row r="368" spans="1:7" ht="15.75">
      <c r="A368" s="381"/>
      <c r="B368" s="76"/>
      <c r="C368" s="76" t="s">
        <v>190</v>
      </c>
      <c r="D368" s="107">
        <f>DMAX('3_1'!A$12:L$65,'3_1'!$L$12,G361:G362)</f>
        <v>42974.766703419249</v>
      </c>
      <c r="E368" s="127" t="str">
        <f>IF(F368=1,"Domingo",IF(F368=2,"Lunes",IF(F368=3,"Martes",IF(F368=4,"Miercoles",IF(F368=5,"Jueves",IF(F368=6,"Viernes",IF(F368=7,"Sábado",0)))))))</f>
        <v>Domingo</v>
      </c>
      <c r="F368" s="128">
        <f>WEEKDAY(D368)</f>
        <v>1</v>
      </c>
      <c r="G368" s="385"/>
    </row>
    <row r="369" spans="1:7">
      <c r="A369" s="381"/>
      <c r="B369" s="76"/>
      <c r="C369" s="76"/>
      <c r="D369" s="76"/>
      <c r="E369" s="76"/>
      <c r="F369" s="106"/>
      <c r="G369" s="384"/>
    </row>
    <row r="370" spans="1:7">
      <c r="A370" s="381"/>
      <c r="B370" s="377" t="str">
        <f>+Mensajes!$B$7</f>
        <v>PARA CUALQUIER MODIFICACION EN EL CUADRO DE TURNO COMUNIQUESE CON SU TOMERO</v>
      </c>
      <c r="C370" s="76"/>
      <c r="D370" s="76"/>
      <c r="E370" s="76"/>
      <c r="F370" s="76"/>
      <c r="G370" s="382"/>
    </row>
    <row r="371" spans="1:7">
      <c r="A371" s="381"/>
      <c r="B371" s="377" t="str">
        <f>+Mensajes!$B$12</f>
        <v>Recuerde que con 1 (una) cuotas vigentes impagas se restringirá el servicio.</v>
      </c>
      <c r="C371" s="76"/>
      <c r="D371" s="76"/>
      <c r="E371" s="76"/>
      <c r="F371" s="76"/>
      <c r="G371" s="382"/>
    </row>
    <row r="372" spans="1:7">
      <c r="A372" s="381"/>
      <c r="B372" s="108"/>
      <c r="C372" s="76"/>
      <c r="D372" s="76"/>
      <c r="E372" s="76"/>
      <c r="F372" s="76"/>
      <c r="G372" s="382"/>
    </row>
    <row r="373" spans="1:7" ht="13.5" thickBot="1">
      <c r="A373" s="386"/>
      <c r="B373" s="387" t="str">
        <f>IF(DSUM('3_1'!$A$12:$P$81,16,G361:G362)=COUNTIF('3_1'!$A$13:$A$81,G362),"","Regularice su Deuda")</f>
        <v/>
      </c>
      <c r="C373" s="326"/>
      <c r="D373" s="326"/>
      <c r="E373" s="326"/>
      <c r="F373" s="326"/>
      <c r="G373" s="388"/>
    </row>
    <row r="374" spans="1:7" ht="13.5" thickBot="1"/>
    <row r="375" spans="1:7">
      <c r="A375" s="378"/>
      <c r="B375" s="379"/>
      <c r="C375" s="379"/>
      <c r="D375" s="379"/>
      <c r="E375" s="379"/>
      <c r="F375" s="379"/>
      <c r="G375" s="380"/>
    </row>
    <row r="376" spans="1:7">
      <c r="A376" s="381"/>
      <c r="B376" s="109" t="str">
        <f>+'3_1'!$C$2</f>
        <v>CUADRO DE TURNO SAN PEDRO Y SAN PABLO</v>
      </c>
      <c r="C376" s="76"/>
      <c r="D376" s="76"/>
      <c r="E376" s="76"/>
      <c r="F376" s="76"/>
      <c r="G376" s="382"/>
    </row>
    <row r="377" spans="1:7">
      <c r="A377" s="381"/>
      <c r="B377" s="76"/>
      <c r="C377" s="76"/>
      <c r="D377" s="76"/>
      <c r="E377" s="76"/>
      <c r="F377" s="76"/>
      <c r="G377" s="382"/>
    </row>
    <row r="378" spans="1:7">
      <c r="A378" s="381"/>
      <c r="B378" s="76" t="s">
        <v>182</v>
      </c>
      <c r="C378" s="76" t="str">
        <f>VLOOKUP(G379,'3_1'!$A$12:$G$65,7,0)</f>
        <v>ALANIZ, CARLOS</v>
      </c>
      <c r="D378" s="76"/>
      <c r="E378" s="76"/>
      <c r="F378" s="76"/>
      <c r="G378" s="383" t="s">
        <v>134</v>
      </c>
    </row>
    <row r="379" spans="1:7">
      <c r="A379" s="381"/>
      <c r="B379" s="76" t="s">
        <v>91</v>
      </c>
      <c r="C379" s="76" t="str">
        <f>+'3_1'!$H$2</f>
        <v>Hijuela Perfoga</v>
      </c>
      <c r="D379" s="76"/>
      <c r="E379" s="76"/>
      <c r="F379" s="76"/>
      <c r="G379" s="383">
        <v>23</v>
      </c>
    </row>
    <row r="380" spans="1:7">
      <c r="A380" s="381"/>
      <c r="B380" s="76"/>
      <c r="C380" s="76"/>
      <c r="D380" s="76"/>
      <c r="E380" s="76"/>
      <c r="F380" s="76"/>
      <c r="G380" s="382"/>
    </row>
    <row r="381" spans="1:7">
      <c r="A381" s="381"/>
      <c r="B381" s="76" t="s">
        <v>183</v>
      </c>
      <c r="C381" s="100">
        <f>VLOOKUP(G379,'3_1'!$A$12:$B$65,2,0)</f>
        <v>1253</v>
      </c>
      <c r="D381" s="76"/>
      <c r="E381" s="635" t="s">
        <v>184</v>
      </c>
      <c r="F381" s="102">
        <f>DSUM('3_1'!A$12:J$65,'3_1'!$J$12,G378:G379)</f>
        <v>0.13939767002620104</v>
      </c>
      <c r="G381" s="382"/>
    </row>
    <row r="382" spans="1:7">
      <c r="A382" s="381"/>
      <c r="B382" s="76" t="s">
        <v>185</v>
      </c>
      <c r="C382" s="129" t="s">
        <v>251</v>
      </c>
      <c r="D382" s="76"/>
      <c r="E382" s="635" t="s">
        <v>186</v>
      </c>
      <c r="F382" s="368" t="str">
        <f>IF(VLOOKUP(G379,'3_1'!$A$12:$D$65,4,0)=2,"Eventual 80%","Definitivo 100%")</f>
        <v>Eventual 80%</v>
      </c>
      <c r="G382" s="382"/>
    </row>
    <row r="383" spans="1:7">
      <c r="A383" s="381"/>
      <c r="B383" s="76" t="s">
        <v>187</v>
      </c>
      <c r="C383" s="130">
        <f>DSUM('3_1'!$A$12:$H$65,'3_1'!$F$12,G378:G379)</f>
        <v>0</v>
      </c>
      <c r="D383" s="76"/>
      <c r="E383" s="635" t="s">
        <v>188</v>
      </c>
      <c r="F383" s="369" t="str">
        <f>+Hijuelas!$G$5</f>
        <v>fracción</v>
      </c>
      <c r="G383" s="384"/>
    </row>
    <row r="384" spans="1:7" ht="15.75">
      <c r="A384" s="381"/>
      <c r="B384" s="76"/>
      <c r="C384" s="76" t="s">
        <v>189</v>
      </c>
      <c r="D384" s="107">
        <f>DMIN('3_1'!A$12:K$65,'3_1'!$K$12,G378:G379)</f>
        <v>42974.51992018403</v>
      </c>
      <c r="E384" s="127" t="str">
        <f>IF(F384=1,"Domingo",IF(F384=2,"Lunes",IF(F384=3,"Martes",IF(F384=4,"Miercoles",IF(F384=5,"Jueves",IF(F384=6,"Viernes",IF(F384=7,"Sábado",0)))))))</f>
        <v>Domingo</v>
      </c>
      <c r="F384" s="128">
        <f>WEEKDAY(D384)</f>
        <v>1</v>
      </c>
      <c r="G384" s="385"/>
    </row>
    <row r="385" spans="1:7" ht="15.75">
      <c r="A385" s="381"/>
      <c r="B385" s="76"/>
      <c r="C385" s="76" t="s">
        <v>190</v>
      </c>
      <c r="D385" s="107">
        <f>DMAX('3_1'!A$12:L$65,'3_1'!$L$12,G378:G379)</f>
        <v>42974.680151187393</v>
      </c>
      <c r="E385" s="127" t="str">
        <f>IF(F385=1,"Domingo",IF(F385=2,"Lunes",IF(F385=3,"Martes",IF(F385=4,"Miercoles",IF(F385=5,"Jueves",IF(F385=6,"Viernes",IF(F385=7,"Sábado",0)))))))</f>
        <v>Domingo</v>
      </c>
      <c r="F385" s="128">
        <f>WEEKDAY(D385)</f>
        <v>1</v>
      </c>
      <c r="G385" s="385"/>
    </row>
    <row r="386" spans="1:7">
      <c r="A386" s="381"/>
      <c r="B386" s="76"/>
      <c r="C386" s="76"/>
      <c r="D386" s="76"/>
      <c r="E386" s="76"/>
      <c r="F386" s="106"/>
      <c r="G386" s="384"/>
    </row>
    <row r="387" spans="1:7">
      <c r="A387" s="381"/>
      <c r="B387" s="377" t="str">
        <f>+Mensajes!$B$7</f>
        <v>PARA CUALQUIER MODIFICACION EN EL CUADRO DE TURNO COMUNIQUESE CON SU TOMERO</v>
      </c>
      <c r="C387" s="76"/>
      <c r="D387" s="76"/>
      <c r="E387" s="76"/>
      <c r="F387" s="76"/>
      <c r="G387" s="382"/>
    </row>
    <row r="388" spans="1:7">
      <c r="A388" s="381"/>
      <c r="B388" s="377" t="str">
        <f>+Mensajes!$B$12</f>
        <v>Recuerde que con 1 (una) cuotas vigentes impagas se restringirá el servicio.</v>
      </c>
      <c r="C388" s="76"/>
      <c r="D388" s="76"/>
      <c r="E388" s="76"/>
      <c r="F388" s="76"/>
      <c r="G388" s="382"/>
    </row>
    <row r="389" spans="1:7">
      <c r="A389" s="381"/>
      <c r="B389" s="108"/>
      <c r="C389" s="76"/>
      <c r="D389" s="76"/>
      <c r="E389" s="76"/>
      <c r="F389" s="76"/>
      <c r="G389" s="382"/>
    </row>
    <row r="390" spans="1:7" ht="13.5" thickBot="1">
      <c r="A390" s="386"/>
      <c r="B390" s="387" t="str">
        <f>IF(DSUM('3_1'!$A$12:$P$81,16,G378:G379)=COUNTIF('3_1'!$A$13:$A$81,G379),"","Regularice su Deuda")</f>
        <v/>
      </c>
      <c r="C390" s="326"/>
      <c r="D390" s="326"/>
      <c r="E390" s="326"/>
      <c r="F390" s="326"/>
      <c r="G390" s="388"/>
    </row>
    <row r="391" spans="1:7" ht="13.5" thickBot="1"/>
    <row r="392" spans="1:7">
      <c r="A392" s="378"/>
      <c r="B392" s="379"/>
      <c r="C392" s="379"/>
      <c r="D392" s="379"/>
      <c r="E392" s="379"/>
      <c r="F392" s="379"/>
      <c r="G392" s="380"/>
    </row>
    <row r="393" spans="1:7">
      <c r="A393" s="381"/>
      <c r="B393" s="109" t="str">
        <f>+'3_1'!$C$2</f>
        <v>CUADRO DE TURNO SAN PEDRO Y SAN PABLO</v>
      </c>
      <c r="C393" s="76"/>
      <c r="D393" s="76"/>
      <c r="E393" s="76"/>
      <c r="F393" s="76"/>
      <c r="G393" s="382"/>
    </row>
    <row r="394" spans="1:7">
      <c r="A394" s="381"/>
      <c r="B394" s="76"/>
      <c r="C394" s="76"/>
      <c r="D394" s="76"/>
      <c r="E394" s="76"/>
      <c r="F394" s="76"/>
      <c r="G394" s="382"/>
    </row>
    <row r="395" spans="1:7">
      <c r="A395" s="381"/>
      <c r="B395" s="76" t="s">
        <v>182</v>
      </c>
      <c r="C395" s="76" t="str">
        <f>VLOOKUP(G396,'3_1'!$A$12:$G$65,7,0)</f>
        <v>VAIERETTI, CESAR DELFOS</v>
      </c>
      <c r="D395" s="76"/>
      <c r="E395" s="76"/>
      <c r="F395" s="76"/>
      <c r="G395" s="383" t="s">
        <v>134</v>
      </c>
    </row>
    <row r="396" spans="1:7">
      <c r="A396" s="381"/>
      <c r="B396" s="76" t="s">
        <v>91</v>
      </c>
      <c r="C396" s="76" t="str">
        <f>+'3_1'!$H$2</f>
        <v>Hijuela Perfoga</v>
      </c>
      <c r="D396" s="76"/>
      <c r="E396" s="76"/>
      <c r="F396" s="76"/>
      <c r="G396" s="383">
        <v>24</v>
      </c>
    </row>
    <row r="397" spans="1:7">
      <c r="A397" s="381"/>
      <c r="B397" s="76"/>
      <c r="C397" s="76"/>
      <c r="D397" s="76"/>
      <c r="E397" s="76"/>
      <c r="F397" s="76"/>
      <c r="G397" s="382"/>
    </row>
    <row r="398" spans="1:7">
      <c r="A398" s="381"/>
      <c r="B398" s="76" t="s">
        <v>183</v>
      </c>
      <c r="C398" s="100">
        <f>VLOOKUP(G396,'3_1'!$A$12:$B$65,2,0)</f>
        <v>1253</v>
      </c>
      <c r="D398" s="76"/>
      <c r="E398" s="635" t="s">
        <v>184</v>
      </c>
      <c r="F398" s="102">
        <f>DSUM('3_1'!A$12:J$65,'3_1'!$J$12,G395:G396)</f>
        <v>0.40587926006313524</v>
      </c>
      <c r="G398" s="382"/>
    </row>
    <row r="399" spans="1:7">
      <c r="A399" s="381"/>
      <c r="B399" s="76" t="s">
        <v>185</v>
      </c>
      <c r="C399" s="129" t="s">
        <v>252</v>
      </c>
      <c r="D399" s="76"/>
      <c r="E399" s="635" t="s">
        <v>186</v>
      </c>
      <c r="F399" s="368" t="str">
        <f>IF(VLOOKUP(G396,'3_1'!$A$12:$D$65,4,0)=2,"Eventual 80%","Definitivo 100%")</f>
        <v>Eventual 80%</v>
      </c>
      <c r="G399" s="382"/>
    </row>
    <row r="400" spans="1:7">
      <c r="A400" s="381"/>
      <c r="B400" s="76" t="s">
        <v>187</v>
      </c>
      <c r="C400" s="130">
        <f>DSUM('3_1'!$A$12:$H$65,'3_1'!$F$12,G395:G396)</f>
        <v>0</v>
      </c>
      <c r="D400" s="76"/>
      <c r="E400" s="635" t="s">
        <v>188</v>
      </c>
      <c r="F400" s="369" t="str">
        <f>+Hijuelas!$G$5</f>
        <v>fracción</v>
      </c>
      <c r="G400" s="384"/>
    </row>
    <row r="401" spans="1:7" ht="15.75">
      <c r="A401" s="381"/>
      <c r="B401" s="76"/>
      <c r="C401" s="76" t="s">
        <v>189</v>
      </c>
      <c r="D401" s="107">
        <f>DMIN('3_1'!A$12:K$65,'3_1'!$K$12,G395:G396)</f>
        <v>42974.100152035069</v>
      </c>
      <c r="E401" s="127" t="str">
        <f>IF(F401=1,"Domingo",IF(F401=2,"Lunes",IF(F401=3,"Martes",IF(F401=4,"Miercoles",IF(F401=5,"Jueves",IF(F401=6,"Viernes",IF(F401=7,"Sábado",0)))))))</f>
        <v>Domingo</v>
      </c>
      <c r="F401" s="128">
        <f>WEEKDAY(D401)</f>
        <v>1</v>
      </c>
      <c r="G401" s="385"/>
    </row>
    <row r="402" spans="1:7" ht="15.75">
      <c r="A402" s="381"/>
      <c r="B402" s="76"/>
      <c r="C402" s="76" t="s">
        <v>190</v>
      </c>
      <c r="D402" s="107">
        <f>DMAX('3_1'!A$12:L$65,'3_1'!$L$12,G395:G396)</f>
        <v>42974.51992018403</v>
      </c>
      <c r="E402" s="127" t="str">
        <f>IF(F402=1,"Domingo",IF(F402=2,"Lunes",IF(F402=3,"Martes",IF(F402=4,"Miercoles",IF(F402=5,"Jueves",IF(F402=6,"Viernes",IF(F402=7,"Sábado",0)))))))</f>
        <v>Domingo</v>
      </c>
      <c r="F402" s="128">
        <f>WEEKDAY(D402)</f>
        <v>1</v>
      </c>
      <c r="G402" s="385"/>
    </row>
    <row r="403" spans="1:7">
      <c r="A403" s="381"/>
      <c r="B403" s="76"/>
      <c r="C403" s="76"/>
      <c r="D403" s="76"/>
      <c r="E403" s="76"/>
      <c r="F403" s="106"/>
      <c r="G403" s="384"/>
    </row>
    <row r="404" spans="1:7">
      <c r="A404" s="381"/>
      <c r="B404" s="377" t="str">
        <f>+Mensajes!$B$7</f>
        <v>PARA CUALQUIER MODIFICACION EN EL CUADRO DE TURNO COMUNIQUESE CON SU TOMERO</v>
      </c>
      <c r="C404" s="76"/>
      <c r="D404" s="76"/>
      <c r="E404" s="76"/>
      <c r="F404" s="76"/>
      <c r="G404" s="382"/>
    </row>
    <row r="405" spans="1:7">
      <c r="A405" s="381"/>
      <c r="B405" s="377" t="str">
        <f>+Mensajes!$B$12</f>
        <v>Recuerde que con 1 (una) cuotas vigentes impagas se restringirá el servicio.</v>
      </c>
      <c r="C405" s="76"/>
      <c r="D405" s="76"/>
      <c r="E405" s="76"/>
      <c r="F405" s="76"/>
      <c r="G405" s="382"/>
    </row>
    <row r="406" spans="1:7">
      <c r="A406" s="381"/>
      <c r="B406" s="108"/>
      <c r="C406" s="76"/>
      <c r="D406" s="76"/>
      <c r="E406" s="76"/>
      <c r="F406" s="76"/>
      <c r="G406" s="382"/>
    </row>
    <row r="407" spans="1:7" ht="13.5" thickBot="1">
      <c r="A407" s="386"/>
      <c r="B407" s="387" t="str">
        <f>IF(DSUM('3_1'!$A$12:$P$81,16,G395:G396)=COUNTIF('3_1'!$A$13:$A$81,G396),"","Regularice su Deuda")</f>
        <v/>
      </c>
      <c r="C407" s="326"/>
      <c r="D407" s="326"/>
      <c r="E407" s="326"/>
      <c r="F407" s="326"/>
      <c r="G407" s="388"/>
    </row>
    <row r="408" spans="1:7" ht="13.5" thickBot="1"/>
    <row r="409" spans="1:7">
      <c r="A409" s="378"/>
      <c r="B409" s="379"/>
      <c r="C409" s="379"/>
      <c r="D409" s="379"/>
      <c r="E409" s="379"/>
      <c r="F409" s="379"/>
      <c r="G409" s="380"/>
    </row>
    <row r="410" spans="1:7">
      <c r="A410" s="381"/>
      <c r="B410" s="109" t="str">
        <f>+'3_1'!$C$2</f>
        <v>CUADRO DE TURNO SAN PEDRO Y SAN PABLO</v>
      </c>
      <c r="C410" s="76"/>
      <c r="D410" s="76"/>
      <c r="E410" s="76"/>
      <c r="F410" s="76"/>
      <c r="G410" s="382"/>
    </row>
    <row r="411" spans="1:7">
      <c r="A411" s="381"/>
      <c r="B411" s="76"/>
      <c r="C411" s="76"/>
      <c r="D411" s="76"/>
      <c r="E411" s="76"/>
      <c r="F411" s="76"/>
      <c r="G411" s="382"/>
    </row>
    <row r="412" spans="1:7">
      <c r="A412" s="381"/>
      <c r="B412" s="76" t="s">
        <v>182</v>
      </c>
      <c r="C412" s="76" t="str">
        <f>VLOOKUP(G413,'3_1'!$A$12:$G$65,7,0)</f>
        <v>MIRABILE, CARMEN</v>
      </c>
      <c r="D412" s="76"/>
      <c r="E412" s="76"/>
      <c r="F412" s="76"/>
      <c r="G412" s="383" t="s">
        <v>134</v>
      </c>
    </row>
    <row r="413" spans="1:7">
      <c r="A413" s="381"/>
      <c r="B413" s="76" t="s">
        <v>91</v>
      </c>
      <c r="C413" s="76" t="str">
        <f>+'3_1'!$H$2</f>
        <v>Hijuela Perfoga</v>
      </c>
      <c r="D413" s="76"/>
      <c r="E413" s="76"/>
      <c r="F413" s="76"/>
      <c r="G413" s="383">
        <v>25</v>
      </c>
    </row>
    <row r="414" spans="1:7">
      <c r="A414" s="381"/>
      <c r="B414" s="76"/>
      <c r="C414" s="76"/>
      <c r="D414" s="76"/>
      <c r="E414" s="76"/>
      <c r="F414" s="76"/>
      <c r="G414" s="382"/>
    </row>
    <row r="415" spans="1:7">
      <c r="A415" s="381"/>
      <c r="B415" s="76" t="s">
        <v>183</v>
      </c>
      <c r="C415" s="100">
        <f>VLOOKUP(G413,'3_1'!$A$12:$B$65,2,0)</f>
        <v>1253</v>
      </c>
      <c r="D415" s="76"/>
      <c r="E415" s="635" t="s">
        <v>184</v>
      </c>
      <c r="F415" s="102">
        <f>DSUM('3_1'!A$12:J$65,'3_1'!$J$12,G412:G413)</f>
        <v>6.5718898518801874E-2</v>
      </c>
      <c r="G415" s="382"/>
    </row>
    <row r="416" spans="1:7">
      <c r="A416" s="381"/>
      <c r="B416" s="76" t="s">
        <v>185</v>
      </c>
      <c r="C416" s="129" t="s">
        <v>253</v>
      </c>
      <c r="D416" s="76"/>
      <c r="E416" s="635" t="s">
        <v>186</v>
      </c>
      <c r="F416" s="368" t="str">
        <f>IF(VLOOKUP(G413,'3_1'!$A$12:$D$65,4,0)=2,"Eventual 80%","Definitivo 100%")</f>
        <v>Eventual 80%</v>
      </c>
      <c r="G416" s="382"/>
    </row>
    <row r="417" spans="1:7">
      <c r="A417" s="381"/>
      <c r="B417" s="76" t="s">
        <v>187</v>
      </c>
      <c r="C417" s="130">
        <f>DSUM('3_1'!$A$12:$H$65,'3_1'!$F$12,G412:G413)</f>
        <v>0</v>
      </c>
      <c r="D417" s="76"/>
      <c r="E417" s="635" t="s">
        <v>188</v>
      </c>
      <c r="F417" s="369" t="str">
        <f>+Hijuelas!$G$5</f>
        <v>fracción</v>
      </c>
      <c r="G417" s="384"/>
    </row>
    <row r="418" spans="1:7" ht="15.75">
      <c r="A418" s="381"/>
      <c r="B418" s="76"/>
      <c r="C418" s="76" t="s">
        <v>189</v>
      </c>
      <c r="D418" s="107">
        <f>DMIN('3_1'!A$12:K$65,'3_1'!$K$12,G412:G413)</f>
        <v>42974.013599803213</v>
      </c>
      <c r="E418" s="127" t="str">
        <f>IF(F418=1,"Domingo",IF(F418=2,"Lunes",IF(F418=3,"Martes",IF(F418=4,"Miercoles",IF(F418=5,"Jueves",IF(F418=6,"Viernes",IF(F418=7,"Sábado",0)))))))</f>
        <v>Domingo</v>
      </c>
      <c r="F418" s="128">
        <f>WEEKDAY(D418)</f>
        <v>1</v>
      </c>
      <c r="G418" s="385"/>
    </row>
    <row r="419" spans="1:7" ht="15.75">
      <c r="A419" s="381"/>
      <c r="B419" s="76"/>
      <c r="C419" s="76" t="s">
        <v>190</v>
      </c>
      <c r="D419" s="107">
        <f>DMAX('3_1'!A$12:L$65,'3_1'!$L$12,G412:G413)</f>
        <v>42974.100152035069</v>
      </c>
      <c r="E419" s="127" t="str">
        <f>IF(F419=1,"Domingo",IF(F419=2,"Lunes",IF(F419=3,"Martes",IF(F419=4,"Miercoles",IF(F419=5,"Jueves",IF(F419=6,"Viernes",IF(F419=7,"Sábado",0)))))))</f>
        <v>Domingo</v>
      </c>
      <c r="F419" s="128">
        <f>WEEKDAY(D419)</f>
        <v>1</v>
      </c>
      <c r="G419" s="385"/>
    </row>
    <row r="420" spans="1:7">
      <c r="A420" s="381"/>
      <c r="B420" s="76"/>
      <c r="C420" s="76"/>
      <c r="D420" s="76"/>
      <c r="E420" s="76"/>
      <c r="F420" s="106"/>
      <c r="G420" s="384"/>
    </row>
    <row r="421" spans="1:7">
      <c r="A421" s="381"/>
      <c r="B421" s="377" t="str">
        <f>+Mensajes!$B$7</f>
        <v>PARA CUALQUIER MODIFICACION EN EL CUADRO DE TURNO COMUNIQUESE CON SU TOMERO</v>
      </c>
      <c r="C421" s="76"/>
      <c r="D421" s="76"/>
      <c r="E421" s="76"/>
      <c r="F421" s="76"/>
      <c r="G421" s="382"/>
    </row>
    <row r="422" spans="1:7">
      <c r="A422" s="381"/>
      <c r="B422" s="377" t="str">
        <f>+Mensajes!$B$12</f>
        <v>Recuerde que con 1 (una) cuotas vigentes impagas se restringirá el servicio.</v>
      </c>
      <c r="C422" s="76"/>
      <c r="D422" s="76"/>
      <c r="E422" s="76"/>
      <c r="F422" s="76"/>
      <c r="G422" s="382"/>
    </row>
    <row r="423" spans="1:7">
      <c r="A423" s="381"/>
      <c r="B423" s="108"/>
      <c r="C423" s="76"/>
      <c r="D423" s="76"/>
      <c r="E423" s="76"/>
      <c r="F423" s="76"/>
      <c r="G423" s="382"/>
    </row>
    <row r="424" spans="1:7" ht="13.5" thickBot="1">
      <c r="A424" s="386"/>
      <c r="B424" s="387" t="str">
        <f>IF(DSUM('3_1'!$A$12:$P$81,16,G412:G413)=COUNTIF('3_1'!$A$13:$A$81,G413),"","Regularice su Deuda")</f>
        <v>Regularice su Deuda</v>
      </c>
      <c r="C424" s="326"/>
      <c r="D424" s="326"/>
      <c r="E424" s="326"/>
      <c r="F424" s="326"/>
      <c r="G424" s="388"/>
    </row>
    <row r="425" spans="1:7" ht="13.5" thickBot="1"/>
    <row r="426" spans="1:7">
      <c r="A426" s="378"/>
      <c r="B426" s="379"/>
      <c r="C426" s="379"/>
      <c r="D426" s="379"/>
      <c r="E426" s="379"/>
      <c r="F426" s="379"/>
      <c r="G426" s="380"/>
    </row>
    <row r="427" spans="1:7">
      <c r="A427" s="381"/>
      <c r="B427" s="109" t="str">
        <f>+'3_1'!$C$2</f>
        <v>CUADRO DE TURNO SAN PEDRO Y SAN PABLO</v>
      </c>
      <c r="C427" s="76"/>
      <c r="D427" s="76"/>
      <c r="E427" s="76"/>
      <c r="F427" s="76"/>
      <c r="G427" s="382"/>
    </row>
    <row r="428" spans="1:7">
      <c r="A428" s="381"/>
      <c r="B428" s="76"/>
      <c r="C428" s="76"/>
      <c r="D428" s="76"/>
      <c r="E428" s="76"/>
      <c r="F428" s="76"/>
      <c r="G428" s="382"/>
    </row>
    <row r="429" spans="1:7">
      <c r="A429" s="381"/>
      <c r="B429" s="76" t="s">
        <v>182</v>
      </c>
      <c r="C429" s="76" t="str">
        <f>VLOOKUP(G430,'3_1'!$A$12:$G$65,7,0)</f>
        <v>CHAÑARES  BAJOS S.A.</v>
      </c>
      <c r="D429" s="76"/>
      <c r="E429" s="76"/>
      <c r="F429" s="76"/>
      <c r="G429" s="383" t="s">
        <v>134</v>
      </c>
    </row>
    <row r="430" spans="1:7">
      <c r="A430" s="381"/>
      <c r="B430" s="76" t="s">
        <v>91</v>
      </c>
      <c r="C430" s="76" t="str">
        <f>+'3_1'!$H$2</f>
        <v>Hijuela Perfoga</v>
      </c>
      <c r="D430" s="76"/>
      <c r="E430" s="76"/>
      <c r="F430" s="76"/>
      <c r="G430" s="383">
        <v>26</v>
      </c>
    </row>
    <row r="431" spans="1:7">
      <c r="A431" s="381"/>
      <c r="B431" s="76"/>
      <c r="C431" s="76"/>
      <c r="D431" s="76"/>
      <c r="E431" s="76"/>
      <c r="F431" s="76"/>
      <c r="G431" s="382"/>
    </row>
    <row r="432" spans="1:7">
      <c r="A432" s="381"/>
      <c r="B432" s="76" t="s">
        <v>183</v>
      </c>
      <c r="C432" s="100">
        <f>VLOOKUP(G430,'3_1'!$A$12:$B$65,2,0)</f>
        <v>1253</v>
      </c>
      <c r="D432" s="76"/>
      <c r="E432" s="635" t="s">
        <v>184</v>
      </c>
      <c r="F432" s="102">
        <f>DSUM('3_1'!A$12:J$65,'3_1'!$J$12,G429:G430)</f>
        <v>0.13143779703760375</v>
      </c>
      <c r="G432" s="382"/>
    </row>
    <row r="433" spans="1:7">
      <c r="A433" s="381"/>
      <c r="B433" s="76" t="s">
        <v>185</v>
      </c>
      <c r="C433" s="129">
        <v>14</v>
      </c>
      <c r="D433" s="76"/>
      <c r="E433" s="635" t="s">
        <v>186</v>
      </c>
      <c r="F433" s="368" t="str">
        <f>IF(VLOOKUP(G430,'3_1'!$A$12:$D$65,4,0)=2,"Eventual 80%","Definitivo 100%")</f>
        <v>Eventual 80%</v>
      </c>
      <c r="G433" s="382"/>
    </row>
    <row r="434" spans="1:7">
      <c r="A434" s="381"/>
      <c r="B434" s="76" t="s">
        <v>187</v>
      </c>
      <c r="C434" s="130">
        <f>DSUM('3_1'!$A$12:$H$65,'3_1'!$F$12,G429:G430)</f>
        <v>0</v>
      </c>
      <c r="D434" s="76"/>
      <c r="E434" s="635" t="s">
        <v>188</v>
      </c>
      <c r="F434" s="369" t="str">
        <f>+Hijuelas!$G$5</f>
        <v>fracción</v>
      </c>
      <c r="G434" s="384"/>
    </row>
    <row r="435" spans="1:7" ht="15.75">
      <c r="A435" s="381"/>
      <c r="B435" s="76"/>
      <c r="C435" s="76" t="s">
        <v>189</v>
      </c>
      <c r="D435" s="107">
        <f>DMIN('3_1'!A$12:K$65,'3_1'!$K$12,G429:G430)</f>
        <v>42973.861328672836</v>
      </c>
      <c r="E435" s="127" t="str">
        <f>IF(F435=1,"Domingo",IF(F435=2,"Lunes",IF(F435=3,"Martes",IF(F435=4,"Miercoles",IF(F435=5,"Jueves",IF(F435=6,"Viernes",IF(F435=7,"Sábado",0)))))))</f>
        <v>Sábado</v>
      </c>
      <c r="F435" s="128">
        <f>WEEKDAY(D435)</f>
        <v>7</v>
      </c>
      <c r="G435" s="385"/>
    </row>
    <row r="436" spans="1:7" ht="15.75">
      <c r="A436" s="381"/>
      <c r="B436" s="76"/>
      <c r="C436" s="76" t="s">
        <v>190</v>
      </c>
      <c r="D436" s="107">
        <f>DMAX('3_1'!A$12:L$65,'3_1'!$L$12,G429:G430)</f>
        <v>42974.013599803213</v>
      </c>
      <c r="E436" s="127" t="str">
        <f>IF(F436=1,"Domingo",IF(F436=2,"Lunes",IF(F436=3,"Martes",IF(F436=4,"Miercoles",IF(F436=5,"Jueves",IF(F436=6,"Viernes",IF(F436=7,"Sábado",0)))))))</f>
        <v>Domingo</v>
      </c>
      <c r="F436" s="128">
        <f>WEEKDAY(D436)</f>
        <v>1</v>
      </c>
      <c r="G436" s="385"/>
    </row>
    <row r="437" spans="1:7">
      <c r="A437" s="381"/>
      <c r="B437" s="76"/>
      <c r="C437" s="76"/>
      <c r="D437" s="76"/>
      <c r="E437" s="76"/>
      <c r="F437" s="106"/>
      <c r="G437" s="384"/>
    </row>
    <row r="438" spans="1:7">
      <c r="A438" s="381"/>
      <c r="B438" s="377" t="str">
        <f>+Mensajes!$B$7</f>
        <v>PARA CUALQUIER MODIFICACION EN EL CUADRO DE TURNO COMUNIQUESE CON SU TOMERO</v>
      </c>
      <c r="C438" s="76"/>
      <c r="D438" s="76"/>
      <c r="E438" s="76"/>
      <c r="F438" s="76"/>
      <c r="G438" s="382"/>
    </row>
    <row r="439" spans="1:7">
      <c r="A439" s="381"/>
      <c r="B439" s="377" t="str">
        <f>+Mensajes!$B$12</f>
        <v>Recuerde que con 1 (una) cuotas vigentes impagas se restringirá el servicio.</v>
      </c>
      <c r="C439" s="76"/>
      <c r="D439" s="76"/>
      <c r="E439" s="76"/>
      <c r="F439" s="76"/>
      <c r="G439" s="382"/>
    </row>
    <row r="440" spans="1:7">
      <c r="A440" s="381"/>
      <c r="B440" s="108"/>
      <c r="C440" s="76"/>
      <c r="D440" s="76"/>
      <c r="E440" s="76"/>
      <c r="F440" s="76"/>
      <c r="G440" s="382"/>
    </row>
    <row r="441" spans="1:7" ht="13.5" thickBot="1">
      <c r="A441" s="386"/>
      <c r="B441" s="387" t="str">
        <f>IF(DSUM('3_1'!$A$12:$P$81,16,G429:G430)=COUNTIF('3_1'!$A$13:$A$81,G430),"","Regularice su Deuda")</f>
        <v/>
      </c>
      <c r="C441" s="326"/>
      <c r="D441" s="326"/>
      <c r="E441" s="326"/>
      <c r="F441" s="326"/>
      <c r="G441" s="388"/>
    </row>
    <row r="442" spans="1:7" ht="13.5" thickBot="1"/>
    <row r="443" spans="1:7">
      <c r="A443" s="378"/>
      <c r="B443" s="379"/>
      <c r="C443" s="379"/>
      <c r="D443" s="379"/>
      <c r="E443" s="379"/>
      <c r="F443" s="379"/>
      <c r="G443" s="380"/>
    </row>
    <row r="444" spans="1:7">
      <c r="A444" s="381"/>
      <c r="B444" s="109" t="str">
        <f>+'3_1'!$C$2</f>
        <v>CUADRO DE TURNO SAN PEDRO Y SAN PABLO</v>
      </c>
      <c r="C444" s="76"/>
      <c r="D444" s="76"/>
      <c r="E444" s="76"/>
      <c r="F444" s="76"/>
      <c r="G444" s="382"/>
    </row>
    <row r="445" spans="1:7">
      <c r="A445" s="381"/>
      <c r="B445" s="76"/>
      <c r="C445" s="76"/>
      <c r="D445" s="76"/>
      <c r="E445" s="76"/>
      <c r="F445" s="76"/>
      <c r="G445" s="382"/>
    </row>
    <row r="446" spans="1:7">
      <c r="A446" s="381"/>
      <c r="B446" s="76" t="s">
        <v>182</v>
      </c>
      <c r="C446" s="76" t="str">
        <f>VLOOKUP(G447,'3_1'!$A$12:$G$65,7,0)</f>
        <v>CARLETTI, SANDRA</v>
      </c>
      <c r="D446" s="76"/>
      <c r="E446" s="76"/>
      <c r="F446" s="76"/>
      <c r="G446" s="383" t="s">
        <v>134</v>
      </c>
    </row>
    <row r="447" spans="1:7">
      <c r="A447" s="381"/>
      <c r="B447" s="76" t="s">
        <v>91</v>
      </c>
      <c r="C447" s="76" t="str">
        <f>+'3_1'!$H$2</f>
        <v>Hijuela Perfoga</v>
      </c>
      <c r="D447" s="76"/>
      <c r="E447" s="76"/>
      <c r="F447" s="76"/>
      <c r="G447" s="383">
        <v>27</v>
      </c>
    </row>
    <row r="448" spans="1:7">
      <c r="A448" s="381"/>
      <c r="B448" s="76"/>
      <c r="C448" s="76"/>
      <c r="D448" s="76"/>
      <c r="E448" s="76"/>
      <c r="F448" s="76"/>
      <c r="G448" s="382"/>
    </row>
    <row r="449" spans="1:7">
      <c r="A449" s="381"/>
      <c r="B449" s="76" t="s">
        <v>183</v>
      </c>
      <c r="C449" s="100">
        <f>VLOOKUP(G447,'3_1'!$A$12:$B$65,2,0)</f>
        <v>1253</v>
      </c>
      <c r="D449" s="76"/>
      <c r="E449" s="635" t="s">
        <v>184</v>
      </c>
      <c r="F449" s="102">
        <f>DSUM('3_1'!A$12:J$65,'3_1'!$J$12,G446:G447)</f>
        <v>0.19466200616863191</v>
      </c>
      <c r="G449" s="382"/>
    </row>
    <row r="450" spans="1:7">
      <c r="A450" s="381"/>
      <c r="B450" s="76" t="s">
        <v>185</v>
      </c>
      <c r="C450" s="129">
        <v>16</v>
      </c>
      <c r="D450" s="76"/>
      <c r="E450" s="635" t="s">
        <v>186</v>
      </c>
      <c r="F450" s="368" t="str">
        <f>IF(VLOOKUP(G447,'3_1'!$A$12:$D$65,4,0)=2,"Eventual 80%","Definitivo 100%")</f>
        <v>Eventual 80%</v>
      </c>
      <c r="G450" s="382"/>
    </row>
    <row r="451" spans="1:7">
      <c r="A451" s="381"/>
      <c r="B451" s="76" t="s">
        <v>187</v>
      </c>
      <c r="C451" s="130">
        <f>DSUM('3_1'!$A$12:$H$65,'3_1'!$F$12,G446:G447)</f>
        <v>0</v>
      </c>
      <c r="D451" s="76"/>
      <c r="E451" s="635" t="s">
        <v>188</v>
      </c>
      <c r="F451" s="369" t="str">
        <f>+Hijuelas!$G$5</f>
        <v>fracción</v>
      </c>
      <c r="G451" s="384"/>
    </row>
    <row r="452" spans="1:7" ht="15.75">
      <c r="A452" s="381"/>
      <c r="B452" s="76"/>
      <c r="C452" s="76" t="s">
        <v>189</v>
      </c>
      <c r="D452" s="107">
        <f>DMIN('3_1'!A$12:K$65,'3_1'!$K$12,G446:G447)</f>
        <v>42973.666666666664</v>
      </c>
      <c r="E452" s="127" t="str">
        <f>IF(F452=1,"Domingo",IF(F452=2,"Lunes",IF(F452=3,"Martes",IF(F452=4,"Miercoles",IF(F452=5,"Jueves",IF(F452=6,"Viernes",IF(F452=7,"Sábado",0)))))))</f>
        <v>Sábado</v>
      </c>
      <c r="F452" s="128">
        <f>WEEKDAY(D452)</f>
        <v>7</v>
      </c>
      <c r="G452" s="385"/>
    </row>
    <row r="453" spans="1:7" ht="15.75">
      <c r="A453" s="381"/>
      <c r="B453" s="76"/>
      <c r="C453" s="76" t="s">
        <v>190</v>
      </c>
      <c r="D453" s="107">
        <f>DMAX('3_1'!A$12:L$65,'3_1'!$L$12,G446:G447)</f>
        <v>42973.861328672836</v>
      </c>
      <c r="E453" s="127" t="str">
        <f>IF(F453=1,"Domingo",IF(F453=2,"Lunes",IF(F453=3,"Martes",IF(F453=4,"Miercoles",IF(F453=5,"Jueves",IF(F453=6,"Viernes",IF(F453=7,"Sábado",0)))))))</f>
        <v>Sábado</v>
      </c>
      <c r="F453" s="128">
        <f>WEEKDAY(D453)</f>
        <v>7</v>
      </c>
      <c r="G453" s="385"/>
    </row>
    <row r="454" spans="1:7">
      <c r="A454" s="381"/>
      <c r="B454" s="76"/>
      <c r="C454" s="76"/>
      <c r="D454" s="76"/>
      <c r="E454" s="76"/>
      <c r="F454" s="106"/>
      <c r="G454" s="384"/>
    </row>
    <row r="455" spans="1:7">
      <c r="A455" s="381"/>
      <c r="B455" s="377" t="str">
        <f>+Mensajes!$B$7</f>
        <v>PARA CUALQUIER MODIFICACION EN EL CUADRO DE TURNO COMUNIQUESE CON SU TOMERO</v>
      </c>
      <c r="C455" s="76"/>
      <c r="D455" s="76"/>
      <c r="E455" s="76"/>
      <c r="F455" s="76"/>
      <c r="G455" s="382"/>
    </row>
    <row r="456" spans="1:7">
      <c r="A456" s="381"/>
      <c r="B456" s="377" t="str">
        <f>+Mensajes!$B$12</f>
        <v>Recuerde que con 1 (una) cuotas vigentes impagas se restringirá el servicio.</v>
      </c>
      <c r="C456" s="76"/>
      <c r="D456" s="76"/>
      <c r="E456" s="76"/>
      <c r="F456" s="76"/>
      <c r="G456" s="382"/>
    </row>
    <row r="457" spans="1:7">
      <c r="A457" s="381"/>
      <c r="B457" s="108"/>
      <c r="C457" s="76"/>
      <c r="D457" s="76"/>
      <c r="E457" s="76"/>
      <c r="F457" s="76"/>
      <c r="G457" s="382"/>
    </row>
    <row r="458" spans="1:7" ht="13.5" thickBot="1">
      <c r="A458" s="386"/>
      <c r="B458" s="387" t="str">
        <f>IF(DSUM('3_1'!$A$12:$P$81,16,G446:G447)=COUNTIF('3_1'!$A$13:$A$81,G447),"","Regularice su Deuda")</f>
        <v/>
      </c>
      <c r="C458" s="326"/>
      <c r="D458" s="326"/>
      <c r="E458" s="326"/>
      <c r="F458" s="326"/>
      <c r="G458" s="388"/>
    </row>
    <row r="459" spans="1:7" ht="13.5" thickBot="1"/>
    <row r="460" spans="1:7">
      <c r="A460" s="378"/>
      <c r="B460" s="379"/>
      <c r="C460" s="379"/>
      <c r="D460" s="379"/>
      <c r="E460" s="379"/>
      <c r="F460" s="379"/>
      <c r="G460" s="380"/>
    </row>
    <row r="461" spans="1:7">
      <c r="A461" s="381"/>
      <c r="B461" s="109" t="str">
        <f>+'3_1'!$C$2</f>
        <v>CUADRO DE TURNO SAN PEDRO Y SAN PABLO</v>
      </c>
      <c r="C461" s="76"/>
      <c r="D461" s="76"/>
      <c r="E461" s="76"/>
      <c r="F461" s="76"/>
      <c r="G461" s="382"/>
    </row>
    <row r="462" spans="1:7">
      <c r="A462" s="381"/>
      <c r="B462" s="76"/>
      <c r="C462" s="76"/>
      <c r="D462" s="76"/>
      <c r="E462" s="76"/>
      <c r="F462" s="76"/>
      <c r="G462" s="382"/>
    </row>
    <row r="463" spans="1:7">
      <c r="A463" s="381"/>
      <c r="B463" s="76" t="s">
        <v>182</v>
      </c>
      <c r="C463" s="76" t="e">
        <f>VLOOKUP(G464,'3_1'!$A$12:$G$65,7,0)</f>
        <v>#N/A</v>
      </c>
      <c r="D463" s="76"/>
      <c r="E463" s="76"/>
      <c r="F463" s="76"/>
      <c r="G463" s="383" t="s">
        <v>134</v>
      </c>
    </row>
    <row r="464" spans="1:7">
      <c r="A464" s="381"/>
      <c r="B464" s="76" t="s">
        <v>91</v>
      </c>
      <c r="C464" s="76" t="str">
        <f>+'3_1'!$H$2</f>
        <v>Hijuela Perfoga</v>
      </c>
      <c r="D464" s="76"/>
      <c r="E464" s="76"/>
      <c r="F464" s="76"/>
      <c r="G464" s="383">
        <v>28</v>
      </c>
    </row>
    <row r="465" spans="1:7">
      <c r="A465" s="381"/>
      <c r="B465" s="76"/>
      <c r="C465" s="76"/>
      <c r="D465" s="76"/>
      <c r="E465" s="76"/>
      <c r="F465" s="76"/>
      <c r="G465" s="382"/>
    </row>
    <row r="466" spans="1:7">
      <c r="A466" s="381"/>
      <c r="B466" s="76" t="s">
        <v>183</v>
      </c>
      <c r="C466" s="100" t="e">
        <f>VLOOKUP(G464,'3_1'!$A$12:$B$65,2,0)</f>
        <v>#N/A</v>
      </c>
      <c r="D466" s="76"/>
      <c r="E466" s="635" t="s">
        <v>184</v>
      </c>
      <c r="F466" s="102">
        <f>DSUM('3_1'!A$12:J$65,'3_1'!$J$12,G463:G464)</f>
        <v>0</v>
      </c>
      <c r="G466" s="382"/>
    </row>
    <row r="467" spans="1:7">
      <c r="A467" s="381"/>
      <c r="B467" s="76" t="s">
        <v>185</v>
      </c>
      <c r="C467" s="129">
        <v>16</v>
      </c>
      <c r="D467" s="76"/>
      <c r="E467" s="635" t="s">
        <v>186</v>
      </c>
      <c r="F467" s="368" t="e">
        <f>IF(VLOOKUP(G464,'3_1'!$A$12:$D$65,4,0)=2,"Eventual 80%","Definitivo 100%")</f>
        <v>#N/A</v>
      </c>
      <c r="G467" s="382"/>
    </row>
    <row r="468" spans="1:7">
      <c r="A468" s="381"/>
      <c r="B468" s="76" t="s">
        <v>187</v>
      </c>
      <c r="C468" s="130">
        <f>DSUM('3_1'!$A$12:$H$65,'3_1'!$F$12,G463:G464)</f>
        <v>0</v>
      </c>
      <c r="D468" s="76"/>
      <c r="E468" s="635" t="s">
        <v>188</v>
      </c>
      <c r="F468" s="369" t="str">
        <f>+Hijuelas!$G$5</f>
        <v>fracción</v>
      </c>
      <c r="G468" s="384"/>
    </row>
    <row r="469" spans="1:7" ht="15.75">
      <c r="A469" s="381"/>
      <c r="B469" s="76"/>
      <c r="C469" s="76" t="s">
        <v>189</v>
      </c>
      <c r="D469" s="107">
        <f>DMIN('3_1'!A$12:K$65,'3_1'!$K$12,G463:G464)</f>
        <v>0</v>
      </c>
      <c r="E469" s="127" t="str">
        <f>IF(F469=1,"Domingo",IF(F469=2,"Lunes",IF(F469=3,"Martes",IF(F469=4,"Miercoles",IF(F469=5,"Jueves",IF(F469=6,"Viernes",IF(F469=7,"Sábado",0)))))))</f>
        <v>Sábado</v>
      </c>
      <c r="F469" s="128">
        <f>WEEKDAY(D469)</f>
        <v>7</v>
      </c>
      <c r="G469" s="385"/>
    </row>
    <row r="470" spans="1:7" ht="15.75">
      <c r="A470" s="381"/>
      <c r="B470" s="76"/>
      <c r="C470" s="76" t="s">
        <v>190</v>
      </c>
      <c r="D470" s="107">
        <f>DMAX('3_1'!A$12:L$65,'3_1'!$L$12,G463:G464)</f>
        <v>0</v>
      </c>
      <c r="E470" s="127" t="str">
        <f>IF(F470=1,"Domingo",IF(F470=2,"Lunes",IF(F470=3,"Martes",IF(F470=4,"Miercoles",IF(F470=5,"Jueves",IF(F470=6,"Viernes",IF(F470=7,"Sábado",0)))))))</f>
        <v>Sábado</v>
      </c>
      <c r="F470" s="128">
        <f>WEEKDAY(D470)</f>
        <v>7</v>
      </c>
      <c r="G470" s="385"/>
    </row>
    <row r="471" spans="1:7">
      <c r="A471" s="381"/>
      <c r="B471" s="76"/>
      <c r="C471" s="76"/>
      <c r="D471" s="76"/>
      <c r="E471" s="76"/>
      <c r="F471" s="106"/>
      <c r="G471" s="384"/>
    </row>
    <row r="472" spans="1:7">
      <c r="A472" s="381"/>
      <c r="B472" s="377" t="str">
        <f>+Mensajes!$B$7</f>
        <v>PARA CUALQUIER MODIFICACION EN EL CUADRO DE TURNO COMUNIQUESE CON SU TOMERO</v>
      </c>
      <c r="C472" s="76"/>
      <c r="D472" s="76"/>
      <c r="E472" s="76"/>
      <c r="F472" s="76"/>
      <c r="G472" s="382"/>
    </row>
    <row r="473" spans="1:7">
      <c r="A473" s="381"/>
      <c r="B473" s="377" t="str">
        <f>+Mensajes!$B$12</f>
        <v>Recuerde que con 1 (una) cuotas vigentes impagas se restringirá el servicio.</v>
      </c>
      <c r="C473" s="76"/>
      <c r="D473" s="76"/>
      <c r="E473" s="76"/>
      <c r="F473" s="76"/>
      <c r="G473" s="382"/>
    </row>
    <row r="474" spans="1:7">
      <c r="A474" s="381"/>
      <c r="B474" s="108"/>
      <c r="C474" s="76"/>
      <c r="D474" s="76"/>
      <c r="E474" s="76"/>
      <c r="F474" s="76"/>
      <c r="G474" s="382"/>
    </row>
    <row r="475" spans="1:7" ht="13.5" thickBot="1">
      <c r="A475" s="386"/>
      <c r="B475" s="387" t="str">
        <f>IF(DSUM('3_1'!$A$12:$P$81,16,G463:G464)=COUNTIF('3_1'!$A$13:$A$81,G464),"","Regularice su Deuda")</f>
        <v/>
      </c>
      <c r="C475" s="326"/>
      <c r="D475" s="326"/>
      <c r="E475" s="326"/>
      <c r="F475" s="326"/>
      <c r="G475" s="388"/>
    </row>
    <row r="476" spans="1:7" ht="13.5" thickBot="1"/>
    <row r="477" spans="1:7">
      <c r="A477" s="378"/>
      <c r="B477" s="379"/>
      <c r="C477" s="379"/>
      <c r="D477" s="379"/>
      <c r="E477" s="379"/>
      <c r="F477" s="379"/>
      <c r="G477" s="380"/>
    </row>
    <row r="478" spans="1:7">
      <c r="A478" s="381"/>
      <c r="B478" s="109" t="str">
        <f>+'3_1'!$C$2</f>
        <v>CUADRO DE TURNO SAN PEDRO Y SAN PABLO</v>
      </c>
      <c r="C478" s="76"/>
      <c r="D478" s="76"/>
      <c r="E478" s="76"/>
      <c r="F478" s="76"/>
      <c r="G478" s="382"/>
    </row>
    <row r="479" spans="1:7">
      <c r="A479" s="381"/>
      <c r="B479" s="76"/>
      <c r="C479" s="76"/>
      <c r="D479" s="76"/>
      <c r="E479" s="76"/>
      <c r="F479" s="76"/>
      <c r="G479" s="382"/>
    </row>
    <row r="480" spans="1:7">
      <c r="A480" s="381"/>
      <c r="B480" s="76" t="s">
        <v>182</v>
      </c>
      <c r="C480" s="76" t="e">
        <f>VLOOKUP(G481,'3_1'!$A$12:$G$65,7,0)</f>
        <v>#N/A</v>
      </c>
      <c r="D480" s="76"/>
      <c r="E480" s="76"/>
      <c r="F480" s="76"/>
      <c r="G480" s="383" t="s">
        <v>134</v>
      </c>
    </row>
    <row r="481" spans="1:7">
      <c r="A481" s="381"/>
      <c r="B481" s="76" t="s">
        <v>91</v>
      </c>
      <c r="C481" s="76" t="str">
        <f>+'3_1'!$H$2</f>
        <v>Hijuela Perfoga</v>
      </c>
      <c r="D481" s="76"/>
      <c r="E481" s="76"/>
      <c r="F481" s="76"/>
      <c r="G481" s="383">
        <v>29</v>
      </c>
    </row>
    <row r="482" spans="1:7">
      <c r="A482" s="381"/>
      <c r="B482" s="76"/>
      <c r="C482" s="76"/>
      <c r="D482" s="76"/>
      <c r="E482" s="76"/>
      <c r="F482" s="76"/>
      <c r="G482" s="382"/>
    </row>
    <row r="483" spans="1:7">
      <c r="A483" s="381"/>
      <c r="B483" s="76" t="s">
        <v>183</v>
      </c>
      <c r="C483" s="100" t="e">
        <f>VLOOKUP(G481,'3_1'!$A$12:$B$65,2,0)</f>
        <v>#N/A</v>
      </c>
      <c r="D483" s="76"/>
      <c r="E483" s="635" t="s">
        <v>184</v>
      </c>
      <c r="F483" s="102">
        <f>DSUM('3_1'!A$12:J$65,'3_1'!$J$12,G480:G481)</f>
        <v>0</v>
      </c>
      <c r="G483" s="382"/>
    </row>
    <row r="484" spans="1:7">
      <c r="A484" s="381"/>
      <c r="B484" s="76" t="s">
        <v>185</v>
      </c>
      <c r="C484" s="129">
        <v>16</v>
      </c>
      <c r="D484" s="76"/>
      <c r="E484" s="635" t="s">
        <v>186</v>
      </c>
      <c r="F484" s="368" t="e">
        <f>IF(VLOOKUP(G481,'3_1'!$A$12:$D$65,4,0)=2,"Eventual 80%","Definitivo 100%")</f>
        <v>#N/A</v>
      </c>
      <c r="G484" s="382"/>
    </row>
    <row r="485" spans="1:7">
      <c r="A485" s="381"/>
      <c r="B485" s="76" t="s">
        <v>187</v>
      </c>
      <c r="C485" s="130">
        <f>DSUM('3_1'!$A$12:$H$65,'3_1'!$F$12,G480:G481)</f>
        <v>0</v>
      </c>
      <c r="D485" s="76"/>
      <c r="E485" s="635" t="s">
        <v>188</v>
      </c>
      <c r="F485" s="369" t="str">
        <f>+Hijuelas!$G$5</f>
        <v>fracción</v>
      </c>
      <c r="G485" s="384"/>
    </row>
    <row r="486" spans="1:7" ht="15.75">
      <c r="A486" s="381"/>
      <c r="B486" s="76"/>
      <c r="C486" s="76" t="s">
        <v>189</v>
      </c>
      <c r="D486" s="107">
        <f>DMIN('3_1'!A$12:K$65,'3_1'!$K$12,G480:G481)</f>
        <v>0</v>
      </c>
      <c r="E486" s="127" t="str">
        <f>IF(F486=1,"Domingo",IF(F486=2,"Lunes",IF(F486=3,"Martes",IF(F486=4,"Miercoles",IF(F486=5,"Jueves",IF(F486=6,"Viernes",IF(F486=7,"Sábado",0)))))))</f>
        <v>Sábado</v>
      </c>
      <c r="F486" s="128">
        <f>WEEKDAY(D486)</f>
        <v>7</v>
      </c>
      <c r="G486" s="385"/>
    </row>
    <row r="487" spans="1:7" ht="15.75">
      <c r="A487" s="381"/>
      <c r="B487" s="76"/>
      <c r="C487" s="76" t="s">
        <v>190</v>
      </c>
      <c r="D487" s="107">
        <f>DMAX('3_1'!A$12:L$65,'3_1'!$L$12,G480:G481)</f>
        <v>0</v>
      </c>
      <c r="E487" s="127" t="str">
        <f>IF(F487=1,"Domingo",IF(F487=2,"Lunes",IF(F487=3,"Martes",IF(F487=4,"Miercoles",IF(F487=5,"Jueves",IF(F487=6,"Viernes",IF(F487=7,"Sábado",0)))))))</f>
        <v>Sábado</v>
      </c>
      <c r="F487" s="128">
        <f>WEEKDAY(D487)</f>
        <v>7</v>
      </c>
      <c r="G487" s="385"/>
    </row>
    <row r="488" spans="1:7">
      <c r="A488" s="381"/>
      <c r="B488" s="76"/>
      <c r="C488" s="76"/>
      <c r="D488" s="76"/>
      <c r="E488" s="76"/>
      <c r="F488" s="106"/>
      <c r="G488" s="384"/>
    </row>
    <row r="489" spans="1:7">
      <c r="A489" s="381"/>
      <c r="B489" s="377" t="str">
        <f>+Mensajes!$B$7</f>
        <v>PARA CUALQUIER MODIFICACION EN EL CUADRO DE TURNO COMUNIQUESE CON SU TOMERO</v>
      </c>
      <c r="C489" s="76"/>
      <c r="D489" s="76"/>
      <c r="E489" s="76"/>
      <c r="F489" s="76"/>
      <c r="G489" s="382"/>
    </row>
    <row r="490" spans="1:7">
      <c r="A490" s="381"/>
      <c r="B490" s="377" t="str">
        <f>+Mensajes!$B$12</f>
        <v>Recuerde que con 1 (una) cuotas vigentes impagas se restringirá el servicio.</v>
      </c>
      <c r="C490" s="76"/>
      <c r="D490" s="76"/>
      <c r="E490" s="76"/>
      <c r="F490" s="76"/>
      <c r="G490" s="382"/>
    </row>
    <row r="491" spans="1:7">
      <c r="A491" s="381"/>
      <c r="B491" s="108"/>
      <c r="C491" s="76"/>
      <c r="D491" s="76"/>
      <c r="E491" s="76"/>
      <c r="F491" s="76"/>
      <c r="G491" s="382"/>
    </row>
    <row r="492" spans="1:7" ht="13.5" thickBot="1">
      <c r="A492" s="386"/>
      <c r="B492" s="387" t="str">
        <f>IF(DSUM('3_1'!$A$12:$P$81,16,G480:G481)=COUNTIF('3_1'!$A$13:$A$81,G481),"","Regularice su Deuda")</f>
        <v/>
      </c>
      <c r="C492" s="326"/>
      <c r="D492" s="326"/>
      <c r="E492" s="326"/>
      <c r="F492" s="326"/>
      <c r="G492" s="388"/>
    </row>
    <row r="493" spans="1:7" ht="13.5" thickBot="1"/>
    <row r="494" spans="1:7">
      <c r="A494" s="378"/>
      <c r="B494" s="379"/>
      <c r="C494" s="379"/>
      <c r="D494" s="379"/>
      <c r="E494" s="379"/>
      <c r="F494" s="379"/>
      <c r="G494" s="380"/>
    </row>
    <row r="495" spans="1:7">
      <c r="A495" s="381"/>
      <c r="B495" s="109" t="str">
        <f>+'3_1'!$C$2</f>
        <v>CUADRO DE TURNO SAN PEDRO Y SAN PABLO</v>
      </c>
      <c r="C495" s="76"/>
      <c r="D495" s="76"/>
      <c r="E495" s="76"/>
      <c r="F495" s="76"/>
      <c r="G495" s="382"/>
    </row>
    <row r="496" spans="1:7">
      <c r="A496" s="381"/>
      <c r="B496" s="76"/>
      <c r="C496" s="76"/>
      <c r="D496" s="76"/>
      <c r="E496" s="76"/>
      <c r="F496" s="76"/>
      <c r="G496" s="382"/>
    </row>
    <row r="497" spans="1:7">
      <c r="A497" s="381"/>
      <c r="B497" s="76" t="s">
        <v>182</v>
      </c>
      <c r="C497" s="76" t="e">
        <f>VLOOKUP(G498,'3_1'!$A$12:$G$65,7,0)</f>
        <v>#N/A</v>
      </c>
      <c r="D497" s="76"/>
      <c r="E497" s="76"/>
      <c r="F497" s="76"/>
      <c r="G497" s="383" t="s">
        <v>134</v>
      </c>
    </row>
    <row r="498" spans="1:7">
      <c r="A498" s="381"/>
      <c r="B498" s="76" t="s">
        <v>91</v>
      </c>
      <c r="C498" s="76" t="str">
        <f>+'3_1'!$H$2</f>
        <v>Hijuela Perfoga</v>
      </c>
      <c r="D498" s="76"/>
      <c r="E498" s="76"/>
      <c r="F498" s="76"/>
      <c r="G498" s="383">
        <v>30</v>
      </c>
    </row>
    <row r="499" spans="1:7">
      <c r="A499" s="381"/>
      <c r="B499" s="76"/>
      <c r="C499" s="76"/>
      <c r="D499" s="76"/>
      <c r="E499" s="76"/>
      <c r="F499" s="76"/>
      <c r="G499" s="382"/>
    </row>
    <row r="500" spans="1:7">
      <c r="A500" s="381"/>
      <c r="B500" s="76" t="s">
        <v>183</v>
      </c>
      <c r="C500" s="100" t="e">
        <f>VLOOKUP(G498,'3_1'!$A$12:$B$65,2,0)</f>
        <v>#N/A</v>
      </c>
      <c r="D500" s="76"/>
      <c r="E500" s="635" t="s">
        <v>184</v>
      </c>
      <c r="F500" s="102">
        <f>DSUM('3_1'!A$12:J$65,'3_1'!$J$12,G497:G498)</f>
        <v>0</v>
      </c>
      <c r="G500" s="382"/>
    </row>
    <row r="501" spans="1:7">
      <c r="A501" s="381"/>
      <c r="B501" s="76" t="s">
        <v>185</v>
      </c>
      <c r="C501" s="129">
        <v>16</v>
      </c>
      <c r="D501" s="76"/>
      <c r="E501" s="635" t="s">
        <v>186</v>
      </c>
      <c r="F501" s="368" t="e">
        <f>IF(VLOOKUP(G498,'3_1'!$A$12:$D$65,4,0)=2,"Eventual 80%","Definitivo 100%")</f>
        <v>#N/A</v>
      </c>
      <c r="G501" s="382"/>
    </row>
    <row r="502" spans="1:7">
      <c r="A502" s="381"/>
      <c r="B502" s="76" t="s">
        <v>187</v>
      </c>
      <c r="C502" s="130">
        <f>DSUM('3_1'!$A$12:$H$65,'3_1'!$F$12,G497:G498)</f>
        <v>0</v>
      </c>
      <c r="D502" s="76"/>
      <c r="E502" s="635" t="s">
        <v>188</v>
      </c>
      <c r="F502" s="369" t="str">
        <f>+Hijuelas!$G$5</f>
        <v>fracción</v>
      </c>
      <c r="G502" s="384"/>
    </row>
    <row r="503" spans="1:7" ht="15.75">
      <c r="A503" s="381"/>
      <c r="B503" s="76"/>
      <c r="C503" s="76" t="s">
        <v>189</v>
      </c>
      <c r="D503" s="107">
        <f>DMIN('3_1'!A$12:K$65,'3_1'!$K$12,G497:G498)</f>
        <v>0</v>
      </c>
      <c r="E503" s="127" t="str">
        <f>IF(F503=1,"Domingo",IF(F503=2,"Lunes",IF(F503=3,"Martes",IF(F503=4,"Miercoles",IF(F503=5,"Jueves",IF(F503=6,"Viernes",IF(F503=7,"Sábado",0)))))))</f>
        <v>Sábado</v>
      </c>
      <c r="F503" s="128">
        <f>WEEKDAY(D503)</f>
        <v>7</v>
      </c>
      <c r="G503" s="385"/>
    </row>
    <row r="504" spans="1:7" ht="15.75">
      <c r="A504" s="381"/>
      <c r="B504" s="76"/>
      <c r="C504" s="76" t="s">
        <v>190</v>
      </c>
      <c r="D504" s="107">
        <f>DMAX('3_1'!A$12:L$65,'3_1'!$L$12,G497:G498)</f>
        <v>0</v>
      </c>
      <c r="E504" s="127" t="str">
        <f>IF(F504=1,"Domingo",IF(F504=2,"Lunes",IF(F504=3,"Martes",IF(F504=4,"Miercoles",IF(F504=5,"Jueves",IF(F504=6,"Viernes",IF(F504=7,"Sábado",0)))))))</f>
        <v>Sábado</v>
      </c>
      <c r="F504" s="128">
        <f>WEEKDAY(D504)</f>
        <v>7</v>
      </c>
      <c r="G504" s="385"/>
    </row>
    <row r="505" spans="1:7">
      <c r="A505" s="381"/>
      <c r="B505" s="76"/>
      <c r="C505" s="76"/>
      <c r="D505" s="76"/>
      <c r="E505" s="76"/>
      <c r="F505" s="106"/>
      <c r="G505" s="384"/>
    </row>
    <row r="506" spans="1:7">
      <c r="A506" s="381"/>
      <c r="B506" s="377" t="str">
        <f>+Mensajes!$B$7</f>
        <v>PARA CUALQUIER MODIFICACION EN EL CUADRO DE TURNO COMUNIQUESE CON SU TOMERO</v>
      </c>
      <c r="C506" s="76"/>
      <c r="D506" s="76"/>
      <c r="E506" s="76"/>
      <c r="F506" s="76"/>
      <c r="G506" s="382"/>
    </row>
    <row r="507" spans="1:7">
      <c r="A507" s="381"/>
      <c r="B507" s="377" t="str">
        <f>+Mensajes!$B$12</f>
        <v>Recuerde que con 1 (una) cuotas vigentes impagas se restringirá el servicio.</v>
      </c>
      <c r="C507" s="76"/>
      <c r="D507" s="76"/>
      <c r="E507" s="76"/>
      <c r="F507" s="76"/>
      <c r="G507" s="382"/>
    </row>
    <row r="508" spans="1:7">
      <c r="A508" s="381"/>
      <c r="B508" s="108"/>
      <c r="C508" s="76"/>
      <c r="D508" s="76"/>
      <c r="E508" s="76"/>
      <c r="F508" s="76"/>
      <c r="G508" s="382"/>
    </row>
    <row r="509" spans="1:7" ht="13.5" thickBot="1">
      <c r="A509" s="386"/>
      <c r="B509" s="387" t="str">
        <f>IF(DSUM('3_1'!$A$12:$P$81,16,G497:G498)=COUNTIF('3_1'!$A$13:$A$81,G498),"","Regularice su Deuda")</f>
        <v/>
      </c>
      <c r="C509" s="326"/>
      <c r="D509" s="326"/>
      <c r="E509" s="326"/>
      <c r="F509" s="326"/>
      <c r="G509" s="388"/>
    </row>
    <row r="510" spans="1:7" ht="13.5" thickBot="1"/>
    <row r="511" spans="1:7">
      <c r="A511" s="378"/>
      <c r="B511" s="379"/>
      <c r="C511" s="379"/>
      <c r="D511" s="379"/>
      <c r="E511" s="379"/>
      <c r="F511" s="379"/>
      <c r="G511" s="380"/>
    </row>
    <row r="512" spans="1:7">
      <c r="A512" s="381"/>
      <c r="B512" s="109" t="str">
        <f>+'3_1'!$C$2</f>
        <v>CUADRO DE TURNO SAN PEDRO Y SAN PABLO</v>
      </c>
      <c r="C512" s="76"/>
      <c r="D512" s="76"/>
      <c r="E512" s="76"/>
      <c r="F512" s="76"/>
      <c r="G512" s="382"/>
    </row>
    <row r="513" spans="1:7">
      <c r="A513" s="381"/>
      <c r="B513" s="76"/>
      <c r="C513" s="76"/>
      <c r="D513" s="76"/>
      <c r="E513" s="76"/>
      <c r="F513" s="76"/>
      <c r="G513" s="382"/>
    </row>
    <row r="514" spans="1:7">
      <c r="A514" s="381"/>
      <c r="B514" s="76" t="s">
        <v>182</v>
      </c>
      <c r="C514" s="76" t="e">
        <f>VLOOKUP(G515,'3_1'!$A$12:$G$65,7,0)</f>
        <v>#N/A</v>
      </c>
      <c r="D514" s="76"/>
      <c r="E514" s="76"/>
      <c r="F514" s="76"/>
      <c r="G514" s="383" t="s">
        <v>134</v>
      </c>
    </row>
    <row r="515" spans="1:7">
      <c r="A515" s="381"/>
      <c r="B515" s="76" t="s">
        <v>91</v>
      </c>
      <c r="C515" s="76" t="str">
        <f>+'3_1'!$H$2</f>
        <v>Hijuela Perfoga</v>
      </c>
      <c r="D515" s="76"/>
      <c r="E515" s="76"/>
      <c r="F515" s="76"/>
      <c r="G515" s="383">
        <v>31</v>
      </c>
    </row>
    <row r="516" spans="1:7">
      <c r="A516" s="381"/>
      <c r="B516" s="76"/>
      <c r="C516" s="76"/>
      <c r="D516" s="76"/>
      <c r="E516" s="76"/>
      <c r="F516" s="76"/>
      <c r="G516" s="382"/>
    </row>
    <row r="517" spans="1:7">
      <c r="A517" s="381"/>
      <c r="B517" s="76" t="s">
        <v>183</v>
      </c>
      <c r="C517" s="100" t="e">
        <f>VLOOKUP(G515,'3_1'!$A$12:$B$65,2,0)</f>
        <v>#N/A</v>
      </c>
      <c r="D517" s="76"/>
      <c r="E517" s="635" t="s">
        <v>184</v>
      </c>
      <c r="F517" s="102">
        <f>DSUM('3_1'!A$12:J$65,'3_1'!$J$12,G514:G515)</f>
        <v>0</v>
      </c>
      <c r="G517" s="382"/>
    </row>
    <row r="518" spans="1:7">
      <c r="A518" s="381"/>
      <c r="B518" s="76" t="s">
        <v>185</v>
      </c>
      <c r="C518" s="129">
        <v>16</v>
      </c>
      <c r="D518" s="76"/>
      <c r="E518" s="635" t="s">
        <v>186</v>
      </c>
      <c r="F518" s="368" t="e">
        <f>IF(VLOOKUP(G515,'3_1'!$A$12:$D$65,4,0)=2,"Eventual 80%","Definitivo 100%")</f>
        <v>#N/A</v>
      </c>
      <c r="G518" s="382"/>
    </row>
    <row r="519" spans="1:7">
      <c r="A519" s="381"/>
      <c r="B519" s="76" t="s">
        <v>187</v>
      </c>
      <c r="C519" s="130">
        <f>DSUM('3_1'!$A$12:$H$65,'3_1'!$F$12,G514:G515)</f>
        <v>0</v>
      </c>
      <c r="D519" s="76"/>
      <c r="E519" s="635" t="s">
        <v>188</v>
      </c>
      <c r="F519" s="369" t="str">
        <f>+Hijuelas!$G$5</f>
        <v>fracción</v>
      </c>
      <c r="G519" s="384"/>
    </row>
    <row r="520" spans="1:7" ht="15.75">
      <c r="A520" s="381"/>
      <c r="B520" s="76"/>
      <c r="C520" s="76" t="s">
        <v>189</v>
      </c>
      <c r="D520" s="107">
        <f>DMIN('3_1'!A$12:K$65,'3_1'!$K$12,G514:G515)</f>
        <v>0</v>
      </c>
      <c r="E520" s="127" t="str">
        <f>IF(F520=1,"Domingo",IF(F520=2,"Lunes",IF(F520=3,"Martes",IF(F520=4,"Miercoles",IF(F520=5,"Jueves",IF(F520=6,"Viernes",IF(F520=7,"Sábado",0)))))))</f>
        <v>Sábado</v>
      </c>
      <c r="F520" s="128">
        <f>WEEKDAY(D520)</f>
        <v>7</v>
      </c>
      <c r="G520" s="385"/>
    </row>
    <row r="521" spans="1:7" ht="15.75">
      <c r="A521" s="381"/>
      <c r="B521" s="76"/>
      <c r="C521" s="76" t="s">
        <v>190</v>
      </c>
      <c r="D521" s="107">
        <f>DMAX('3_1'!A$12:L$65,'3_1'!$L$12,G514:G515)</f>
        <v>0</v>
      </c>
      <c r="E521" s="127" t="str">
        <f>IF(F521=1,"Domingo",IF(F521=2,"Lunes",IF(F521=3,"Martes",IF(F521=4,"Miercoles",IF(F521=5,"Jueves",IF(F521=6,"Viernes",IF(F521=7,"Sábado",0)))))))</f>
        <v>Sábado</v>
      </c>
      <c r="F521" s="128">
        <f>WEEKDAY(D521)</f>
        <v>7</v>
      </c>
      <c r="G521" s="385"/>
    </row>
    <row r="522" spans="1:7">
      <c r="A522" s="381"/>
      <c r="B522" s="76"/>
      <c r="C522" s="76"/>
      <c r="D522" s="76"/>
      <c r="E522" s="76"/>
      <c r="F522" s="106"/>
      <c r="G522" s="384"/>
    </row>
    <row r="523" spans="1:7">
      <c r="A523" s="381"/>
      <c r="B523" s="377" t="str">
        <f>+Mensajes!$B$7</f>
        <v>PARA CUALQUIER MODIFICACION EN EL CUADRO DE TURNO COMUNIQUESE CON SU TOMERO</v>
      </c>
      <c r="C523" s="76"/>
      <c r="D523" s="76"/>
      <c r="E523" s="76"/>
      <c r="F523" s="76"/>
      <c r="G523" s="382"/>
    </row>
    <row r="524" spans="1:7">
      <c r="A524" s="381"/>
      <c r="B524" s="377" t="str">
        <f>+Mensajes!$B$12</f>
        <v>Recuerde que con 1 (una) cuotas vigentes impagas se restringirá el servicio.</v>
      </c>
      <c r="C524" s="76"/>
      <c r="D524" s="76"/>
      <c r="E524" s="76"/>
      <c r="F524" s="76"/>
      <c r="G524" s="382"/>
    </row>
    <row r="525" spans="1:7">
      <c r="A525" s="381"/>
      <c r="B525" s="108"/>
      <c r="C525" s="76"/>
      <c r="D525" s="76"/>
      <c r="E525" s="76"/>
      <c r="F525" s="76"/>
      <c r="G525" s="382"/>
    </row>
    <row r="526" spans="1:7" ht="13.5" thickBot="1">
      <c r="A526" s="386"/>
      <c r="B526" s="387" t="str">
        <f>IF(DSUM('3_1'!$A$12:$P$81,16,G514:G515)=COUNTIF('3_1'!$A$13:$A$81,G515),"","Regularice su Deuda")</f>
        <v/>
      </c>
      <c r="C526" s="326"/>
      <c r="D526" s="326"/>
      <c r="E526" s="326"/>
      <c r="F526" s="326"/>
      <c r="G526" s="388"/>
    </row>
    <row r="527" spans="1:7" ht="13.5" thickBot="1"/>
    <row r="528" spans="1:7">
      <c r="A528" s="378"/>
      <c r="B528" s="379"/>
      <c r="C528" s="379"/>
      <c r="D528" s="379"/>
      <c r="E528" s="379"/>
      <c r="F528" s="379"/>
      <c r="G528" s="380"/>
    </row>
    <row r="529" spans="1:7">
      <c r="A529" s="381"/>
      <c r="B529" s="109" t="str">
        <f>+'3_1'!$C$2</f>
        <v>CUADRO DE TURNO SAN PEDRO Y SAN PABLO</v>
      </c>
      <c r="C529" s="76"/>
      <c r="D529" s="76"/>
      <c r="E529" s="76"/>
      <c r="F529" s="76"/>
      <c r="G529" s="382"/>
    </row>
    <row r="530" spans="1:7">
      <c r="A530" s="381"/>
      <c r="B530" s="76"/>
      <c r="C530" s="76"/>
      <c r="D530" s="76"/>
      <c r="E530" s="76"/>
      <c r="F530" s="76"/>
      <c r="G530" s="382"/>
    </row>
    <row r="531" spans="1:7">
      <c r="A531" s="381"/>
      <c r="B531" s="76" t="s">
        <v>182</v>
      </c>
      <c r="C531" s="76" t="e">
        <f>VLOOKUP(G532,'3_1'!$A$12:$G$65,7,0)</f>
        <v>#N/A</v>
      </c>
      <c r="D531" s="76"/>
      <c r="E531" s="76"/>
      <c r="F531" s="76"/>
      <c r="G531" s="383" t="s">
        <v>134</v>
      </c>
    </row>
    <row r="532" spans="1:7">
      <c r="A532" s="381"/>
      <c r="B532" s="76" t="s">
        <v>91</v>
      </c>
      <c r="C532" s="76" t="str">
        <f>+'3_1'!$H$2</f>
        <v>Hijuela Perfoga</v>
      </c>
      <c r="D532" s="76"/>
      <c r="E532" s="76"/>
      <c r="F532" s="76"/>
      <c r="G532" s="383">
        <v>32</v>
      </c>
    </row>
    <row r="533" spans="1:7">
      <c r="A533" s="381"/>
      <c r="B533" s="76"/>
      <c r="C533" s="76"/>
      <c r="D533" s="76"/>
      <c r="E533" s="76"/>
      <c r="F533" s="76"/>
      <c r="G533" s="382"/>
    </row>
    <row r="534" spans="1:7">
      <c r="A534" s="381"/>
      <c r="B534" s="76" t="s">
        <v>183</v>
      </c>
      <c r="C534" s="100" t="e">
        <f>VLOOKUP(G532,'3_1'!$A$12:$B$65,2,0)</f>
        <v>#N/A</v>
      </c>
      <c r="D534" s="76"/>
      <c r="E534" s="635" t="s">
        <v>184</v>
      </c>
      <c r="F534" s="102">
        <f>DSUM('3_1'!A$12:J$65,'3_1'!$J$12,G531:G532)</f>
        <v>0</v>
      </c>
      <c r="G534" s="382"/>
    </row>
    <row r="535" spans="1:7">
      <c r="A535" s="381"/>
      <c r="B535" s="76" t="s">
        <v>185</v>
      </c>
      <c r="C535" s="129">
        <v>16</v>
      </c>
      <c r="D535" s="76"/>
      <c r="E535" s="635" t="s">
        <v>186</v>
      </c>
      <c r="F535" s="368" t="e">
        <f>IF(VLOOKUP(G532,'3_1'!$A$12:$D$65,4,0)=2,"Eventual 80%","Definitivo 100%")</f>
        <v>#N/A</v>
      </c>
      <c r="G535" s="382"/>
    </row>
    <row r="536" spans="1:7">
      <c r="A536" s="381"/>
      <c r="B536" s="76" t="s">
        <v>187</v>
      </c>
      <c r="C536" s="130">
        <f>DSUM('3_1'!$A$12:$H$65,'3_1'!$F$12,G531:G532)</f>
        <v>0</v>
      </c>
      <c r="D536" s="76"/>
      <c r="E536" s="635" t="s">
        <v>188</v>
      </c>
      <c r="F536" s="369" t="str">
        <f>+Hijuelas!$G$5</f>
        <v>fracción</v>
      </c>
      <c r="G536" s="384"/>
    </row>
    <row r="537" spans="1:7" ht="15.75">
      <c r="A537" s="381"/>
      <c r="B537" s="76"/>
      <c r="C537" s="76" t="s">
        <v>189</v>
      </c>
      <c r="D537" s="107">
        <f>DMIN('3_1'!A$12:K$65,'3_1'!$K$12,G531:G532)</f>
        <v>0</v>
      </c>
      <c r="E537" s="127" t="str">
        <f>IF(F537=1,"Domingo",IF(F537=2,"Lunes",IF(F537=3,"Martes",IF(F537=4,"Miercoles",IF(F537=5,"Jueves",IF(F537=6,"Viernes",IF(F537=7,"Sábado",0)))))))</f>
        <v>Sábado</v>
      </c>
      <c r="F537" s="128">
        <f>WEEKDAY(D537)</f>
        <v>7</v>
      </c>
      <c r="G537" s="385"/>
    </row>
    <row r="538" spans="1:7" ht="15.75">
      <c r="A538" s="381"/>
      <c r="B538" s="76"/>
      <c r="C538" s="76" t="s">
        <v>190</v>
      </c>
      <c r="D538" s="107">
        <f>DMAX('3_1'!A$12:L$65,'3_1'!$L$12,G531:G532)</f>
        <v>0</v>
      </c>
      <c r="E538" s="127" t="str">
        <f>IF(F538=1,"Domingo",IF(F538=2,"Lunes",IF(F538=3,"Martes",IF(F538=4,"Miercoles",IF(F538=5,"Jueves",IF(F538=6,"Viernes",IF(F538=7,"Sábado",0)))))))</f>
        <v>Sábado</v>
      </c>
      <c r="F538" s="128">
        <f>WEEKDAY(D538)</f>
        <v>7</v>
      </c>
      <c r="G538" s="385"/>
    </row>
    <row r="539" spans="1:7">
      <c r="A539" s="381"/>
      <c r="B539" s="76"/>
      <c r="C539" s="76"/>
      <c r="D539" s="76"/>
      <c r="E539" s="76"/>
      <c r="F539" s="106"/>
      <c r="G539" s="384"/>
    </row>
    <row r="540" spans="1:7">
      <c r="A540" s="381"/>
      <c r="B540" s="377" t="str">
        <f>+Mensajes!$B$7</f>
        <v>PARA CUALQUIER MODIFICACION EN EL CUADRO DE TURNO COMUNIQUESE CON SU TOMERO</v>
      </c>
      <c r="C540" s="76"/>
      <c r="D540" s="76"/>
      <c r="E540" s="76"/>
      <c r="F540" s="76"/>
      <c r="G540" s="382"/>
    </row>
    <row r="541" spans="1:7">
      <c r="A541" s="381"/>
      <c r="B541" s="377" t="str">
        <f>+Mensajes!$B$12</f>
        <v>Recuerde que con 1 (una) cuotas vigentes impagas se restringirá el servicio.</v>
      </c>
      <c r="C541" s="76"/>
      <c r="D541" s="76"/>
      <c r="E541" s="76"/>
      <c r="F541" s="76"/>
      <c r="G541" s="382"/>
    </row>
    <row r="542" spans="1:7">
      <c r="A542" s="381"/>
      <c r="B542" s="108"/>
      <c r="C542" s="76"/>
      <c r="D542" s="76"/>
      <c r="E542" s="76"/>
      <c r="F542" s="76"/>
      <c r="G542" s="382"/>
    </row>
    <row r="543" spans="1:7" ht="13.5" thickBot="1">
      <c r="A543" s="386"/>
      <c r="B543" s="387" t="str">
        <f>IF(DSUM('3_1'!$A$12:$P$81,16,G531:G532)=COUNTIF('3_1'!$A$13:$A$81,G532),"","Regularice su Deuda")</f>
        <v/>
      </c>
      <c r="C543" s="326"/>
      <c r="D543" s="326"/>
      <c r="E543" s="326"/>
      <c r="F543" s="326"/>
      <c r="G543" s="388"/>
    </row>
    <row r="552" spans="3:3">
      <c r="C552">
        <v>16</v>
      </c>
    </row>
  </sheetData>
  <phoneticPr fontId="0" type="noConversion"/>
  <pageMargins left="0.70866141732283472" right="0.75" top="0.15748031496062992" bottom="0.19685039370078741" header="0" footer="0"/>
  <pageSetup paperSize="9" scale="74" orientation="portrait" r:id="rId1"/>
  <headerFooter alignWithMargins="0"/>
  <rowBreaks count="6" manualBreakCount="6">
    <brk id="85" max="6" man="1"/>
    <brk id="170" max="6" man="1"/>
    <brk id="255" max="6" man="1"/>
    <brk id="340" max="6" man="1"/>
    <brk id="425" max="6" man="1"/>
    <brk id="510" max="6" man="1"/>
  </rowBreaks>
  <colBreaks count="1" manualBreakCount="1">
    <brk id="8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T68"/>
  <sheetViews>
    <sheetView topLeftCell="A50" zoomScale="75" zoomScaleNormal="50" zoomScaleSheetLayoutView="75" workbookViewId="0" xr3:uid="{C67EF94B-0B3B-5838-830C-E3A509766221}">
      <selection activeCell="J64" sqref="J64"/>
    </sheetView>
  </sheetViews>
  <sheetFormatPr defaultRowHeight="12.75"/>
  <cols>
    <col min="1" max="1" width="7.7109375" bestFit="1" customWidth="1"/>
    <col min="2" max="2" width="5.42578125" customWidth="1"/>
    <col min="3" max="3" width="10.28515625" customWidth="1"/>
    <col min="4" max="4" width="8.7109375" customWidth="1"/>
    <col min="5" max="5" width="9.7109375" customWidth="1"/>
    <col min="6" max="6" width="13.140625" bestFit="1" customWidth="1"/>
    <col min="7" max="7" width="33.85546875" customWidth="1"/>
    <col min="8" max="8" width="10.85546875" customWidth="1"/>
    <col min="9" max="9" width="8.5703125" customWidth="1"/>
    <col min="10" max="10" width="8" bestFit="1" customWidth="1"/>
    <col min="11" max="11" width="17.28515625" bestFit="1" customWidth="1"/>
    <col min="12" max="12" width="17" customWidth="1"/>
    <col min="13" max="13" width="27.28515625" customWidth="1"/>
    <col min="14" max="14" width="17.28515625" bestFit="1" customWidth="1"/>
    <col min="15" max="15" width="7" bestFit="1" customWidth="1"/>
    <col min="16" max="16" width="7.7109375" bestFit="1" customWidth="1"/>
    <col min="17" max="17" width="11.7109375" bestFit="1" customWidth="1"/>
    <col min="18" max="18" width="11.5703125" bestFit="1" customWidth="1"/>
    <col min="19" max="19" width="12.5703125" bestFit="1" customWidth="1"/>
    <col min="20" max="256" width="11.42578125" customWidth="1"/>
  </cols>
  <sheetData>
    <row r="1" spans="1:20">
      <c r="N1" s="10"/>
    </row>
    <row r="2" spans="1:20">
      <c r="A2" s="76"/>
      <c r="B2" s="76"/>
      <c r="C2" s="76"/>
      <c r="D2" s="76"/>
      <c r="E2" s="130"/>
      <c r="F2" s="130"/>
      <c r="G2" s="76"/>
      <c r="H2" s="320"/>
      <c r="I2" s="321"/>
      <c r="J2" s="322"/>
      <c r="K2" s="76"/>
      <c r="L2" s="76"/>
      <c r="M2" s="76"/>
      <c r="N2" s="10"/>
    </row>
    <row r="3" spans="1:20">
      <c r="A3" s="99"/>
      <c r="B3" s="99"/>
      <c r="C3" s="105" t="s">
        <v>123</v>
      </c>
      <c r="D3" s="105"/>
      <c r="E3" s="99"/>
      <c r="F3" s="99"/>
      <c r="G3" s="99"/>
      <c r="H3" s="99" t="s">
        <v>254</v>
      </c>
      <c r="I3" s="99"/>
      <c r="J3" s="99"/>
      <c r="K3" s="99"/>
      <c r="L3" s="99"/>
      <c r="M3" s="99"/>
      <c r="N3" s="10"/>
    </row>
    <row r="4" spans="1:20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"/>
    </row>
    <row r="5" spans="1:20" ht="13.5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"/>
    </row>
    <row r="6" spans="1:20">
      <c r="A6" s="662" t="s">
        <v>124</v>
      </c>
      <c r="B6" s="663"/>
      <c r="C6" s="659">
        <f>+Hijuelas!D13</f>
        <v>42973.541666666664</v>
      </c>
      <c r="D6" s="667"/>
      <c r="E6" s="660"/>
      <c r="F6" s="305"/>
      <c r="G6" s="306" t="s">
        <v>125</v>
      </c>
      <c r="H6" s="307">
        <f>+Hijuelas!G4</f>
        <v>3.9895833333333335</v>
      </c>
      <c r="I6" s="99"/>
      <c r="J6" s="99"/>
      <c r="K6" s="99"/>
      <c r="L6" s="99"/>
      <c r="M6" s="99"/>
      <c r="N6" s="10"/>
    </row>
    <row r="7" spans="1:20" ht="13.5" thickBot="1">
      <c r="A7" s="664" t="s">
        <v>126</v>
      </c>
      <c r="B7" s="665"/>
      <c r="C7" s="668">
        <f>+L62</f>
        <v>42977.531250000007</v>
      </c>
      <c r="D7" s="669"/>
      <c r="E7" s="670"/>
      <c r="F7" s="305"/>
      <c r="G7" s="265" t="s">
        <v>127</v>
      </c>
      <c r="H7" s="308">
        <v>0.14583333333333334</v>
      </c>
      <c r="I7" s="305"/>
      <c r="J7" s="99"/>
      <c r="K7" s="309"/>
      <c r="L7" s="99"/>
      <c r="M7" s="99"/>
      <c r="N7" s="10"/>
    </row>
    <row r="8" spans="1:20">
      <c r="A8" s="99"/>
      <c r="B8" s="99"/>
      <c r="C8" s="305">
        <v>0.51041666666666663</v>
      </c>
      <c r="D8" s="312">
        <f>+C7-C6</f>
        <v>3.9895833333430346</v>
      </c>
      <c r="E8" s="99"/>
      <c r="F8" s="99"/>
      <c r="G8" s="418" t="s">
        <v>128</v>
      </c>
      <c r="H8" s="419">
        <v>2.0833333333333332E-2</v>
      </c>
      <c r="I8" s="99"/>
      <c r="J8" s="99"/>
      <c r="K8" s="99"/>
      <c r="L8" s="99"/>
      <c r="M8" s="99"/>
      <c r="N8" s="10"/>
    </row>
    <row r="9" spans="1:20" ht="13.5" thickBot="1">
      <c r="A9" s="99"/>
      <c r="B9" s="99"/>
      <c r="C9" s="99"/>
      <c r="D9" s="99"/>
      <c r="E9" s="99"/>
      <c r="F9" s="99"/>
      <c r="G9" s="310" t="s">
        <v>255</v>
      </c>
      <c r="H9" s="470">
        <f>+I63</f>
        <v>8.3333333333333329E-2</v>
      </c>
      <c r="I9" s="99"/>
      <c r="J9" s="99"/>
      <c r="K9" s="99"/>
      <c r="L9" s="99"/>
      <c r="M9" s="99"/>
      <c r="N9" s="10"/>
    </row>
    <row r="10" spans="1:20">
      <c r="A10" s="666" t="s">
        <v>129</v>
      </c>
      <c r="B10" s="666"/>
      <c r="C10" s="312">
        <f>+H6-H7-H9-H8</f>
        <v>3.739583333333333</v>
      </c>
      <c r="D10" s="636" t="s">
        <v>130</v>
      </c>
      <c r="E10" s="313">
        <f>+C10*60</f>
        <v>224.37499999999997</v>
      </c>
      <c r="F10" s="636" t="s">
        <v>131</v>
      </c>
      <c r="G10" s="353">
        <f>+H63</f>
        <v>235.79757999999993</v>
      </c>
      <c r="H10" s="636" t="s">
        <v>132</v>
      </c>
      <c r="I10" s="312">
        <f>+E10/G10</f>
        <v>0.95155768774217298</v>
      </c>
      <c r="J10" s="99"/>
      <c r="K10" s="99"/>
      <c r="L10" s="99"/>
      <c r="M10" s="99"/>
      <c r="N10" s="10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256</v>
      </c>
      <c r="G12" s="354" t="s">
        <v>140</v>
      </c>
      <c r="H12" s="292" t="s">
        <v>257</v>
      </c>
      <c r="I12" s="292" t="s">
        <v>142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39.950000000000003" customHeight="1" thickTop="1">
      <c r="A13" s="46">
        <v>1</v>
      </c>
      <c r="B13" s="112">
        <v>1249</v>
      </c>
      <c r="C13" s="260">
        <v>22</v>
      </c>
      <c r="D13" s="260">
        <v>2</v>
      </c>
      <c r="E13" s="85">
        <v>0.80510000000000004</v>
      </c>
      <c r="F13" s="85" t="str">
        <f>IF(P13=0,"NO",IF(P13=1,"SI","CONDICIONAL"))</f>
        <v>SI</v>
      </c>
      <c r="G13" s="335" t="s">
        <v>258</v>
      </c>
      <c r="H13" s="125">
        <f>IF(Hijuelas!$G$5="fracción",IF(F13="NO",0,IF(Hijuelas!$G$6="si",IF(D13=1,E13,E13*0.8),E13)),IF(F13="NO",0,IF(Hijuelas!$G$6="si",IF(D13=1,ROUNDUP(E13,0),ROUNDUP(E13*0.8,0)),ROUNDUP(E13,0))))</f>
        <v>0.6440800000000001</v>
      </c>
      <c r="I13" s="123">
        <v>0</v>
      </c>
      <c r="J13" s="123">
        <f>+$I$10/60*H13</f>
        <v>1.0214654592016313E-2</v>
      </c>
      <c r="K13" s="358">
        <f>+C6+H7+H8</f>
        <v>42973.708333333336</v>
      </c>
      <c r="L13" s="358">
        <f>+K13+J13</f>
        <v>42973.718547987926</v>
      </c>
      <c r="M13" s="47"/>
      <c r="N13" s="47"/>
      <c r="O13" s="47" t="str">
        <f>+CONCATENATE(B13,C13)</f>
        <v>124922</v>
      </c>
      <c r="P13" s="112">
        <f>VLOOKUP(O13,deuda!A$1:H$551,4,0)</f>
        <v>1</v>
      </c>
      <c r="Q13" s="112">
        <f>VLOOKUP(O13,deuda!A$1:H$551,5,0)</f>
        <v>0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35.1" customHeight="1">
      <c r="A14" s="194">
        <v>1</v>
      </c>
      <c r="B14" s="355">
        <v>1249</v>
      </c>
      <c r="C14" s="363">
        <v>19</v>
      </c>
      <c r="D14" s="356">
        <v>2</v>
      </c>
      <c r="E14" s="330">
        <v>0.8</v>
      </c>
      <c r="F14" s="85" t="str">
        <f t="shared" ref="F14:F62" si="0">IF(P14=0,"NO",IF(P14=1,"SI","CONDICIONAL"))</f>
        <v>NO</v>
      </c>
      <c r="G14" s="399" t="s">
        <v>259</v>
      </c>
      <c r="H14" s="125">
        <f>IF(Hijuelas!$G$5="fracción",IF(F14="NO",0,IF(Hijuelas!$G$6="si",IF(D14=1,E14,E14*0.8),E14)),IF(F14="NO",0,IF(Hijuelas!$G$6="si",IF(D14=1,ROUNDUP(E14,0),ROUNDUP(E14*0.8,0)),ROUNDUP(E14,0))))</f>
        <v>0</v>
      </c>
      <c r="I14" s="123">
        <v>0</v>
      </c>
      <c r="J14" s="123">
        <f t="shared" ref="J14:J62" si="1">+$I$10/60*H14</f>
        <v>0</v>
      </c>
      <c r="K14" s="358">
        <f>+L13</f>
        <v>42973.718547987926</v>
      </c>
      <c r="L14" s="358">
        <f>+K14+J14+I14</f>
        <v>42973.718547987926</v>
      </c>
      <c r="M14" s="5"/>
      <c r="N14" s="5"/>
      <c r="O14" s="47" t="str">
        <f t="shared" ref="O14:O62" si="2">+CONCATENATE(B14,C14)</f>
        <v>124919</v>
      </c>
      <c r="P14" s="112">
        <f>VLOOKUP(O14,deuda!A$1:H$551,4,0)</f>
        <v>0</v>
      </c>
      <c r="Q14" s="112">
        <f>VLOOKUP(O14,deuda!A$1:H$551,5,0)</f>
        <v>39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35.1" customHeight="1">
      <c r="A15" s="194">
        <v>2</v>
      </c>
      <c r="B15" s="355">
        <v>1249</v>
      </c>
      <c r="C15" s="356">
        <v>23</v>
      </c>
      <c r="D15" s="356">
        <v>2</v>
      </c>
      <c r="E15" s="330">
        <v>0.72799999999999998</v>
      </c>
      <c r="F15" s="85" t="str">
        <f t="shared" si="0"/>
        <v>SI</v>
      </c>
      <c r="G15" s="357" t="s">
        <v>260</v>
      </c>
      <c r="H15" s="125">
        <f>IF(Hijuelas!$G$5="fracción",IF(F15="NO",0,IF(Hijuelas!$G$6="si",IF(D15=1,E15,E15*0.8),E15)),IF(F15="NO",0,IF(Hijuelas!$G$6="si",IF(D15=1,ROUNDUP(E15,0),ROUNDUP(E15*0.8,0)),ROUNDUP(E15,0))))</f>
        <v>0.58240000000000003</v>
      </c>
      <c r="I15" s="123">
        <v>2.0833333333333332E-2</v>
      </c>
      <c r="J15" s="123">
        <f t="shared" si="1"/>
        <v>9.236453289017359E-3</v>
      </c>
      <c r="K15" s="358">
        <f t="shared" ref="K15:K62" si="3">+L14</f>
        <v>42973.718547987926</v>
      </c>
      <c r="L15" s="358">
        <f t="shared" ref="L15:L62" si="4">+K15+J15+I15</f>
        <v>42973.748617774552</v>
      </c>
      <c r="M15" s="5"/>
      <c r="N15" s="5"/>
      <c r="O15" s="47" t="str">
        <f t="shared" si="2"/>
        <v>124923</v>
      </c>
      <c r="P15" s="112">
        <f>VLOOKUP(O15,deuda!A$1:H$551,4,0)</f>
        <v>1</v>
      </c>
      <c r="Q15" s="112">
        <f>VLOOKUP(O15,deuda!A$1:H$551,5,0)</f>
        <v>0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35.1" customHeight="1">
      <c r="A16" s="359">
        <v>3</v>
      </c>
      <c r="B16" s="355">
        <v>1249</v>
      </c>
      <c r="C16" s="363">
        <v>13</v>
      </c>
      <c r="D16" s="360">
        <v>2</v>
      </c>
      <c r="E16" s="361">
        <v>10.6775</v>
      </c>
      <c r="F16" s="85" t="s">
        <v>90</v>
      </c>
      <c r="G16" s="362" t="s">
        <v>261</v>
      </c>
      <c r="H16" s="125">
        <f>IF(Hijuelas!$G$5="fracción",IF(F16="NO",0,IF(Hijuelas!$G$6="si",IF(D16=1,E16,E16*0.8),E16)),IF(F16="NO",0,IF(Hijuelas!$G$6="si",IF(D16=1,ROUNDUP(E16,0),ROUNDUP(E16*0.8,0)),ROUNDUP(E16,0))))</f>
        <v>8.5419999999999998</v>
      </c>
      <c r="I16" s="123">
        <v>0</v>
      </c>
      <c r="J16" s="123">
        <f>+$I$10/60*H16</f>
        <v>0.135470096144894</v>
      </c>
      <c r="K16" s="358">
        <f t="shared" si="3"/>
        <v>42973.748617774552</v>
      </c>
      <c r="L16" s="358">
        <f t="shared" si="4"/>
        <v>42973.884087870698</v>
      </c>
      <c r="M16" s="5"/>
      <c r="N16" s="5"/>
      <c r="O16" s="47" t="str">
        <f>+CONCATENATE(B16,C16)</f>
        <v>124913</v>
      </c>
      <c r="P16" s="112">
        <f>VLOOKUP(O16,deuda!A$1:H$551,4,0)</f>
        <v>0</v>
      </c>
      <c r="Q16" s="112">
        <f>VLOOKUP(O16,deuda!A$1:H$551,5,0)</f>
        <v>3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35.1" customHeight="1">
      <c r="A17" s="359">
        <v>4</v>
      </c>
      <c r="B17" s="355">
        <v>1249</v>
      </c>
      <c r="C17" s="363">
        <v>72</v>
      </c>
      <c r="D17" s="360">
        <v>1</v>
      </c>
      <c r="E17" s="361">
        <v>38.622399999999999</v>
      </c>
      <c r="F17" s="85" t="s">
        <v>90</v>
      </c>
      <c r="G17" s="362" t="s">
        <v>261</v>
      </c>
      <c r="H17" s="125">
        <f>IF(Hijuelas!$G$5="fracción",IF(F17="NO",0,IF(Hijuelas!$G$6="si",IF(D17=1,E17,E17*0.8),E17)),IF(F17="NO",0,IF(Hijuelas!$G$6="si",IF(D17=1,ROUNDUP(E17,0),ROUNDUP(E17*0.8,0)),ROUNDUP(E17,0))))</f>
        <v>38.622399999999999</v>
      </c>
      <c r="I17" s="123">
        <v>0</v>
      </c>
      <c r="J17" s="123">
        <f>+$I$10/60*H17</f>
        <v>0.61252402731755495</v>
      </c>
      <c r="K17" s="358">
        <f t="shared" si="3"/>
        <v>42973.884087870698</v>
      </c>
      <c r="L17" s="358">
        <f t="shared" si="4"/>
        <v>42974.496611898016</v>
      </c>
      <c r="M17" s="5"/>
      <c r="N17" s="5"/>
      <c r="O17" s="47" t="str">
        <f>+CONCATENATE(B17,C17)</f>
        <v>124972</v>
      </c>
      <c r="P17" s="112">
        <f>VLOOKUP(O17,deuda!A$1:H$551,4,0)</f>
        <v>0</v>
      </c>
      <c r="Q17" s="112">
        <f>VLOOKUP(O17,deuda!A$1:H$551,5,0)</f>
        <v>3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35.1" customHeight="1">
      <c r="A18" s="359">
        <v>5</v>
      </c>
      <c r="B18" s="355">
        <v>1249</v>
      </c>
      <c r="C18" s="363">
        <v>5</v>
      </c>
      <c r="D18" s="360">
        <v>2</v>
      </c>
      <c r="E18" s="361">
        <v>0.29459999999999997</v>
      </c>
      <c r="F18" s="85" t="str">
        <f t="shared" si="0"/>
        <v>SI</v>
      </c>
      <c r="G18" s="399" t="s">
        <v>262</v>
      </c>
      <c r="H18" s="125">
        <f>IF(Hijuelas!$G$5="fracción",IF(F18="NO",0,IF(Hijuelas!$G$6="si",IF(D18=1,E18,E18*0.8),E18)),IF(F18="NO",0,IF(Hijuelas!$G$6="si",IF(D18=1,ROUNDUP(E18,0),ROUNDUP(E18*0.8,0)),ROUNDUP(E18,0))))</f>
        <v>0.23568</v>
      </c>
      <c r="I18" s="123">
        <v>0</v>
      </c>
      <c r="J18" s="123">
        <f t="shared" si="1"/>
        <v>3.7377185974512553E-3</v>
      </c>
      <c r="K18" s="358">
        <f t="shared" si="3"/>
        <v>42974.496611898016</v>
      </c>
      <c r="L18" s="358">
        <f t="shared" si="4"/>
        <v>42974.50034961661</v>
      </c>
      <c r="M18" s="5"/>
      <c r="N18" s="5"/>
      <c r="O18" s="47" t="str">
        <f t="shared" si="2"/>
        <v>12495</v>
      </c>
      <c r="P18" s="112">
        <f>VLOOKUP(O18,deuda!A$1:H$551,4,0)</f>
        <v>1</v>
      </c>
      <c r="Q18" s="112">
        <f>VLOOKUP(O18,deuda!A$1:H$551,5,0)</f>
        <v>0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35.1" customHeight="1">
      <c r="A19" s="194">
        <v>6</v>
      </c>
      <c r="B19" s="355">
        <v>1249</v>
      </c>
      <c r="C19" s="363">
        <v>20</v>
      </c>
      <c r="D19" s="356">
        <v>2</v>
      </c>
      <c r="E19" s="330">
        <v>4.7771999999999997</v>
      </c>
      <c r="F19" s="85" t="str">
        <f t="shared" si="0"/>
        <v>SI</v>
      </c>
      <c r="G19" s="357" t="s">
        <v>263</v>
      </c>
      <c r="H19" s="125">
        <f>IF(Hijuelas!$G$5="fracción",IF(F19="NO",0,IF(Hijuelas!$G$6="si",IF(D19=1,E19,E19*0.8),E19)),IF(F19="NO",0,IF(Hijuelas!$G$6="si",IF(D19=1,ROUNDUP(E19,0),ROUNDUP(E19*0.8,0)),ROUNDUP(E19,0))))</f>
        <v>3.8217599999999998</v>
      </c>
      <c r="I19" s="123">
        <v>0</v>
      </c>
      <c r="J19" s="123">
        <f t="shared" si="1"/>
        <v>6.0610418478425444E-2</v>
      </c>
      <c r="K19" s="358">
        <f t="shared" si="3"/>
        <v>42974.50034961661</v>
      </c>
      <c r="L19" s="358">
        <f t="shared" si="4"/>
        <v>42974.560960035087</v>
      </c>
      <c r="M19" s="5"/>
      <c r="N19" s="5"/>
      <c r="O19" s="47" t="str">
        <f t="shared" si="2"/>
        <v>124920</v>
      </c>
      <c r="P19" s="112">
        <f>VLOOKUP(O19,deuda!A$1:H$551,4,0)</f>
        <v>1</v>
      </c>
      <c r="Q19" s="112">
        <f>VLOOKUP(O19,deuda!A$1:H$551,5,0)</f>
        <v>1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ht="35.1" customHeight="1">
      <c r="A20" s="194">
        <v>6</v>
      </c>
      <c r="B20" s="355">
        <v>1249</v>
      </c>
      <c r="C20" s="363">
        <v>18</v>
      </c>
      <c r="D20" s="356">
        <v>2</v>
      </c>
      <c r="E20" s="330">
        <v>3.7543000000000002</v>
      </c>
      <c r="F20" s="85" t="str">
        <f t="shared" si="0"/>
        <v>SI</v>
      </c>
      <c r="G20" s="357" t="s">
        <v>264</v>
      </c>
      <c r="H20" s="125">
        <f>IF(Hijuelas!$G$5="fracción",IF(F20="NO",0,IF(Hijuelas!$G$6="si",IF(D20=1,E20,E20*0.8),E20)),IF(F20="NO",0,IF(Hijuelas!$G$6="si",IF(D20=1,ROUNDUP(E20,0),ROUNDUP(E20*0.8,0)),ROUNDUP(E20,0))))</f>
        <v>3.0034400000000003</v>
      </c>
      <c r="I20" s="123">
        <v>0</v>
      </c>
      <c r="J20" s="123">
        <f t="shared" si="1"/>
        <v>4.7632440361205869E-2</v>
      </c>
      <c r="K20" s="358">
        <f t="shared" si="3"/>
        <v>42974.560960035087</v>
      </c>
      <c r="L20" s="358">
        <f t="shared" si="4"/>
        <v>42974.608592475452</v>
      </c>
      <c r="M20" s="5"/>
      <c r="N20" s="5"/>
      <c r="O20" s="47" t="str">
        <f t="shared" si="2"/>
        <v>124918</v>
      </c>
      <c r="P20" s="112">
        <f>VLOOKUP(O20,deuda!A$1:H$551,4,0)</f>
        <v>1</v>
      </c>
      <c r="Q20" s="112">
        <f>VLOOKUP(O20,deuda!A$1:H$551,5,0)</f>
        <v>1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35.1" customHeight="1">
      <c r="A21" s="359">
        <v>6</v>
      </c>
      <c r="B21" s="355">
        <v>1249</v>
      </c>
      <c r="C21" s="363">
        <v>17</v>
      </c>
      <c r="D21" s="360">
        <v>2</v>
      </c>
      <c r="E21" s="361">
        <v>4.0789</v>
      </c>
      <c r="F21" s="85" t="str">
        <f t="shared" si="0"/>
        <v>SI</v>
      </c>
      <c r="G21" s="362" t="s">
        <v>265</v>
      </c>
      <c r="H21" s="125">
        <f>IF(Hijuelas!$G$5="fracción",IF(F21="NO",0,IF(Hijuelas!$G$6="si",IF(D21=1,E21,E21*0.8),E21)),IF(F21="NO",0,IF(Hijuelas!$G$6="si",IF(D21=1,ROUNDUP(E21,0),ROUNDUP(E21*0.8,0)),ROUNDUP(E21,0))))</f>
        <v>3.2631200000000002</v>
      </c>
      <c r="I21" s="123">
        <v>0</v>
      </c>
      <c r="J21" s="123">
        <f t="shared" si="1"/>
        <v>5.1750782033753988E-2</v>
      </c>
      <c r="K21" s="358">
        <f t="shared" si="3"/>
        <v>42974.608592475452</v>
      </c>
      <c r="L21" s="358">
        <f t="shared" si="4"/>
        <v>42974.660343257485</v>
      </c>
      <c r="M21" s="5"/>
      <c r="N21" s="5"/>
      <c r="O21" s="47" t="str">
        <f t="shared" si="2"/>
        <v>124917</v>
      </c>
      <c r="P21" s="112">
        <f>VLOOKUP(O21,deuda!A$1:H$551,4,0)</f>
        <v>1</v>
      </c>
      <c r="Q21" s="112">
        <f>VLOOKUP(O21,deuda!A$1:H$551,5,0)</f>
        <v>1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35.1" customHeight="1">
      <c r="A22" s="359">
        <v>6</v>
      </c>
      <c r="B22" s="355">
        <v>1249</v>
      </c>
      <c r="C22" s="363">
        <v>21</v>
      </c>
      <c r="D22" s="360">
        <v>2</v>
      </c>
      <c r="E22" s="361">
        <v>4.2615999999999996</v>
      </c>
      <c r="F22" s="85" t="str">
        <f t="shared" si="0"/>
        <v>SI</v>
      </c>
      <c r="G22" s="362" t="s">
        <v>266</v>
      </c>
      <c r="H22" s="125">
        <f>IF(Hijuelas!$G$5="fracción",IF(F22="NO",0,IF(Hijuelas!$G$6="si",IF(D22=1,E22,E22*0.8),E22)),IF(F22="NO",0,IF(Hijuelas!$G$6="si",IF(D22=1,ROUNDUP(E22,0),ROUNDUP(E22*0.8,0)),ROUNDUP(E22,0))))</f>
        <v>3.4092799999999999</v>
      </c>
      <c r="I22" s="123">
        <v>2.0833333333333332E-2</v>
      </c>
      <c r="J22" s="123">
        <f t="shared" si="1"/>
        <v>5.406877656109392E-2</v>
      </c>
      <c r="K22" s="358">
        <f t="shared" si="3"/>
        <v>42974.660343257485</v>
      </c>
      <c r="L22" s="358">
        <f t="shared" si="4"/>
        <v>42974.735245367381</v>
      </c>
      <c r="M22" s="5"/>
      <c r="N22" s="5"/>
      <c r="O22" s="47" t="str">
        <f t="shared" si="2"/>
        <v>124921</v>
      </c>
      <c r="P22" s="112">
        <f>VLOOKUP(O22,deuda!A$1:H$551,4,0)</f>
        <v>1</v>
      </c>
      <c r="Q22" s="112">
        <f>VLOOKUP(O22,deuda!A$1:H$551,5,0)</f>
        <v>1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35.1" customHeight="1">
      <c r="A23" s="194">
        <v>7</v>
      </c>
      <c r="B23" s="355">
        <v>1249</v>
      </c>
      <c r="C23" s="356">
        <v>16</v>
      </c>
      <c r="D23" s="356">
        <v>2</v>
      </c>
      <c r="E23" s="330">
        <v>4.0136000000000003</v>
      </c>
      <c r="F23" s="85" t="s">
        <v>267</v>
      </c>
      <c r="G23" s="362" t="s">
        <v>234</v>
      </c>
      <c r="H23" s="125">
        <f>IF(Hijuelas!$G$5="fracción",IF(F23="NO",0,IF(Hijuelas!$G$6="si",IF(D23=1,E23,E23*0.8),E23)),IF(F23="NO",0,IF(Hijuelas!$G$6="si",IF(D23=1,ROUNDUP(E23,0),ROUNDUP(E23*0.8,0)),ROUNDUP(E23,0))))</f>
        <v>0</v>
      </c>
      <c r="I23" s="528">
        <v>0</v>
      </c>
      <c r="J23" s="123">
        <f t="shared" si="1"/>
        <v>0</v>
      </c>
      <c r="K23" s="358">
        <f t="shared" si="3"/>
        <v>42974.735245367381</v>
      </c>
      <c r="L23" s="358">
        <f t="shared" si="4"/>
        <v>42974.735245367381</v>
      </c>
      <c r="M23" s="5"/>
      <c r="N23" s="5"/>
      <c r="O23" s="47" t="str">
        <f t="shared" si="2"/>
        <v>124916</v>
      </c>
      <c r="P23" s="112">
        <f>VLOOKUP(O23,deuda!A$1:H$551,4,0)</f>
        <v>1</v>
      </c>
      <c r="Q23" s="112">
        <f>VLOOKUP(O23,deuda!A$1:H$551,5,0)</f>
        <v>0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35.1" customHeight="1">
      <c r="A24" s="359">
        <v>8</v>
      </c>
      <c r="B24" s="355">
        <v>1249</v>
      </c>
      <c r="C24" s="360">
        <v>6</v>
      </c>
      <c r="D24" s="360">
        <v>1</v>
      </c>
      <c r="E24" s="361">
        <v>4.8945999999999996</v>
      </c>
      <c r="F24" s="85" t="s">
        <v>267</v>
      </c>
      <c r="G24" s="362" t="s">
        <v>234</v>
      </c>
      <c r="H24" s="125">
        <f>IF(Hijuelas!$G$5="fracción",IF(F24="NO",0,IF(Hijuelas!$G$6="si",IF(D24=1,E24,E24*0.8),E24)),IF(F24="NO",0,IF(Hijuelas!$G$6="si",IF(D24=1,ROUNDUP(E24,0),ROUNDUP(E24*0.8,0)),ROUNDUP(E24,0))))</f>
        <v>0</v>
      </c>
      <c r="I24" s="123">
        <v>0</v>
      </c>
      <c r="J24" s="123">
        <f t="shared" si="1"/>
        <v>0</v>
      </c>
      <c r="K24" s="358">
        <f t="shared" si="3"/>
        <v>42974.735245367381</v>
      </c>
      <c r="L24" s="358">
        <f t="shared" si="4"/>
        <v>42974.735245367381</v>
      </c>
      <c r="M24" s="5"/>
      <c r="N24" s="5"/>
      <c r="O24" s="47" t="str">
        <f t="shared" si="2"/>
        <v>12496</v>
      </c>
      <c r="P24" s="112">
        <f>VLOOKUP(O24,deuda!A$1:H$551,4,0)</f>
        <v>1</v>
      </c>
      <c r="Q24" s="112">
        <f>VLOOKUP(O24,deuda!A$1:H$551,5,0)</f>
        <v>0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35.1" customHeight="1">
      <c r="A25" s="359">
        <v>8</v>
      </c>
      <c r="B25" s="355">
        <v>1249</v>
      </c>
      <c r="C25" s="363">
        <v>15</v>
      </c>
      <c r="D25" s="360">
        <v>2</v>
      </c>
      <c r="E25" s="361">
        <v>3.2957000000000001</v>
      </c>
      <c r="F25" s="85" t="s">
        <v>267</v>
      </c>
      <c r="G25" s="362" t="s">
        <v>234</v>
      </c>
      <c r="H25" s="125">
        <f>IF(Hijuelas!$G$5="fracción",IF(F25="NO",0,IF(Hijuelas!$G$6="si",IF(D25=1,E25,E25*0.8),E25)),IF(F25="NO",0,IF(Hijuelas!$G$6="si",IF(D25=1,ROUNDUP(E25,0),ROUNDUP(E25*0.8,0)),ROUNDUP(E25,0))))</f>
        <v>0</v>
      </c>
      <c r="I25" s="123">
        <v>0</v>
      </c>
      <c r="J25" s="123">
        <f t="shared" si="1"/>
        <v>0</v>
      </c>
      <c r="K25" s="358">
        <f t="shared" si="3"/>
        <v>42974.735245367381</v>
      </c>
      <c r="L25" s="358">
        <f t="shared" si="4"/>
        <v>42974.735245367381</v>
      </c>
      <c r="M25" s="5"/>
      <c r="N25" s="5"/>
      <c r="O25" s="47" t="str">
        <f t="shared" si="2"/>
        <v>124915</v>
      </c>
      <c r="P25" s="112">
        <f>VLOOKUP(O25,deuda!A$1:H$551,4,0)</f>
        <v>1</v>
      </c>
      <c r="Q25" s="112">
        <f>VLOOKUP(O25,deuda!A$1:H$551,5,0)</f>
        <v>0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35.1" customHeight="1">
      <c r="A26" s="359">
        <v>8</v>
      </c>
      <c r="B26" s="355">
        <v>1249</v>
      </c>
      <c r="C26" s="360">
        <v>24</v>
      </c>
      <c r="D26" s="360">
        <v>1</v>
      </c>
      <c r="E26" s="361">
        <v>2.4809000000000001</v>
      </c>
      <c r="F26" s="85" t="s">
        <v>267</v>
      </c>
      <c r="G26" s="362" t="s">
        <v>234</v>
      </c>
      <c r="H26" s="125">
        <f>IF(Hijuelas!$G$5="fracción",IF(F26="NO",0,IF(Hijuelas!$G$6="si",IF(D26=1,E26,E26*0.8),E26)),IF(F26="NO",0,IF(Hijuelas!$G$6="si",IF(D26=1,ROUNDUP(E26,0),ROUNDUP(E26*0.8,0)),ROUNDUP(E26,0))))</f>
        <v>0</v>
      </c>
      <c r="I26" s="123">
        <v>0</v>
      </c>
      <c r="J26" s="123">
        <f t="shared" si="1"/>
        <v>0</v>
      </c>
      <c r="K26" s="358">
        <f t="shared" si="3"/>
        <v>42974.735245367381</v>
      </c>
      <c r="L26" s="358">
        <f t="shared" si="4"/>
        <v>42974.735245367381</v>
      </c>
      <c r="M26" s="5"/>
      <c r="N26" s="5"/>
      <c r="O26" s="47" t="str">
        <f t="shared" si="2"/>
        <v>124924</v>
      </c>
      <c r="P26" s="112">
        <f>VLOOKUP(O26,deuda!A$1:H$551,4,0)</f>
        <v>1</v>
      </c>
      <c r="Q26" s="112">
        <f>VLOOKUP(O26,deuda!A$1:H$551,5,0)</f>
        <v>0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35.1" customHeight="1">
      <c r="A27" s="359">
        <v>8</v>
      </c>
      <c r="B27" s="355">
        <v>1249</v>
      </c>
      <c r="C27" s="360">
        <v>25</v>
      </c>
      <c r="D27" s="360">
        <v>2</v>
      </c>
      <c r="E27" s="361">
        <v>0.81479999999999997</v>
      </c>
      <c r="F27" s="85" t="s">
        <v>267</v>
      </c>
      <c r="G27" s="362" t="s">
        <v>234</v>
      </c>
      <c r="H27" s="125">
        <f>IF(Hijuelas!$G$5="fracción",IF(F27="NO",0,IF(Hijuelas!$G$6="si",IF(D27=1,E27,E27*0.8),E27)),IF(F27="NO",0,IF(Hijuelas!$G$6="si",IF(D27=1,ROUNDUP(E27,0),ROUNDUP(E27*0.8,0)),ROUNDUP(E27,0))))</f>
        <v>0</v>
      </c>
      <c r="I27" s="123">
        <v>0</v>
      </c>
      <c r="J27" s="123">
        <f t="shared" si="1"/>
        <v>0</v>
      </c>
      <c r="K27" s="358">
        <f t="shared" si="3"/>
        <v>42974.735245367381</v>
      </c>
      <c r="L27" s="358">
        <f t="shared" si="4"/>
        <v>42974.735245367381</v>
      </c>
      <c r="M27" s="5"/>
      <c r="N27" s="5"/>
      <c r="O27" s="47" t="str">
        <f t="shared" si="2"/>
        <v>124925</v>
      </c>
      <c r="P27" s="112">
        <f>VLOOKUP(O27,deuda!A$1:H$551,4,0)</f>
        <v>1</v>
      </c>
      <c r="Q27" s="112">
        <f>VLOOKUP(O27,deuda!A$1:H$551,5,0)</f>
        <v>0</v>
      </c>
      <c r="R27" s="112" t="str">
        <f>IF(VLOOKUP(O27,deuda!A$1:H$551,6,0)=0,"",VLOOKUP(O27,deuda!A$1:H$551,6,0))</f>
        <v/>
      </c>
      <c r="S27" s="113" t="str">
        <f>IF((VLOOKUP(O27,deuda!A$1:H$551,7,0))=0,"",VLOOKUP(O27,deuda!A$1:H$551,7,0))</f>
        <v/>
      </c>
      <c r="T27" s="114" t="str">
        <f>IF((VLOOKUP(O27,deuda!A$1:H$551,8,0))=0,"",VLOOKUP(O27,deuda!A$1:H$551,8,0))</f>
        <v/>
      </c>
    </row>
    <row r="28" spans="1:20" ht="35.1" customHeight="1">
      <c r="A28" s="194">
        <v>9</v>
      </c>
      <c r="B28" s="355">
        <v>1249</v>
      </c>
      <c r="C28" s="363">
        <v>70</v>
      </c>
      <c r="D28" s="356">
        <v>1</v>
      </c>
      <c r="E28" s="330">
        <v>49.522799999999997</v>
      </c>
      <c r="F28" s="85" t="str">
        <f t="shared" si="0"/>
        <v>SI</v>
      </c>
      <c r="G28" s="399" t="s">
        <v>268</v>
      </c>
      <c r="H28" s="125">
        <f>IF(Hijuelas!$G$5="fracción",IF(F28="NO",0,IF(Hijuelas!$G$6="si",IF(D28=1,E28,E28*0.8),E28)),IF(F28="NO",0,IF(Hijuelas!$G$6="si",IF(D28=1,ROUNDUP(E28,0),ROUNDUP(E28*0.8,0)),ROUNDUP(E28,0))))</f>
        <v>49.522799999999997</v>
      </c>
      <c r="I28" s="123">
        <v>0</v>
      </c>
      <c r="J28" s="123">
        <f t="shared" si="1"/>
        <v>0.78539668430863463</v>
      </c>
      <c r="K28" s="358">
        <f t="shared" si="3"/>
        <v>42974.735245367381</v>
      </c>
      <c r="L28" s="358">
        <f t="shared" si="4"/>
        <v>42975.520642051692</v>
      </c>
      <c r="M28" s="5"/>
      <c r="N28" s="5"/>
      <c r="O28" s="47" t="str">
        <f t="shared" si="2"/>
        <v>124970</v>
      </c>
      <c r="P28" s="112">
        <f>VLOOKUP(O28,deuda!A$1:H$551,4,0)</f>
        <v>1</v>
      </c>
      <c r="Q28" s="112">
        <f>VLOOKUP(O28,deuda!A$1:H$551,5,0)</f>
        <v>0</v>
      </c>
      <c r="R28" s="112" t="str">
        <f>IF(VLOOKUP(O28,deuda!A$1:H$551,6,0)=0,"",VLOOKUP(O28,deuda!A$1:H$551,6,0))</f>
        <v/>
      </c>
      <c r="S28" s="113" t="str">
        <f>IF((VLOOKUP(O28,deuda!A$1:H$551,7,0))=0,"",VLOOKUP(O28,deuda!A$1:H$551,7,0))</f>
        <v/>
      </c>
      <c r="T28" s="114" t="str">
        <f>IF((VLOOKUP(O28,deuda!A$1:H$551,8,0))=0,"",VLOOKUP(O28,deuda!A$1:H$551,8,0))</f>
        <v/>
      </c>
    </row>
    <row r="29" spans="1:20" ht="35.1" customHeight="1">
      <c r="A29" s="194">
        <v>10</v>
      </c>
      <c r="B29" s="355">
        <v>1249</v>
      </c>
      <c r="C29" s="356">
        <v>3</v>
      </c>
      <c r="D29" s="356">
        <v>1</v>
      </c>
      <c r="E29" s="330">
        <v>24.761399999999998</v>
      </c>
      <c r="F29" s="85" t="str">
        <f t="shared" si="0"/>
        <v>SI</v>
      </c>
      <c r="G29" s="357" t="s">
        <v>269</v>
      </c>
      <c r="H29" s="125">
        <f>IF(Hijuelas!$G$5="fracción",IF(F29="NO",0,IF(Hijuelas!$G$6="si",IF(D29=1,E29,E29*0.8),E29)),IF(F29="NO",0,IF(Hijuelas!$G$6="si",IF(D29=1,ROUNDUP(E29,0),ROUNDUP(E29*0.8,0)),ROUNDUP(E29,0))))</f>
        <v>24.761399999999998</v>
      </c>
      <c r="I29" s="123">
        <v>0</v>
      </c>
      <c r="J29" s="123">
        <f t="shared" si="1"/>
        <v>0.39269834215431731</v>
      </c>
      <c r="K29" s="358">
        <f t="shared" si="3"/>
        <v>42975.520642051692</v>
      </c>
      <c r="L29" s="358">
        <f t="shared" si="4"/>
        <v>42975.913340393847</v>
      </c>
      <c r="M29" s="5"/>
      <c r="N29" s="5"/>
      <c r="O29" s="47" t="str">
        <f t="shared" si="2"/>
        <v>12493</v>
      </c>
      <c r="P29" s="112">
        <f>VLOOKUP(O29,deuda!A$1:H$551,4,0)</f>
        <v>1</v>
      </c>
      <c r="Q29" s="112">
        <f>VLOOKUP(O29,deuda!A$1:H$551,5,0)</f>
        <v>0</v>
      </c>
      <c r="R29" s="112" t="str">
        <f>IF(VLOOKUP(O29,deuda!A$1:H$551,6,0)=0,"",VLOOKUP(O29,deuda!A$1:H$551,6,0))</f>
        <v/>
      </c>
      <c r="S29" s="113" t="str">
        <f>IF((VLOOKUP(O29,deuda!A$1:H$551,7,0))=0,"",VLOOKUP(O29,deuda!A$1:H$551,7,0))</f>
        <v/>
      </c>
      <c r="T29" s="114" t="str">
        <f>IF((VLOOKUP(O29,deuda!A$1:H$551,8,0))=0,"",VLOOKUP(O29,deuda!A$1:H$551,8,0))</f>
        <v/>
      </c>
    </row>
    <row r="30" spans="1:20" ht="35.1" customHeight="1">
      <c r="A30" s="194">
        <v>10</v>
      </c>
      <c r="B30" s="355">
        <v>1249</v>
      </c>
      <c r="C30" s="356">
        <v>4</v>
      </c>
      <c r="D30" s="356">
        <v>2</v>
      </c>
      <c r="E30" s="330">
        <v>24.761299999999999</v>
      </c>
      <c r="F30" s="85" t="str">
        <f t="shared" si="0"/>
        <v>SI</v>
      </c>
      <c r="G30" s="357" t="s">
        <v>269</v>
      </c>
      <c r="H30" s="125">
        <f>IF(Hijuelas!$G$5="fracción",IF(F30="NO",0,IF(Hijuelas!$G$6="si",IF(D30=1,E30,E30*0.8),E30)),IF(F30="NO",0,IF(Hijuelas!$G$6="si",IF(D30=1,ROUNDUP(E30,0),ROUNDUP(E30*0.8,0)),ROUNDUP(E30,0))))</f>
        <v>19.80904</v>
      </c>
      <c r="I30" s="123">
        <v>0</v>
      </c>
      <c r="J30" s="123">
        <f t="shared" si="1"/>
        <v>0.31415740497987021</v>
      </c>
      <c r="K30" s="358">
        <f t="shared" si="3"/>
        <v>42975.913340393847</v>
      </c>
      <c r="L30" s="358">
        <f t="shared" si="4"/>
        <v>42976.227497798827</v>
      </c>
      <c r="M30" s="5"/>
      <c r="N30" s="5"/>
      <c r="O30" s="47" t="str">
        <f t="shared" si="2"/>
        <v>12494</v>
      </c>
      <c r="P30" s="112">
        <f>VLOOKUP(O30,deuda!A$1:H$551,4,0)</f>
        <v>1</v>
      </c>
      <c r="Q30" s="112">
        <f>VLOOKUP(O30,deuda!A$1:H$551,5,0)</f>
        <v>0</v>
      </c>
      <c r="R30" s="112" t="str">
        <f>IF(VLOOKUP(O30,deuda!A$1:H$551,6,0)=0,"",VLOOKUP(O30,deuda!A$1:H$551,6,0))</f>
        <v/>
      </c>
      <c r="S30" s="113" t="str">
        <f>IF((VLOOKUP(O30,deuda!A$1:H$551,7,0))=0,"",VLOOKUP(O30,deuda!A$1:H$551,7,0))</f>
        <v/>
      </c>
      <c r="T30" s="114" t="str">
        <f>IF((VLOOKUP(O30,deuda!A$1:H$551,8,0))=0,"",VLOOKUP(O30,deuda!A$1:H$551,8,0))</f>
        <v/>
      </c>
    </row>
    <row r="31" spans="1:20" ht="35.1" customHeight="1">
      <c r="A31" s="194">
        <v>11</v>
      </c>
      <c r="B31" s="355">
        <v>1249</v>
      </c>
      <c r="C31" s="356">
        <v>8</v>
      </c>
      <c r="D31" s="356">
        <v>2</v>
      </c>
      <c r="E31" s="330">
        <v>3.9632999999999998</v>
      </c>
      <c r="F31" s="85" t="str">
        <f t="shared" si="0"/>
        <v>SI</v>
      </c>
      <c r="G31" s="357" t="s">
        <v>270</v>
      </c>
      <c r="H31" s="125">
        <f>IF(Hijuelas!$G$5="fracción",IF(F31="NO",0,IF(Hijuelas!$G$6="si",IF(D31=1,E31,E31*0.8),E31)),IF(F31="NO",0,IF(Hijuelas!$G$6="si",IF(D31=1,ROUNDUP(E31,0),ROUNDUP(E31*0.8,0)),ROUNDUP(E31,0))))</f>
        <v>3.1706400000000001</v>
      </c>
      <c r="I31" s="123">
        <v>0</v>
      </c>
      <c r="J31" s="123">
        <f t="shared" si="1"/>
        <v>5.0284114451047385E-2</v>
      </c>
      <c r="K31" s="358">
        <f t="shared" si="3"/>
        <v>42976.227497798827</v>
      </c>
      <c r="L31" s="358">
        <f t="shared" si="4"/>
        <v>42976.277781913275</v>
      </c>
      <c r="M31" s="5"/>
      <c r="N31" s="5"/>
      <c r="O31" s="47" t="str">
        <f t="shared" si="2"/>
        <v>12498</v>
      </c>
      <c r="P31" s="112">
        <f>VLOOKUP(O31,deuda!A$1:H$551,4,0)</f>
        <v>1</v>
      </c>
      <c r="Q31" s="112">
        <f>VLOOKUP(O31,deuda!A$1:H$551,5,0)</f>
        <v>0</v>
      </c>
      <c r="R31" s="112" t="str">
        <f>IF(VLOOKUP(O31,deuda!A$1:H$551,6,0)=0,"",VLOOKUP(O31,deuda!A$1:H$551,6,0))</f>
        <v/>
      </c>
      <c r="S31" s="113" t="str">
        <f>IF((VLOOKUP(O31,deuda!A$1:H$551,7,0))=0,"",VLOOKUP(O31,deuda!A$1:H$551,7,0))</f>
        <v/>
      </c>
      <c r="T31" s="114" t="str">
        <f>IF((VLOOKUP(O31,deuda!A$1:H$551,8,0))=0,"",VLOOKUP(O31,deuda!A$1:H$551,8,0))</f>
        <v/>
      </c>
    </row>
    <row r="32" spans="1:20" ht="35.1" customHeight="1">
      <c r="A32" s="194">
        <v>11</v>
      </c>
      <c r="B32" s="355">
        <v>1249</v>
      </c>
      <c r="C32" s="356">
        <v>9</v>
      </c>
      <c r="D32" s="356">
        <v>1</v>
      </c>
      <c r="E32" s="330">
        <v>3.1669</v>
      </c>
      <c r="F32" s="85" t="str">
        <f t="shared" si="0"/>
        <v>SI</v>
      </c>
      <c r="G32" s="357" t="s">
        <v>270</v>
      </c>
      <c r="H32" s="125">
        <f>IF(Hijuelas!$G$5="fracción",IF(F32="NO",0,IF(Hijuelas!$G$6="si",IF(D32=1,E32,E32*0.8),E32)),IF(F32="NO",0,IF(Hijuelas!$G$6="si",IF(D32=1,ROUNDUP(E32,0),ROUNDUP(E32*0.8,0)),ROUNDUP(E32,0))))</f>
        <v>3.1669</v>
      </c>
      <c r="I32" s="123">
        <v>0</v>
      </c>
      <c r="J32" s="123">
        <f t="shared" si="1"/>
        <v>5.0224800688511456E-2</v>
      </c>
      <c r="K32" s="358">
        <f t="shared" si="3"/>
        <v>42976.277781913275</v>
      </c>
      <c r="L32" s="358">
        <f t="shared" si="4"/>
        <v>42976.328006713964</v>
      </c>
      <c r="M32" s="5"/>
      <c r="N32" s="5"/>
      <c r="O32" s="47" t="str">
        <f t="shared" si="2"/>
        <v>12499</v>
      </c>
      <c r="P32" s="112">
        <f>VLOOKUP(O32,deuda!A$1:H$551,4,0)</f>
        <v>1</v>
      </c>
      <c r="Q32" s="112">
        <f>VLOOKUP(O32,deuda!A$1:H$551,5,0)</f>
        <v>0</v>
      </c>
      <c r="R32" s="112" t="str">
        <f>IF(VLOOKUP(O32,deuda!A$1:H$551,6,0)=0,"",VLOOKUP(O32,deuda!A$1:H$551,6,0))</f>
        <v/>
      </c>
      <c r="S32" s="113" t="str">
        <f>IF((VLOOKUP(O32,deuda!A$1:H$551,7,0))=0,"",VLOOKUP(O32,deuda!A$1:H$551,7,0))</f>
        <v/>
      </c>
      <c r="T32" s="114" t="str">
        <f>IF((VLOOKUP(O32,deuda!A$1:H$551,8,0))=0,"",VLOOKUP(O32,deuda!A$1:H$551,8,0))</f>
        <v/>
      </c>
    </row>
    <row r="33" spans="1:20" ht="35.1" customHeight="1">
      <c r="A33" s="194">
        <v>11</v>
      </c>
      <c r="B33" s="355">
        <v>1249</v>
      </c>
      <c r="C33" s="363">
        <v>26</v>
      </c>
      <c r="D33" s="356">
        <v>2</v>
      </c>
      <c r="E33" s="330">
        <v>3.0604</v>
      </c>
      <c r="F33" s="85" t="str">
        <f t="shared" si="0"/>
        <v>SI</v>
      </c>
      <c r="G33" s="357" t="s">
        <v>270</v>
      </c>
      <c r="H33" s="125">
        <f>IF(Hijuelas!$G$5="fracción",IF(F33="NO",0,IF(Hijuelas!$G$6="si",IF(D33=1,E33,E33*0.8),E33)),IF(F33="NO",0,IF(Hijuelas!$G$6="si",IF(D33=1,ROUNDUP(E33,0),ROUNDUP(E33*0.8,0)),ROUNDUP(E33,0))))</f>
        <v>2.4483200000000003</v>
      </c>
      <c r="I33" s="123">
        <v>0</v>
      </c>
      <c r="J33" s="123">
        <f t="shared" si="1"/>
        <v>3.8828628634215281E-2</v>
      </c>
      <c r="K33" s="358">
        <f t="shared" si="3"/>
        <v>42976.328006713964</v>
      </c>
      <c r="L33" s="358">
        <f t="shared" si="4"/>
        <v>42976.366835342596</v>
      </c>
      <c r="M33" s="5"/>
      <c r="N33" s="5"/>
      <c r="O33" s="47" t="str">
        <f t="shared" si="2"/>
        <v>124926</v>
      </c>
      <c r="P33" s="112">
        <f>VLOOKUP(O33,deuda!A$1:H$551,4,0)</f>
        <v>1</v>
      </c>
      <c r="Q33" s="112">
        <f>VLOOKUP(O33,deuda!A$1:H$551,5,0)</f>
        <v>0</v>
      </c>
      <c r="R33" s="112" t="str">
        <f>IF(VLOOKUP(O33,deuda!A$1:H$551,6,0)=0,"",VLOOKUP(O33,deuda!A$1:H$551,6,0))</f>
        <v/>
      </c>
      <c r="S33" s="113" t="str">
        <f>IF((VLOOKUP(O33,deuda!A$1:H$551,7,0))=0,"",VLOOKUP(O33,deuda!A$1:H$551,7,0))</f>
        <v/>
      </c>
      <c r="T33" s="114" t="str">
        <f>IF((VLOOKUP(O33,deuda!A$1:H$551,8,0))=0,"",VLOOKUP(O33,deuda!A$1:H$551,8,0))</f>
        <v/>
      </c>
    </row>
    <row r="34" spans="1:20" ht="35.1" customHeight="1">
      <c r="A34" s="194">
        <v>11</v>
      </c>
      <c r="B34" s="355">
        <v>1249</v>
      </c>
      <c r="C34" s="356">
        <v>37</v>
      </c>
      <c r="D34" s="356">
        <v>2</v>
      </c>
      <c r="E34" s="330">
        <v>2.5101</v>
      </c>
      <c r="F34" s="85" t="str">
        <f t="shared" si="0"/>
        <v>NO</v>
      </c>
      <c r="G34" s="357" t="s">
        <v>270</v>
      </c>
      <c r="H34" s="125">
        <f>IF(Hijuelas!$G$5="fracción",IF(F34="NO",0,IF(Hijuelas!$G$6="si",IF(D34=1,E34,E34*0.8),E34)),IF(F34="NO",0,IF(Hijuelas!$G$6="si",IF(D34=1,ROUNDUP(E34,0),ROUNDUP(E34*0.8,0)),ROUNDUP(E34,0))))</f>
        <v>0</v>
      </c>
      <c r="I34" s="123">
        <v>0</v>
      </c>
      <c r="J34" s="123">
        <f t="shared" si="1"/>
        <v>0</v>
      </c>
      <c r="K34" s="358">
        <f t="shared" si="3"/>
        <v>42976.366835342596</v>
      </c>
      <c r="L34" s="358">
        <f t="shared" si="4"/>
        <v>42976.366835342596</v>
      </c>
      <c r="M34" s="5"/>
      <c r="N34" s="5"/>
      <c r="O34" s="47" t="str">
        <f t="shared" si="2"/>
        <v>124937</v>
      </c>
      <c r="P34" s="112">
        <f>VLOOKUP(O34,deuda!A$1:H$551,4,0)</f>
        <v>0</v>
      </c>
      <c r="Q34" s="112">
        <f>VLOOKUP(O34,deuda!A$1:H$551,5,0)</f>
        <v>4</v>
      </c>
      <c r="R34" s="112" t="str">
        <f>IF(VLOOKUP(O34,deuda!A$1:H$551,6,0)=0,"",VLOOKUP(O34,deuda!A$1:H$551,6,0))</f>
        <v/>
      </c>
      <c r="S34" s="113" t="str">
        <f>IF((VLOOKUP(O34,deuda!A$1:H$551,7,0))=0,"",VLOOKUP(O34,deuda!A$1:H$551,7,0))</f>
        <v/>
      </c>
      <c r="T34" s="114" t="str">
        <f>IF((VLOOKUP(O34,deuda!A$1:H$551,8,0))=0,"",VLOOKUP(O34,deuda!A$1:H$551,8,0))</f>
        <v/>
      </c>
    </row>
    <row r="35" spans="1:20" ht="35.1" customHeight="1">
      <c r="A35" s="194">
        <v>11</v>
      </c>
      <c r="B35" s="355">
        <v>1249</v>
      </c>
      <c r="C35" s="356">
        <v>39</v>
      </c>
      <c r="D35" s="356">
        <v>2</v>
      </c>
      <c r="E35" s="330">
        <v>4.7355</v>
      </c>
      <c r="F35" s="85" t="str">
        <f t="shared" si="0"/>
        <v>SI</v>
      </c>
      <c r="G35" s="357" t="s">
        <v>270</v>
      </c>
      <c r="H35" s="125">
        <f>IF(Hijuelas!$G$5="fracción",IF(F35="NO",0,IF(Hijuelas!$G$6="si",IF(D35=1,E35,E35*0.8),E35)),IF(F35="NO",0,IF(Hijuelas!$G$6="si",IF(D35=1,ROUNDUP(E35,0),ROUNDUP(E35*0.8,0)),ROUNDUP(E35,0))))</f>
        <v>3.7884000000000002</v>
      </c>
      <c r="I35" s="123">
        <v>0</v>
      </c>
      <c r="J35" s="123">
        <f t="shared" si="1"/>
        <v>6.0081352404040798E-2</v>
      </c>
      <c r="K35" s="358">
        <f t="shared" si="3"/>
        <v>42976.366835342596</v>
      </c>
      <c r="L35" s="358">
        <f t="shared" si="4"/>
        <v>42976.426916695003</v>
      </c>
      <c r="M35" s="5"/>
      <c r="N35" s="5"/>
      <c r="O35" s="47" t="str">
        <f t="shared" si="2"/>
        <v>124939</v>
      </c>
      <c r="P35" s="112">
        <f>VLOOKUP(O35,deuda!A$1:H$551,4,0)</f>
        <v>1</v>
      </c>
      <c r="Q35" s="112">
        <f>VLOOKUP(O35,deuda!A$1:H$551,5,0)</f>
        <v>0</v>
      </c>
      <c r="R35" s="112" t="str">
        <f>IF(VLOOKUP(O35,deuda!A$1:H$551,6,0)=0,"",VLOOKUP(O35,deuda!A$1:H$551,6,0))</f>
        <v/>
      </c>
      <c r="S35" s="113" t="str">
        <f>IF((VLOOKUP(O35,deuda!A$1:H$551,7,0))=0,"",VLOOKUP(O35,deuda!A$1:H$551,7,0))</f>
        <v/>
      </c>
      <c r="T35" s="114" t="str">
        <f>IF((VLOOKUP(O35,deuda!A$1:H$551,8,0))=0,"",VLOOKUP(O35,deuda!A$1:H$551,8,0))</f>
        <v/>
      </c>
    </row>
    <row r="36" spans="1:20" ht="35.1" customHeight="1">
      <c r="A36" s="194">
        <v>11</v>
      </c>
      <c r="B36" s="355">
        <v>1249</v>
      </c>
      <c r="C36" s="356">
        <v>51</v>
      </c>
      <c r="D36" s="356">
        <v>1</v>
      </c>
      <c r="E36" s="330">
        <v>3.4971000000000001</v>
      </c>
      <c r="F36" s="85" t="str">
        <f t="shared" si="0"/>
        <v>SI</v>
      </c>
      <c r="G36" s="357" t="s">
        <v>270</v>
      </c>
      <c r="H36" s="125">
        <f>IF(Hijuelas!$G$5="fracción",IF(F36="NO",0,IF(Hijuelas!$G$6="si",IF(D36=1,E36,E36*0.8),E36)),IF(F36="NO",0,IF(Hijuelas!$G$6="si",IF(D36=1,ROUNDUP(E36,0),ROUNDUP(E36*0.8,0)),ROUNDUP(E36,0))))</f>
        <v>3.4971000000000001</v>
      </c>
      <c r="I36" s="123">
        <v>0</v>
      </c>
      <c r="J36" s="123">
        <f t="shared" si="1"/>
        <v>5.5461539830052552E-2</v>
      </c>
      <c r="K36" s="358">
        <f t="shared" si="3"/>
        <v>42976.426916695003</v>
      </c>
      <c r="L36" s="358">
        <f t="shared" si="4"/>
        <v>42976.482378234832</v>
      </c>
      <c r="M36" s="5"/>
      <c r="N36" s="5"/>
      <c r="O36" s="47" t="str">
        <f t="shared" si="2"/>
        <v>124951</v>
      </c>
      <c r="P36" s="112">
        <f>VLOOKUP(O36,deuda!A$1:H$551,4,0)</f>
        <v>1</v>
      </c>
      <c r="Q36" s="112">
        <f>VLOOKUP(O36,deuda!A$1:H$551,5,0)</f>
        <v>0</v>
      </c>
      <c r="R36" s="112" t="str">
        <f>IF(VLOOKUP(O36,deuda!A$1:H$551,6,0)=0,"",VLOOKUP(O36,deuda!A$1:H$551,6,0))</f>
        <v/>
      </c>
      <c r="S36" s="113" t="str">
        <f>IF((VLOOKUP(O36,deuda!A$1:H$551,7,0))=0,"",VLOOKUP(O36,deuda!A$1:H$551,7,0))</f>
        <v/>
      </c>
      <c r="T36" s="114" t="str">
        <f>IF((VLOOKUP(O36,deuda!A$1:H$551,8,0))=0,"",VLOOKUP(O36,deuda!A$1:H$551,8,0))</f>
        <v/>
      </c>
    </row>
    <row r="37" spans="1:20" ht="35.1" customHeight="1">
      <c r="A37" s="194">
        <v>12</v>
      </c>
      <c r="B37" s="355">
        <v>1249</v>
      </c>
      <c r="C37" s="356">
        <v>29</v>
      </c>
      <c r="D37" s="356">
        <v>2</v>
      </c>
      <c r="E37" s="330">
        <v>1.956</v>
      </c>
      <c r="F37" s="85" t="str">
        <f t="shared" si="0"/>
        <v>SI</v>
      </c>
      <c r="G37" s="357" t="s">
        <v>271</v>
      </c>
      <c r="H37" s="125">
        <f>IF(Hijuelas!$G$5="fracción",IF(F37="NO",0,IF(Hijuelas!$G$6="si",IF(D37=1,E37,E37*0.8),E37)),IF(F37="NO",0,IF(Hijuelas!$G$6="si",IF(D37=1,ROUNDUP(E37,0),ROUNDUP(E37*0.8,0)),ROUNDUP(E37,0))))</f>
        <v>1.5648</v>
      </c>
      <c r="I37" s="123">
        <v>0</v>
      </c>
      <c r="J37" s="123">
        <f t="shared" si="1"/>
        <v>2.4816624496315869E-2</v>
      </c>
      <c r="K37" s="358">
        <f t="shared" si="3"/>
        <v>42976.482378234832</v>
      </c>
      <c r="L37" s="358">
        <f t="shared" si="4"/>
        <v>42976.507194859325</v>
      </c>
      <c r="M37" s="5"/>
      <c r="N37" s="5"/>
      <c r="O37" s="47" t="str">
        <f t="shared" si="2"/>
        <v>124929</v>
      </c>
      <c r="P37" s="112">
        <f>VLOOKUP(O37,deuda!A$1:H$551,4,0)</f>
        <v>1</v>
      </c>
      <c r="Q37" s="112">
        <f>VLOOKUP(O37,deuda!A$1:H$551,5,0)</f>
        <v>0</v>
      </c>
      <c r="R37" s="112" t="str">
        <f>IF(VLOOKUP(O37,deuda!A$1:H$551,6,0)=0,"",VLOOKUP(O37,deuda!A$1:H$551,6,0))</f>
        <v/>
      </c>
      <c r="S37" s="113" t="str">
        <f>IF((VLOOKUP(O37,deuda!A$1:H$551,7,0))=0,"",VLOOKUP(O37,deuda!A$1:H$551,7,0))</f>
        <v/>
      </c>
      <c r="T37" s="114" t="str">
        <f>IF((VLOOKUP(O37,deuda!A$1:H$551,8,0))=0,"",VLOOKUP(O37,deuda!A$1:H$551,8,0))</f>
        <v/>
      </c>
    </row>
    <row r="38" spans="1:20" ht="35.1" customHeight="1">
      <c r="A38" s="194">
        <v>12</v>
      </c>
      <c r="B38" s="355">
        <v>1249</v>
      </c>
      <c r="C38" s="356">
        <v>43</v>
      </c>
      <c r="D38" s="356">
        <v>1</v>
      </c>
      <c r="E38" s="330">
        <v>2.2825000000000002</v>
      </c>
      <c r="F38" s="85" t="str">
        <f t="shared" si="0"/>
        <v>SI</v>
      </c>
      <c r="G38" s="357" t="s">
        <v>271</v>
      </c>
      <c r="H38" s="125">
        <f>IF(Hijuelas!$G$5="fracción",IF(F38="NO",0,IF(Hijuelas!$G$6="si",IF(D38=1,E38,E38*0.8),E38)),IF(F38="NO",0,IF(Hijuelas!$G$6="si",IF(D38=1,ROUNDUP(E38,0),ROUNDUP(E38*0.8,0)),ROUNDUP(E38,0))))</f>
        <v>2.2825000000000002</v>
      </c>
      <c r="I38" s="123">
        <v>0</v>
      </c>
      <c r="J38" s="123">
        <f t="shared" si="1"/>
        <v>3.619884037119183E-2</v>
      </c>
      <c r="K38" s="358">
        <f t="shared" si="3"/>
        <v>42976.507194859325</v>
      </c>
      <c r="L38" s="358">
        <f t="shared" si="4"/>
        <v>42976.5433936997</v>
      </c>
      <c r="M38" s="5"/>
      <c r="N38" s="5"/>
      <c r="O38" s="47" t="str">
        <f t="shared" si="2"/>
        <v>124943</v>
      </c>
      <c r="P38" s="112">
        <f>VLOOKUP(O38,deuda!A$1:H$551,4,0)</f>
        <v>1</v>
      </c>
      <c r="Q38" s="112">
        <f>VLOOKUP(O38,deuda!A$1:H$551,5,0)</f>
        <v>0</v>
      </c>
      <c r="R38" s="112" t="str">
        <f>IF(VLOOKUP(O38,deuda!A$1:H$551,6,0)=0,"",VLOOKUP(O38,deuda!A$1:H$551,6,0))</f>
        <v/>
      </c>
      <c r="S38" s="113" t="str">
        <f>IF((VLOOKUP(O38,deuda!A$1:H$551,7,0))=0,"",VLOOKUP(O38,deuda!A$1:H$551,7,0))</f>
        <v/>
      </c>
      <c r="T38" s="114" t="str">
        <f>IF((VLOOKUP(O38,deuda!A$1:H$551,8,0))=0,"",VLOOKUP(O38,deuda!A$1:H$551,8,0))</f>
        <v/>
      </c>
    </row>
    <row r="39" spans="1:20" ht="35.1" customHeight="1">
      <c r="A39" s="194">
        <v>12</v>
      </c>
      <c r="B39" s="355">
        <v>1249</v>
      </c>
      <c r="C39" s="356">
        <v>65</v>
      </c>
      <c r="D39" s="356">
        <v>1</v>
      </c>
      <c r="E39" s="330">
        <v>2.4916</v>
      </c>
      <c r="F39" s="85" t="str">
        <f t="shared" si="0"/>
        <v>SI</v>
      </c>
      <c r="G39" s="357" t="s">
        <v>271</v>
      </c>
      <c r="H39" s="125">
        <f>IF(Hijuelas!$G$5="fracción",IF(F39="NO",0,IF(Hijuelas!$G$6="si",IF(D39=1,E39,E39*0.8),E39)),IF(F39="NO",0,IF(Hijuelas!$G$6="si",IF(D39=1,ROUNDUP(E39,0),ROUNDUP(E39*0.8,0)),ROUNDUP(E39,0))))</f>
        <v>2.4916</v>
      </c>
      <c r="I39" s="123">
        <v>0</v>
      </c>
      <c r="J39" s="123">
        <f t="shared" si="1"/>
        <v>3.95150189129733E-2</v>
      </c>
      <c r="K39" s="358">
        <f t="shared" si="3"/>
        <v>42976.5433936997</v>
      </c>
      <c r="L39" s="358">
        <f t="shared" si="4"/>
        <v>42976.582908718614</v>
      </c>
      <c r="M39" s="5"/>
      <c r="N39" s="5"/>
      <c r="O39" s="47" t="str">
        <f t="shared" si="2"/>
        <v>124965</v>
      </c>
      <c r="P39" s="112">
        <f>VLOOKUP(O39,deuda!A$1:H$551,4,0)</f>
        <v>1</v>
      </c>
      <c r="Q39" s="112">
        <f>VLOOKUP(O39,deuda!A$1:H$551,5,0)</f>
        <v>0</v>
      </c>
      <c r="R39" s="112" t="str">
        <f>IF(VLOOKUP(O39,deuda!A$1:H$551,6,0)=0,"",VLOOKUP(O39,deuda!A$1:H$551,6,0))</f>
        <v/>
      </c>
      <c r="S39" s="113" t="str">
        <f>IF((VLOOKUP(O39,deuda!A$1:H$551,7,0))=0,"",VLOOKUP(O39,deuda!A$1:H$551,7,0))</f>
        <v/>
      </c>
      <c r="T39" s="114" t="str">
        <f>IF((VLOOKUP(O39,deuda!A$1:H$551,8,0))=0,"",VLOOKUP(O39,deuda!A$1:H$551,8,0))</f>
        <v/>
      </c>
    </row>
    <row r="40" spans="1:20" ht="35.1" customHeight="1">
      <c r="A40" s="194">
        <v>12</v>
      </c>
      <c r="B40" s="355">
        <v>1249</v>
      </c>
      <c r="C40" s="356">
        <v>66</v>
      </c>
      <c r="D40" s="356">
        <v>2</v>
      </c>
      <c r="E40" s="330">
        <v>2.6825000000000001</v>
      </c>
      <c r="F40" s="85" t="str">
        <f t="shared" si="0"/>
        <v>SI</v>
      </c>
      <c r="G40" s="357" t="s">
        <v>271</v>
      </c>
      <c r="H40" s="125">
        <f>IF(Hijuelas!$G$5="fracción",IF(F40="NO",0,IF(Hijuelas!$G$6="si",IF(D40=1,E40,E40*0.8),E40)),IF(F40="NO",0,IF(Hijuelas!$G$6="si",IF(D40=1,ROUNDUP(E40,0),ROUNDUP(E40*0.8,0)),ROUNDUP(E40,0))))</f>
        <v>2.1460000000000004</v>
      </c>
      <c r="I40" s="123">
        <v>0</v>
      </c>
      <c r="J40" s="123">
        <f t="shared" si="1"/>
        <v>3.4034046631578392E-2</v>
      </c>
      <c r="K40" s="358">
        <f t="shared" si="3"/>
        <v>42976.582908718614</v>
      </c>
      <c r="L40" s="358">
        <f t="shared" si="4"/>
        <v>42976.616942765242</v>
      </c>
      <c r="M40" s="5"/>
      <c r="N40" s="5"/>
      <c r="O40" s="47" t="str">
        <f t="shared" si="2"/>
        <v>124966</v>
      </c>
      <c r="P40" s="112">
        <f>VLOOKUP(O40,deuda!A$1:H$551,4,0)</f>
        <v>1</v>
      </c>
      <c r="Q40" s="112">
        <f>VLOOKUP(O40,deuda!A$1:H$551,5,0)</f>
        <v>0</v>
      </c>
      <c r="R40" s="112" t="str">
        <f>IF(VLOOKUP(O40,deuda!A$1:H$551,6,0)=0,"",VLOOKUP(O40,deuda!A$1:H$551,6,0))</f>
        <v/>
      </c>
      <c r="S40" s="113" t="str">
        <f>IF((VLOOKUP(O40,deuda!A$1:H$551,7,0))=0,"",VLOOKUP(O40,deuda!A$1:H$551,7,0))</f>
        <v/>
      </c>
      <c r="T40" s="114" t="str">
        <f>IF((VLOOKUP(O40,deuda!A$1:H$551,8,0))=0,"",VLOOKUP(O40,deuda!A$1:H$551,8,0))</f>
        <v/>
      </c>
    </row>
    <row r="41" spans="1:20" ht="35.1" customHeight="1">
      <c r="A41" s="194">
        <v>12</v>
      </c>
      <c r="B41" s="355">
        <v>1249</v>
      </c>
      <c r="C41" s="356">
        <v>67</v>
      </c>
      <c r="D41" s="356">
        <v>2</v>
      </c>
      <c r="E41" s="330">
        <v>1.9248000000000001</v>
      </c>
      <c r="F41" s="85" t="str">
        <f t="shared" si="0"/>
        <v>SI</v>
      </c>
      <c r="G41" s="357" t="s">
        <v>271</v>
      </c>
      <c r="H41" s="125">
        <f>IF(Hijuelas!$G$5="fracción",IF(F41="NO",0,IF(Hijuelas!$G$6="si",IF(D41=1,E41,E41*0.8),E41)),IF(F41="NO",0,IF(Hijuelas!$G$6="si",IF(D41=1,ROUNDUP(E41,0),ROUNDUP(E41*0.8,0)),ROUNDUP(E41,0))))</f>
        <v>1.5398400000000001</v>
      </c>
      <c r="I41" s="123">
        <v>0</v>
      </c>
      <c r="J41" s="123">
        <f t="shared" si="1"/>
        <v>2.4420776498215127E-2</v>
      </c>
      <c r="K41" s="358">
        <f t="shared" si="3"/>
        <v>42976.616942765242</v>
      </c>
      <c r="L41" s="358">
        <f t="shared" si="4"/>
        <v>42976.641363541741</v>
      </c>
      <c r="M41" s="5"/>
      <c r="N41" s="5"/>
      <c r="O41" s="47" t="str">
        <f t="shared" si="2"/>
        <v>124967</v>
      </c>
      <c r="P41" s="112">
        <f>VLOOKUP(O41,deuda!A$1:H$551,4,0)</f>
        <v>1</v>
      </c>
      <c r="Q41" s="112">
        <f>VLOOKUP(O41,deuda!A$1:H$551,5,0)</f>
        <v>0</v>
      </c>
      <c r="R41" s="112" t="str">
        <f>IF(VLOOKUP(O41,deuda!A$1:H$551,6,0)=0,"",VLOOKUP(O41,deuda!A$1:H$551,6,0))</f>
        <v/>
      </c>
      <c r="S41" s="113" t="str">
        <f>IF((VLOOKUP(O41,deuda!A$1:H$551,7,0))=0,"",VLOOKUP(O41,deuda!A$1:H$551,7,0))</f>
        <v/>
      </c>
      <c r="T41" s="114" t="str">
        <f>IF((VLOOKUP(O41,deuda!A$1:H$551,8,0))=0,"",VLOOKUP(O41,deuda!A$1:H$551,8,0))</f>
        <v/>
      </c>
    </row>
    <row r="42" spans="1:20" ht="35.1" customHeight="1">
      <c r="A42" s="228">
        <v>12</v>
      </c>
      <c r="B42" s="566">
        <v>1249</v>
      </c>
      <c r="C42" s="567">
        <v>68</v>
      </c>
      <c r="D42" s="567">
        <v>2</v>
      </c>
      <c r="E42" s="540">
        <v>3.0537000000000001</v>
      </c>
      <c r="F42" s="85" t="str">
        <f t="shared" si="0"/>
        <v>SI</v>
      </c>
      <c r="G42" s="568" t="s">
        <v>271</v>
      </c>
      <c r="H42" s="125">
        <f>IF(Hijuelas!$G$5="fracción",IF(F42="NO",0,IF(Hijuelas!$G$6="si",IF(D42=1,E42,E42*0.8),E42)),IF(F42="NO",0,IF(Hijuelas!$G$6="si",IF(D42=1,ROUNDUP(E42,0),ROUNDUP(E42*0.8,0)),ROUNDUP(E42,0))))</f>
        <v>2.4429600000000002</v>
      </c>
      <c r="I42" s="569">
        <v>0</v>
      </c>
      <c r="J42" s="569">
        <f t="shared" si="1"/>
        <v>3.8743622814110312E-2</v>
      </c>
      <c r="K42" s="358">
        <f t="shared" si="3"/>
        <v>42976.641363541741</v>
      </c>
      <c r="L42" s="358">
        <f t="shared" si="4"/>
        <v>42976.680107164553</v>
      </c>
      <c r="M42" s="83"/>
      <c r="N42" s="83"/>
      <c r="O42" s="47" t="str">
        <f t="shared" si="2"/>
        <v>124968</v>
      </c>
      <c r="P42" s="112">
        <f>VLOOKUP(O42,deuda!A$1:H$551,4,0)</f>
        <v>1</v>
      </c>
      <c r="Q42" s="112">
        <f>VLOOKUP(O42,deuda!A$1:H$551,5,0)</f>
        <v>0</v>
      </c>
      <c r="R42" s="112" t="str">
        <f>IF(VLOOKUP(O42,deuda!A$1:H$551,6,0)=0,"",VLOOKUP(O42,deuda!A$1:H$551,6,0))</f>
        <v/>
      </c>
      <c r="S42" s="113" t="str">
        <f>IF((VLOOKUP(O42,deuda!A$1:H$551,7,0))=0,"",VLOOKUP(O42,deuda!A$1:H$551,7,0))</f>
        <v/>
      </c>
      <c r="T42" s="114" t="str">
        <f>IF((VLOOKUP(O42,deuda!A$1:H$551,8,0))=0,"",VLOOKUP(O42,deuda!A$1:H$551,8,0))</f>
        <v/>
      </c>
    </row>
    <row r="43" spans="1:20" s="447" customFormat="1" ht="35.1" customHeight="1">
      <c r="A43" s="194">
        <v>12</v>
      </c>
      <c r="B43" s="355">
        <v>1249</v>
      </c>
      <c r="C43" s="356">
        <v>28</v>
      </c>
      <c r="D43" s="356">
        <v>2</v>
      </c>
      <c r="E43" s="330">
        <v>1.5489999999999999</v>
      </c>
      <c r="F43" s="85" t="str">
        <f t="shared" si="0"/>
        <v>SI</v>
      </c>
      <c r="G43" s="357" t="s">
        <v>272</v>
      </c>
      <c r="H43" s="125">
        <f>IF(Hijuelas!$G$5="fracción",IF(F43="NO",0,IF(Hijuelas!$G$6="si",IF(D43=1,E43,E43*0.8),E43)),IF(F43="NO",0,IF(Hijuelas!$G$6="si",IF(D43=1,ROUNDUP(E43,0),ROUNDUP(E43*0.8,0)),ROUNDUP(E43,0))))</f>
        <v>1.2392000000000001</v>
      </c>
      <c r="I43" s="119">
        <v>4.1666666666666664E-2</v>
      </c>
      <c r="J43" s="119">
        <f t="shared" si="1"/>
        <v>1.9652838110835014E-2</v>
      </c>
      <c r="K43" s="358">
        <f t="shared" si="3"/>
        <v>42976.680107164553</v>
      </c>
      <c r="L43" s="358">
        <f t="shared" si="4"/>
        <v>42976.74142666933</v>
      </c>
      <c r="M43" s="5"/>
      <c r="N43" s="5"/>
      <c r="O43" s="47" t="str">
        <f t="shared" si="2"/>
        <v>124928</v>
      </c>
      <c r="P43" s="112">
        <f>VLOOKUP(O43,deuda!A$1:H$551,4,0)</f>
        <v>1</v>
      </c>
      <c r="Q43" s="112">
        <f>VLOOKUP(O43,deuda!A$1:H$551,5,0)</f>
        <v>1</v>
      </c>
      <c r="R43" s="112" t="str">
        <f>IF(VLOOKUP(O43,deuda!A$1:H$551,6,0)=0,"",VLOOKUP(O43,deuda!A$1:H$551,6,0))</f>
        <v/>
      </c>
      <c r="S43" s="113" t="str">
        <f>IF((VLOOKUP(O43,deuda!A$1:H$551,7,0))=0,"",VLOOKUP(O43,deuda!A$1:H$551,7,0))</f>
        <v/>
      </c>
      <c r="T43" s="114" t="str">
        <f>IF((VLOOKUP(O43,deuda!A$1:H$551,8,0))=0,"",VLOOKUP(O43,deuda!A$1:H$551,8,0))</f>
        <v/>
      </c>
    </row>
    <row r="44" spans="1:20" ht="35.1" customHeight="1">
      <c r="A44" s="570">
        <v>12</v>
      </c>
      <c r="B44" s="571">
        <v>1249</v>
      </c>
      <c r="C44" s="572">
        <v>42</v>
      </c>
      <c r="D44" s="572">
        <v>1</v>
      </c>
      <c r="E44" s="573">
        <v>1.7194</v>
      </c>
      <c r="F44" s="85" t="str">
        <f t="shared" si="0"/>
        <v>SI</v>
      </c>
      <c r="G44" s="574" t="s">
        <v>272</v>
      </c>
      <c r="H44" s="125">
        <f>IF(Hijuelas!$G$5="fracción",IF(F44="NO",0,IF(Hijuelas!$G$6="si",IF(D44=1,E44,E44*0.8),E44)),IF(F44="NO",0,IF(Hijuelas!$G$6="si",IF(D44=1,ROUNDUP(E44,0),ROUNDUP(E44*0.8,0)),ROUNDUP(E44,0))))</f>
        <v>1.7194</v>
      </c>
      <c r="I44" s="123">
        <v>0</v>
      </c>
      <c r="J44" s="123">
        <f t="shared" si="1"/>
        <v>2.7268471471731535E-2</v>
      </c>
      <c r="K44" s="358">
        <f t="shared" si="3"/>
        <v>42976.74142666933</v>
      </c>
      <c r="L44" s="358">
        <f t="shared" si="4"/>
        <v>42976.768695140803</v>
      </c>
      <c r="M44" s="47"/>
      <c r="N44" s="47"/>
      <c r="O44" s="47" t="str">
        <f t="shared" si="2"/>
        <v>124942</v>
      </c>
      <c r="P44" s="112">
        <f>VLOOKUP(O44,deuda!A$1:H$551,4,0)</f>
        <v>1</v>
      </c>
      <c r="Q44" s="112">
        <f>VLOOKUP(O44,deuda!A$1:H$551,5,0)</f>
        <v>1</v>
      </c>
      <c r="R44" s="112" t="str">
        <f>IF(VLOOKUP(O44,deuda!A$1:H$551,6,0)=0,"",VLOOKUP(O44,deuda!A$1:H$551,6,0))</f>
        <v/>
      </c>
      <c r="S44" s="113" t="str">
        <f>IF((VLOOKUP(O44,deuda!A$1:H$551,7,0))=0,"",VLOOKUP(O44,deuda!A$1:H$551,7,0))</f>
        <v/>
      </c>
      <c r="T44" s="114" t="str">
        <f>IF((VLOOKUP(O44,deuda!A$1:H$551,8,0))=0,"",VLOOKUP(O44,deuda!A$1:H$551,8,0))</f>
        <v/>
      </c>
    </row>
    <row r="45" spans="1:20" ht="35.1" customHeight="1">
      <c r="A45" s="194">
        <v>12</v>
      </c>
      <c r="B45" s="355">
        <v>1249</v>
      </c>
      <c r="C45" s="356">
        <v>36</v>
      </c>
      <c r="D45" s="356">
        <v>2</v>
      </c>
      <c r="E45" s="330">
        <v>1.6273</v>
      </c>
      <c r="F45" s="85" t="str">
        <f t="shared" si="0"/>
        <v>SI</v>
      </c>
      <c r="G45" s="357" t="s">
        <v>272</v>
      </c>
      <c r="H45" s="125">
        <f>IF(Hijuelas!$G$5="fracción",IF(F45="NO",0,IF(Hijuelas!$G$6="si",IF(D45=1,E45,E45*0.8),E45)),IF(F45="NO",0,IF(Hijuelas!$G$6="si",IF(D45=1,ROUNDUP(E45,0),ROUNDUP(E45*0.8,0)),ROUNDUP(E45,0))))</f>
        <v>1.3018400000000001</v>
      </c>
      <c r="I45" s="123">
        <v>0</v>
      </c>
      <c r="J45" s="123">
        <f t="shared" si="1"/>
        <v>2.064626433683784E-2</v>
      </c>
      <c r="K45" s="358">
        <f t="shared" si="3"/>
        <v>42976.768695140803</v>
      </c>
      <c r="L45" s="358">
        <f t="shared" si="4"/>
        <v>42976.789341405143</v>
      </c>
      <c r="M45" s="5"/>
      <c r="N45" s="5"/>
      <c r="O45" s="47" t="str">
        <f t="shared" si="2"/>
        <v>124936</v>
      </c>
      <c r="P45" s="112">
        <f>VLOOKUP(O45,deuda!A$1:H$551,4,0)</f>
        <v>1</v>
      </c>
      <c r="Q45" s="112">
        <f>VLOOKUP(O45,deuda!A$1:H$551,5,0)</f>
        <v>1</v>
      </c>
      <c r="R45" s="112" t="str">
        <f>IF(VLOOKUP(O45,deuda!A$1:H$551,6,0)=0,"",VLOOKUP(O45,deuda!A$1:H$551,6,0))</f>
        <v/>
      </c>
      <c r="S45" s="113" t="str">
        <f>IF((VLOOKUP(O45,deuda!A$1:H$551,7,0))=0,"",VLOOKUP(O45,deuda!A$1:H$551,7,0))</f>
        <v/>
      </c>
      <c r="T45" s="114" t="str">
        <f>IF((VLOOKUP(O45,deuda!A$1:H$551,8,0))=0,"",VLOOKUP(O45,deuda!A$1:H$551,8,0))</f>
        <v/>
      </c>
    </row>
    <row r="46" spans="1:20" ht="35.1" customHeight="1">
      <c r="A46" s="194">
        <v>12</v>
      </c>
      <c r="B46" s="355">
        <v>1249</v>
      </c>
      <c r="C46" s="356">
        <v>55</v>
      </c>
      <c r="D46" s="356">
        <v>2</v>
      </c>
      <c r="E46" s="330">
        <v>2.1084999999999998</v>
      </c>
      <c r="F46" s="85" t="str">
        <f t="shared" si="0"/>
        <v>SI</v>
      </c>
      <c r="G46" s="357" t="s">
        <v>272</v>
      </c>
      <c r="H46" s="125">
        <f>IF(Hijuelas!$G$5="fracción",IF(F46="NO",0,IF(Hijuelas!$G$6="si",IF(D46=1,E46,E46*0.8),E46)),IF(F46="NO",0,IF(Hijuelas!$G$6="si",IF(D46=1,ROUNDUP(E46,0),ROUNDUP(E46*0.8,0)),ROUNDUP(E46,0))))</f>
        <v>1.6867999999999999</v>
      </c>
      <c r="I46" s="123">
        <v>0</v>
      </c>
      <c r="J46" s="123">
        <f t="shared" si="1"/>
        <v>2.6751458461391618E-2</v>
      </c>
      <c r="K46" s="358">
        <f t="shared" si="3"/>
        <v>42976.789341405143</v>
      </c>
      <c r="L46" s="358">
        <f t="shared" si="4"/>
        <v>42976.816092863606</v>
      </c>
      <c r="M46" s="5"/>
      <c r="N46" s="5"/>
      <c r="O46" s="47" t="str">
        <f t="shared" si="2"/>
        <v>124955</v>
      </c>
      <c r="P46" s="112">
        <f>VLOOKUP(O46,deuda!A$1:H$551,4,0)</f>
        <v>1</v>
      </c>
      <c r="Q46" s="112">
        <f>VLOOKUP(O46,deuda!A$1:H$551,5,0)</f>
        <v>1</v>
      </c>
      <c r="R46" s="112" t="str">
        <f>IF(VLOOKUP(O46,deuda!A$1:H$551,6,0)=0,"",VLOOKUP(O46,deuda!A$1:H$551,6,0))</f>
        <v/>
      </c>
      <c r="S46" s="113" t="str">
        <f>IF((VLOOKUP(O46,deuda!A$1:H$551,7,0))=0,"",VLOOKUP(O46,deuda!A$1:H$551,7,0))</f>
        <v/>
      </c>
      <c r="T46" s="114" t="str">
        <f>IF((VLOOKUP(O46,deuda!A$1:H$551,8,0))=0,"",VLOOKUP(O46,deuda!A$1:H$551,8,0))</f>
        <v/>
      </c>
    </row>
    <row r="47" spans="1:20" ht="35.1" customHeight="1">
      <c r="A47" s="194">
        <v>12</v>
      </c>
      <c r="B47" s="355">
        <v>1249</v>
      </c>
      <c r="C47" s="356">
        <v>57</v>
      </c>
      <c r="D47" s="356">
        <v>2</v>
      </c>
      <c r="E47" s="330">
        <v>2.4230999999999998</v>
      </c>
      <c r="F47" s="85" t="str">
        <f t="shared" si="0"/>
        <v>SI</v>
      </c>
      <c r="G47" s="357" t="s">
        <v>272</v>
      </c>
      <c r="H47" s="125">
        <f>IF(Hijuelas!$G$5="fracción",IF(F47="NO",0,IF(Hijuelas!$G$6="si",IF(D47=1,E47,E47*0.8),E47)),IF(F47="NO",0,IF(Hijuelas!$G$6="si",IF(D47=1,ROUNDUP(E47,0),ROUNDUP(E47*0.8,0)),ROUNDUP(E47,0))))</f>
        <v>1.93848</v>
      </c>
      <c r="I47" s="123">
        <v>0</v>
      </c>
      <c r="J47" s="123">
        <f t="shared" si="1"/>
        <v>3.0742925775574123E-2</v>
      </c>
      <c r="K47" s="358">
        <f t="shared" si="3"/>
        <v>42976.816092863606</v>
      </c>
      <c r="L47" s="358">
        <f t="shared" si="4"/>
        <v>42976.84683578938</v>
      </c>
      <c r="M47" s="5"/>
      <c r="N47" s="5"/>
      <c r="O47" s="47" t="str">
        <f t="shared" si="2"/>
        <v>124957</v>
      </c>
      <c r="P47" s="112">
        <f>VLOOKUP(O47,deuda!A$1:H$551,4,0)</f>
        <v>1</v>
      </c>
      <c r="Q47" s="112">
        <f>VLOOKUP(O47,deuda!A$1:H$551,5,0)</f>
        <v>1</v>
      </c>
      <c r="R47" s="112" t="str">
        <f>IF(VLOOKUP(O47,deuda!A$1:H$551,6,0)=0,"",VLOOKUP(O47,deuda!A$1:H$551,6,0))</f>
        <v/>
      </c>
      <c r="S47" s="113" t="str">
        <f>IF((VLOOKUP(O47,deuda!A$1:H$551,7,0))=0,"",VLOOKUP(O47,deuda!A$1:H$551,7,0))</f>
        <v/>
      </c>
      <c r="T47" s="114" t="str">
        <f>IF((VLOOKUP(O47,deuda!A$1:H$551,8,0))=0,"",VLOOKUP(O47,deuda!A$1:H$551,8,0))</f>
        <v/>
      </c>
    </row>
    <row r="48" spans="1:20" ht="35.1" customHeight="1">
      <c r="A48" s="194">
        <v>12</v>
      </c>
      <c r="B48" s="355">
        <v>1249</v>
      </c>
      <c r="C48" s="356">
        <v>58</v>
      </c>
      <c r="D48" s="356">
        <v>2</v>
      </c>
      <c r="E48" s="330">
        <v>2.4097</v>
      </c>
      <c r="F48" s="85" t="str">
        <f t="shared" si="0"/>
        <v>SI</v>
      </c>
      <c r="G48" s="357" t="s">
        <v>272</v>
      </c>
      <c r="H48" s="125">
        <f>IF(Hijuelas!$G$5="fracción",IF(F48="NO",0,IF(Hijuelas!$G$6="si",IF(D48=1,E48,E48*0.8),E48)),IF(F48="NO",0,IF(Hijuelas!$G$6="si",IF(D48=1,ROUNDUP(E48,0),ROUNDUP(E48*0.8,0)),ROUNDUP(E48,0))))</f>
        <v>1.9277600000000001</v>
      </c>
      <c r="I48" s="123">
        <v>0</v>
      </c>
      <c r="J48" s="123">
        <f t="shared" si="1"/>
        <v>3.0572914135364188E-2</v>
      </c>
      <c r="K48" s="358">
        <f t="shared" si="3"/>
        <v>42976.84683578938</v>
      </c>
      <c r="L48" s="358">
        <f t="shared" si="4"/>
        <v>42976.877408703513</v>
      </c>
      <c r="M48" s="5"/>
      <c r="N48" s="5"/>
      <c r="O48" s="47" t="str">
        <f t="shared" si="2"/>
        <v>124958</v>
      </c>
      <c r="P48" s="112">
        <f>VLOOKUP(O48,deuda!A$1:H$551,4,0)</f>
        <v>1</v>
      </c>
      <c r="Q48" s="112">
        <f>VLOOKUP(O48,deuda!A$1:H$551,5,0)</f>
        <v>1</v>
      </c>
      <c r="R48" s="112" t="str">
        <f>IF(VLOOKUP(O48,deuda!A$1:H$551,6,0)=0,"",VLOOKUP(O48,deuda!A$1:H$551,6,0))</f>
        <v/>
      </c>
      <c r="S48" s="113" t="str">
        <f>IF((VLOOKUP(O48,deuda!A$1:H$551,7,0))=0,"",VLOOKUP(O48,deuda!A$1:H$551,7,0))</f>
        <v/>
      </c>
      <c r="T48" s="114" t="str">
        <f>IF((VLOOKUP(O48,deuda!A$1:H$551,8,0))=0,"",VLOOKUP(O48,deuda!A$1:H$551,8,0))</f>
        <v/>
      </c>
    </row>
    <row r="49" spans="1:20" ht="35.1" customHeight="1">
      <c r="A49" s="194">
        <v>12</v>
      </c>
      <c r="B49" s="355">
        <v>1249</v>
      </c>
      <c r="C49" s="356">
        <v>59</v>
      </c>
      <c r="D49" s="356">
        <v>2</v>
      </c>
      <c r="E49" s="330">
        <v>2.2633999999999999</v>
      </c>
      <c r="F49" s="85" t="str">
        <f t="shared" si="0"/>
        <v>SI</v>
      </c>
      <c r="G49" s="357" t="s">
        <v>272</v>
      </c>
      <c r="H49" s="125">
        <f>IF(Hijuelas!$G$5="fracción",IF(F49="NO",0,IF(Hijuelas!$G$6="si",IF(D49=1,E49,E49*0.8),E49)),IF(F49="NO",0,IF(Hijuelas!$G$6="si",IF(D49=1,ROUNDUP(E49,0),ROUNDUP(E49*0.8,0)),ROUNDUP(E49,0))))</f>
        <v>1.8107199999999999</v>
      </c>
      <c r="I49" s="123">
        <v>0</v>
      </c>
      <c r="J49" s="123">
        <f t="shared" si="1"/>
        <v>2.8716742272475119E-2</v>
      </c>
      <c r="K49" s="358">
        <f t="shared" si="3"/>
        <v>42976.877408703513</v>
      </c>
      <c r="L49" s="358">
        <f t="shared" si="4"/>
        <v>42976.906125445785</v>
      </c>
      <c r="M49" s="5"/>
      <c r="N49" s="5"/>
      <c r="O49" s="47" t="str">
        <f t="shared" si="2"/>
        <v>124959</v>
      </c>
      <c r="P49" s="112">
        <f>VLOOKUP(O49,deuda!A$1:H$551,4,0)</f>
        <v>1</v>
      </c>
      <c r="Q49" s="112">
        <f>VLOOKUP(O49,deuda!A$1:H$551,5,0)</f>
        <v>1</v>
      </c>
      <c r="R49" s="112" t="str">
        <f>IF(VLOOKUP(O49,deuda!A$1:H$551,6,0)=0,"",VLOOKUP(O49,deuda!A$1:H$551,6,0))</f>
        <v/>
      </c>
      <c r="S49" s="113" t="str">
        <f>IF((VLOOKUP(O49,deuda!A$1:H$551,7,0))=0,"",VLOOKUP(O49,deuda!A$1:H$551,7,0))</f>
        <v/>
      </c>
      <c r="T49" s="114" t="str">
        <f>IF((VLOOKUP(O49,deuda!A$1:H$551,8,0))=0,"",VLOOKUP(O49,deuda!A$1:H$551,8,0))</f>
        <v/>
      </c>
    </row>
    <row r="50" spans="1:20" ht="35.1" customHeight="1">
      <c r="A50" s="194">
        <v>12</v>
      </c>
      <c r="B50" s="355">
        <v>1249</v>
      </c>
      <c r="C50" s="356">
        <v>61</v>
      </c>
      <c r="D50" s="356">
        <v>2</v>
      </c>
      <c r="E50" s="330">
        <v>2.6671999999999998</v>
      </c>
      <c r="F50" s="85" t="str">
        <f t="shared" si="0"/>
        <v>SI</v>
      </c>
      <c r="G50" s="357" t="s">
        <v>272</v>
      </c>
      <c r="H50" s="125">
        <f>IF(Hijuelas!$G$5="fracción",IF(F50="NO",0,IF(Hijuelas!$G$6="si",IF(D50=1,E50,E50*0.8),E50)),IF(F50="NO",0,IF(Hijuelas!$G$6="si",IF(D50=1,ROUNDUP(E50,0),ROUNDUP(E50*0.8,0)),ROUNDUP(E50,0))))</f>
        <v>2.1337600000000001</v>
      </c>
      <c r="I50" s="123">
        <v>0</v>
      </c>
      <c r="J50" s="123">
        <f t="shared" si="1"/>
        <v>3.3839928863278981E-2</v>
      </c>
      <c r="K50" s="358">
        <f t="shared" si="3"/>
        <v>42976.906125445785</v>
      </c>
      <c r="L50" s="358">
        <f t="shared" si="4"/>
        <v>42976.939965374651</v>
      </c>
      <c r="M50" s="5"/>
      <c r="N50" s="5"/>
      <c r="O50" s="47" t="str">
        <f t="shared" si="2"/>
        <v>124961</v>
      </c>
      <c r="P50" s="112">
        <f>VLOOKUP(O50,deuda!A$1:H$551,4,0)</f>
        <v>1</v>
      </c>
      <c r="Q50" s="112">
        <f>VLOOKUP(O50,deuda!A$1:H$551,5,0)</f>
        <v>1</v>
      </c>
      <c r="R50" s="112" t="str">
        <f>IF(VLOOKUP(O50,deuda!A$1:H$551,6,0)=0,"",VLOOKUP(O50,deuda!A$1:H$551,6,0))</f>
        <v/>
      </c>
      <c r="S50" s="113" t="str">
        <f>IF((VLOOKUP(O50,deuda!A$1:H$551,7,0))=0,"",VLOOKUP(O50,deuda!A$1:H$551,7,0))</f>
        <v/>
      </c>
      <c r="T50" s="114" t="str">
        <f>IF((VLOOKUP(O50,deuda!A$1:H$551,8,0))=0,"",VLOOKUP(O50,deuda!A$1:H$551,8,0))</f>
        <v/>
      </c>
    </row>
    <row r="51" spans="1:20" ht="35.1" customHeight="1">
      <c r="A51" s="194">
        <v>12</v>
      </c>
      <c r="B51" s="355">
        <v>1249</v>
      </c>
      <c r="C51" s="356">
        <v>44</v>
      </c>
      <c r="D51" s="356">
        <v>1</v>
      </c>
      <c r="E51" s="330">
        <v>1.9751000000000001</v>
      </c>
      <c r="F51" s="85" t="str">
        <f t="shared" si="0"/>
        <v>SI</v>
      </c>
      <c r="G51" s="357" t="s">
        <v>272</v>
      </c>
      <c r="H51" s="125">
        <f>IF(Hijuelas!$G$5="fracción",IF(F51="NO",0,IF(Hijuelas!$G$6="si",IF(D51=1,E51,E51*0.8),E51)),IF(F51="NO",0,IF(Hijuelas!$G$6="si",IF(D51=1,ROUNDUP(E51,0),ROUNDUP(E51*0.8,0)),ROUNDUP(E51,0))))</f>
        <v>1.9751000000000001</v>
      </c>
      <c r="I51" s="123">
        <v>0</v>
      </c>
      <c r="J51" s="123">
        <f t="shared" si="1"/>
        <v>3.132369315099276E-2</v>
      </c>
      <c r="K51" s="358">
        <f t="shared" si="3"/>
        <v>42976.939965374651</v>
      </c>
      <c r="L51" s="358">
        <f t="shared" si="4"/>
        <v>42976.971289067806</v>
      </c>
      <c r="M51" s="5"/>
      <c r="N51" s="5"/>
      <c r="O51" s="47" t="str">
        <f t="shared" si="2"/>
        <v>124944</v>
      </c>
      <c r="P51" s="112">
        <f>VLOOKUP(O51,deuda!A$1:H$551,4,0)</f>
        <v>1</v>
      </c>
      <c r="Q51" s="112">
        <f>VLOOKUP(O51,deuda!A$1:H$551,5,0)</f>
        <v>1</v>
      </c>
      <c r="R51" s="112" t="str">
        <f>IF(VLOOKUP(O51,deuda!A$1:H$551,6,0)=0,"",VLOOKUP(O51,deuda!A$1:H$551,6,0))</f>
        <v/>
      </c>
      <c r="S51" s="113" t="str">
        <f>IF((VLOOKUP(O51,deuda!A$1:H$551,7,0))=0,"",VLOOKUP(O51,deuda!A$1:H$551,7,0))</f>
        <v/>
      </c>
      <c r="T51" s="114" t="str">
        <f>IF((VLOOKUP(O51,deuda!A$1:H$551,8,0))=0,"",VLOOKUP(O51,deuda!A$1:H$551,8,0))</f>
        <v/>
      </c>
    </row>
    <row r="52" spans="1:20" ht="35.1" customHeight="1">
      <c r="A52" s="194">
        <v>12</v>
      </c>
      <c r="B52" s="355">
        <v>1249</v>
      </c>
      <c r="C52" s="356">
        <v>45</v>
      </c>
      <c r="D52" s="356">
        <v>1</v>
      </c>
      <c r="E52" s="330">
        <v>2.1993999999999998</v>
      </c>
      <c r="F52" s="85" t="str">
        <f t="shared" si="0"/>
        <v>SI</v>
      </c>
      <c r="G52" s="357" t="s">
        <v>272</v>
      </c>
      <c r="H52" s="125">
        <f>IF(Hijuelas!$G$5="fracción",IF(F52="NO",0,IF(Hijuelas!$G$6="si",IF(D52=1,E52,E52*0.8),E52)),IF(F52="NO",0,IF(Hijuelas!$G$6="si",IF(D52=1,ROUNDUP(E52,0),ROUNDUP(E52*0.8,0)),ROUNDUP(E52,0))))</f>
        <v>2.1993999999999998</v>
      </c>
      <c r="I52" s="123">
        <v>0</v>
      </c>
      <c r="J52" s="123">
        <f t="shared" si="1"/>
        <v>3.4880932973668913E-2</v>
      </c>
      <c r="K52" s="358">
        <f t="shared" si="3"/>
        <v>42976.971289067806</v>
      </c>
      <c r="L52" s="358">
        <f t="shared" si="4"/>
        <v>42977.006170000779</v>
      </c>
      <c r="M52" s="5"/>
      <c r="N52" s="5"/>
      <c r="O52" s="47" t="str">
        <f t="shared" si="2"/>
        <v>124945</v>
      </c>
      <c r="P52" s="112">
        <f>VLOOKUP(O52,deuda!A$1:H$551,4,0)</f>
        <v>1</v>
      </c>
      <c r="Q52" s="112">
        <f>VLOOKUP(O52,deuda!A$1:H$551,5,0)</f>
        <v>1</v>
      </c>
      <c r="R52" s="112" t="str">
        <f>IF(VLOOKUP(O52,deuda!A$1:H$551,6,0)=0,"",VLOOKUP(O52,deuda!A$1:H$551,6,0))</f>
        <v/>
      </c>
      <c r="S52" s="113" t="str">
        <f>IF((VLOOKUP(O52,deuda!A$1:H$551,7,0))=0,"",VLOOKUP(O52,deuda!A$1:H$551,7,0))</f>
        <v/>
      </c>
      <c r="T52" s="114" t="str">
        <f>IF((VLOOKUP(O52,deuda!A$1:H$551,8,0))=0,"",VLOOKUP(O52,deuda!A$1:H$551,8,0))</f>
        <v/>
      </c>
    </row>
    <row r="53" spans="1:20" ht="35.1" customHeight="1">
      <c r="A53" s="194">
        <v>12</v>
      </c>
      <c r="B53" s="355">
        <v>1249</v>
      </c>
      <c r="C53" s="356">
        <v>46</v>
      </c>
      <c r="D53" s="356">
        <v>1</v>
      </c>
      <c r="E53" s="330">
        <v>1.1859</v>
      </c>
      <c r="F53" s="85" t="str">
        <f t="shared" si="0"/>
        <v>SI</v>
      </c>
      <c r="G53" s="357" t="s">
        <v>272</v>
      </c>
      <c r="H53" s="125">
        <f>IF(Hijuelas!$G$5="fracción",IF(F53="NO",0,IF(Hijuelas!$G$6="si",IF(D53=1,E53,E53*0.8),E53)),IF(F53="NO",0,IF(Hijuelas!$G$6="si",IF(D53=1,ROUNDUP(E53,0),ROUNDUP(E53*0.8,0)),ROUNDUP(E53,0))))</f>
        <v>1.1859</v>
      </c>
      <c r="I53" s="123">
        <v>0</v>
      </c>
      <c r="J53" s="123">
        <f t="shared" si="1"/>
        <v>1.8807537698224047E-2</v>
      </c>
      <c r="K53" s="358">
        <f t="shared" si="3"/>
        <v>42977.006170000779</v>
      </c>
      <c r="L53" s="358">
        <f t="shared" si="4"/>
        <v>42977.02497753848</v>
      </c>
      <c r="M53" s="5"/>
      <c r="N53" s="5"/>
      <c r="O53" s="47" t="str">
        <f t="shared" si="2"/>
        <v>124946</v>
      </c>
      <c r="P53" s="112">
        <f>VLOOKUP(O53,deuda!A$1:H$551,4,0)</f>
        <v>1</v>
      </c>
      <c r="Q53" s="112">
        <f>VLOOKUP(O53,deuda!A$1:H$551,5,0)</f>
        <v>1</v>
      </c>
      <c r="R53" s="112" t="str">
        <f>IF(VLOOKUP(O53,deuda!A$1:H$551,6,0)=0,"",VLOOKUP(O53,deuda!A$1:H$551,6,0))</f>
        <v/>
      </c>
      <c r="S53" s="113" t="str">
        <f>IF((VLOOKUP(O53,deuda!A$1:H$551,7,0))=0,"",VLOOKUP(O53,deuda!A$1:H$551,7,0))</f>
        <v/>
      </c>
      <c r="T53" s="114" t="str">
        <f>IF((VLOOKUP(O53,deuda!A$1:H$551,8,0))=0,"",VLOOKUP(O53,deuda!A$1:H$551,8,0))</f>
        <v/>
      </c>
    </row>
    <row r="54" spans="1:20" ht="35.1" customHeight="1">
      <c r="A54" s="194">
        <v>12</v>
      </c>
      <c r="B54" s="355">
        <v>1249</v>
      </c>
      <c r="C54" s="356">
        <v>47</v>
      </c>
      <c r="D54" s="356">
        <v>1</v>
      </c>
      <c r="E54" s="330">
        <v>1.8884000000000001</v>
      </c>
      <c r="F54" s="85" t="str">
        <f t="shared" si="0"/>
        <v>SI</v>
      </c>
      <c r="G54" s="357" t="s">
        <v>272</v>
      </c>
      <c r="H54" s="125">
        <f>IF(Hijuelas!$G$5="fracción",IF(F54="NO",0,IF(Hijuelas!$G$6="si",IF(D54=1,E54,E54*0.8),E54)),IF(F54="NO",0,IF(Hijuelas!$G$6="si",IF(D54=1,ROUNDUP(E54,0),ROUNDUP(E54*0.8,0)),ROUNDUP(E54,0))))</f>
        <v>1.8884000000000001</v>
      </c>
      <c r="I54" s="123">
        <v>0</v>
      </c>
      <c r="J54" s="123">
        <f t="shared" si="1"/>
        <v>2.9948692292205321E-2</v>
      </c>
      <c r="K54" s="358">
        <f t="shared" si="3"/>
        <v>42977.02497753848</v>
      </c>
      <c r="L54" s="358">
        <f t="shared" si="4"/>
        <v>42977.054926230769</v>
      </c>
      <c r="M54" s="5"/>
      <c r="N54" s="5"/>
      <c r="O54" s="47" t="str">
        <f t="shared" si="2"/>
        <v>124947</v>
      </c>
      <c r="P54" s="112">
        <f>VLOOKUP(O54,deuda!A$1:H$551,4,0)</f>
        <v>1</v>
      </c>
      <c r="Q54" s="112">
        <f>VLOOKUP(O54,deuda!A$1:H$551,5,0)</f>
        <v>1</v>
      </c>
      <c r="R54" s="112" t="str">
        <f>IF(VLOOKUP(O54,deuda!A$1:H$551,6,0)=0,"",VLOOKUP(O54,deuda!A$1:H$551,6,0))</f>
        <v/>
      </c>
      <c r="S54" s="113" t="str">
        <f>IF((VLOOKUP(O54,deuda!A$1:H$551,7,0))=0,"",VLOOKUP(O54,deuda!A$1:H$551,7,0))</f>
        <v/>
      </c>
      <c r="T54" s="114" t="str">
        <f>IF((VLOOKUP(O54,deuda!A$1:H$551,8,0))=0,"",VLOOKUP(O54,deuda!A$1:H$551,8,0))</f>
        <v/>
      </c>
    </row>
    <row r="55" spans="1:20" ht="35.1" customHeight="1">
      <c r="A55" s="194">
        <v>12</v>
      </c>
      <c r="B55" s="355">
        <v>1249</v>
      </c>
      <c r="C55" s="356">
        <v>49</v>
      </c>
      <c r="D55" s="356">
        <v>1</v>
      </c>
      <c r="E55" s="330">
        <v>2.1762000000000001</v>
      </c>
      <c r="F55" s="85" t="str">
        <f t="shared" si="0"/>
        <v>SI</v>
      </c>
      <c r="G55" s="357" t="s">
        <v>272</v>
      </c>
      <c r="H55" s="125">
        <f>IF(Hijuelas!$G$5="fracción",IF(F55="NO",0,IF(Hijuelas!$G$6="si",IF(D55=1,E55,E55*0.8),E55)),IF(F55="NO",0,IF(Hijuelas!$G$6="si",IF(D55=1,ROUNDUP(E55,0),ROUNDUP(E55*0.8,0)),ROUNDUP(E55,0))))</f>
        <v>2.1762000000000001</v>
      </c>
      <c r="I55" s="123">
        <v>0</v>
      </c>
      <c r="J55" s="123">
        <f t="shared" si="1"/>
        <v>3.4512997334408616E-2</v>
      </c>
      <c r="K55" s="358">
        <f t="shared" si="3"/>
        <v>42977.054926230769</v>
      </c>
      <c r="L55" s="358">
        <f t="shared" si="4"/>
        <v>42977.089439228104</v>
      </c>
      <c r="M55" s="5"/>
      <c r="N55" s="5"/>
      <c r="O55" s="47" t="str">
        <f t="shared" si="2"/>
        <v>124949</v>
      </c>
      <c r="P55" s="112">
        <f>VLOOKUP(O55,deuda!A$1:H$551,4,0)</f>
        <v>1</v>
      </c>
      <c r="Q55" s="112">
        <f>VLOOKUP(O55,deuda!A$1:H$551,5,0)</f>
        <v>1</v>
      </c>
      <c r="R55" s="112" t="str">
        <f>IF(VLOOKUP(O55,deuda!A$1:H$551,6,0)=0,"",VLOOKUP(O55,deuda!A$1:H$551,6,0))</f>
        <v/>
      </c>
      <c r="S55" s="113" t="str">
        <f>IF((VLOOKUP(O55,deuda!A$1:H$551,7,0))=0,"",VLOOKUP(O55,deuda!A$1:H$551,7,0))</f>
        <v/>
      </c>
      <c r="T55" s="114" t="str">
        <f>IF((VLOOKUP(O55,deuda!A$1:H$551,8,0))=0,"",VLOOKUP(O55,deuda!A$1:H$551,8,0))</f>
        <v/>
      </c>
    </row>
    <row r="56" spans="1:20" ht="35.1" customHeight="1">
      <c r="A56" s="194">
        <v>12</v>
      </c>
      <c r="B56" s="355">
        <v>1249</v>
      </c>
      <c r="C56" s="356">
        <v>30</v>
      </c>
      <c r="D56" s="356">
        <v>2</v>
      </c>
      <c r="E56" s="330">
        <v>1.6819999999999999</v>
      </c>
      <c r="F56" s="85" t="str">
        <f t="shared" si="0"/>
        <v>SI</v>
      </c>
      <c r="G56" s="357" t="s">
        <v>272</v>
      </c>
      <c r="H56" s="125">
        <f>IF(Hijuelas!$G$5="fracción",IF(F56="NO",0,IF(Hijuelas!$G$6="si",IF(D56=1,E56,E56*0.8),E56)),IF(F56="NO",0,IF(Hijuelas!$G$6="si",IF(D56=1,ROUNDUP(E56,0),ROUNDUP(E56*0.8,0)),ROUNDUP(E56,0))))</f>
        <v>1.3456000000000001</v>
      </c>
      <c r="I56" s="123">
        <v>0</v>
      </c>
      <c r="J56" s="123">
        <f t="shared" si="1"/>
        <v>2.13402670770978E-2</v>
      </c>
      <c r="K56" s="358">
        <f t="shared" si="3"/>
        <v>42977.089439228104</v>
      </c>
      <c r="L56" s="358">
        <f t="shared" si="4"/>
        <v>42977.110779495182</v>
      </c>
      <c r="M56" s="5"/>
      <c r="N56" s="5"/>
      <c r="O56" s="47" t="str">
        <f t="shared" si="2"/>
        <v>124930</v>
      </c>
      <c r="P56" s="112">
        <f>VLOOKUP(O56,deuda!A$1:H$551,4,0)</f>
        <v>1</v>
      </c>
      <c r="Q56" s="112">
        <f>VLOOKUP(O56,deuda!A$1:H$551,5,0)</f>
        <v>1</v>
      </c>
      <c r="R56" s="112" t="str">
        <f>IF(VLOOKUP(O56,deuda!A$1:H$551,6,0)=0,"",VLOOKUP(O56,deuda!A$1:H$551,6,0))</f>
        <v/>
      </c>
      <c r="S56" s="113" t="str">
        <f>IF((VLOOKUP(O56,deuda!A$1:H$551,7,0))=0,"",VLOOKUP(O56,deuda!A$1:H$551,7,0))</f>
        <v/>
      </c>
      <c r="T56" s="114" t="str">
        <f>IF((VLOOKUP(O56,deuda!A$1:H$551,8,0))=0,"",VLOOKUP(O56,deuda!A$1:H$551,8,0))</f>
        <v/>
      </c>
    </row>
    <row r="57" spans="1:20" ht="35.1" customHeight="1">
      <c r="A57" s="194">
        <v>12</v>
      </c>
      <c r="B57" s="355">
        <v>1249</v>
      </c>
      <c r="C57" s="356">
        <v>31</v>
      </c>
      <c r="D57" s="356">
        <v>2</v>
      </c>
      <c r="E57" s="330">
        <v>1.7375</v>
      </c>
      <c r="F57" s="85" t="str">
        <f t="shared" si="0"/>
        <v>SI</v>
      </c>
      <c r="G57" s="357" t="s">
        <v>272</v>
      </c>
      <c r="H57" s="125">
        <f>IF(Hijuelas!$G$5="fracción",IF(F57="NO",0,IF(Hijuelas!$G$6="si",IF(D57=1,E57,E57*0.8),E57)),IF(F57="NO",0,IF(Hijuelas!$G$6="si",IF(D57=1,ROUNDUP(E57,0),ROUNDUP(E57*0.8,0)),ROUNDUP(E57,0))))</f>
        <v>1.3900000000000001</v>
      </c>
      <c r="I57" s="123">
        <v>0</v>
      </c>
      <c r="J57" s="123">
        <f t="shared" si="1"/>
        <v>2.2044419766027008E-2</v>
      </c>
      <c r="K57" s="358">
        <f t="shared" si="3"/>
        <v>42977.110779495182</v>
      </c>
      <c r="L57" s="358">
        <f t="shared" si="4"/>
        <v>42977.132823914952</v>
      </c>
      <c r="M57" s="5"/>
      <c r="N57" s="5"/>
      <c r="O57" s="47" t="str">
        <f t="shared" si="2"/>
        <v>124931</v>
      </c>
      <c r="P57" s="112">
        <f>VLOOKUP(O57,deuda!A$1:H$551,4,0)</f>
        <v>1</v>
      </c>
      <c r="Q57" s="112">
        <f>VLOOKUP(O57,deuda!A$1:H$551,5,0)</f>
        <v>1</v>
      </c>
      <c r="R57" s="112" t="str">
        <f>IF(VLOOKUP(O57,deuda!A$1:H$551,6,0)=0,"",VLOOKUP(O57,deuda!A$1:H$551,6,0))</f>
        <v/>
      </c>
      <c r="S57" s="113" t="str">
        <f>IF((VLOOKUP(O57,deuda!A$1:H$551,7,0))=0,"",VLOOKUP(O57,deuda!A$1:H$551,7,0))</f>
        <v/>
      </c>
      <c r="T57" s="114" t="str">
        <f>IF((VLOOKUP(O57,deuda!A$1:H$551,8,0))=0,"",VLOOKUP(O57,deuda!A$1:H$551,8,0))</f>
        <v/>
      </c>
    </row>
    <row r="58" spans="1:20" ht="35.1" customHeight="1">
      <c r="A58" s="194">
        <v>12</v>
      </c>
      <c r="B58" s="355">
        <v>1249</v>
      </c>
      <c r="C58" s="356">
        <v>32</v>
      </c>
      <c r="D58" s="356">
        <v>2</v>
      </c>
      <c r="E58" s="330">
        <v>0.96289999999999998</v>
      </c>
      <c r="F58" s="85" t="str">
        <f t="shared" si="0"/>
        <v>SI</v>
      </c>
      <c r="G58" s="357" t="s">
        <v>272</v>
      </c>
      <c r="H58" s="125">
        <f>IF(Hijuelas!$G$5="fracción",IF(F58="NO",0,IF(Hijuelas!$G$6="si",IF(D58=1,E58,E58*0.8),E58)),IF(F58="NO",0,IF(Hijuelas!$G$6="si",IF(D58=1,ROUNDUP(E58,0),ROUNDUP(E58*0.8,0)),ROUNDUP(E58,0))))</f>
        <v>0.77032</v>
      </c>
      <c r="I58" s="123">
        <v>0</v>
      </c>
      <c r="J58" s="123">
        <f t="shared" si="1"/>
        <v>1.2216731967025845E-2</v>
      </c>
      <c r="K58" s="358">
        <f t="shared" si="3"/>
        <v>42977.132823914952</v>
      </c>
      <c r="L58" s="358">
        <f t="shared" si="4"/>
        <v>42977.145040646916</v>
      </c>
      <c r="M58" s="5"/>
      <c r="N58" s="5"/>
      <c r="O58" s="47" t="str">
        <f t="shared" si="2"/>
        <v>124932</v>
      </c>
      <c r="P58" s="112">
        <f>VLOOKUP(O58,deuda!A$1:H$551,4,0)</f>
        <v>1</v>
      </c>
      <c r="Q58" s="112">
        <f>VLOOKUP(O58,deuda!A$1:H$551,5,0)</f>
        <v>1</v>
      </c>
      <c r="R58" s="112" t="str">
        <f>IF(VLOOKUP(O58,deuda!A$1:H$551,6,0)=0,"",VLOOKUP(O58,deuda!A$1:H$551,6,0))</f>
        <v/>
      </c>
      <c r="S58" s="113" t="str">
        <f>IF((VLOOKUP(O58,deuda!A$1:H$551,7,0))=0,"",VLOOKUP(O58,deuda!A$1:H$551,7,0))</f>
        <v/>
      </c>
      <c r="T58" s="114" t="str">
        <f>IF((VLOOKUP(O58,deuda!A$1:H$551,8,0))=0,"",VLOOKUP(O58,deuda!A$1:H$551,8,0))</f>
        <v/>
      </c>
    </row>
    <row r="59" spans="1:20" ht="35.1" customHeight="1">
      <c r="A59" s="194">
        <v>12</v>
      </c>
      <c r="B59" s="355">
        <v>1249</v>
      </c>
      <c r="C59" s="356">
        <v>33</v>
      </c>
      <c r="D59" s="356">
        <v>2</v>
      </c>
      <c r="E59" s="330">
        <v>1.4536</v>
      </c>
      <c r="F59" s="85" t="str">
        <f t="shared" si="0"/>
        <v>SI</v>
      </c>
      <c r="G59" s="357" t="s">
        <v>272</v>
      </c>
      <c r="H59" s="125">
        <f>IF(Hijuelas!$G$5="fracción",IF(F59="NO",0,IF(Hijuelas!$G$6="si",IF(D59=1,E59,E59*0.8),E59)),IF(F59="NO",0,IF(Hijuelas!$G$6="si",IF(D59=1,ROUNDUP(E59,0),ROUNDUP(E59*0.8,0)),ROUNDUP(E59,0))))</f>
        <v>1.1628800000000001</v>
      </c>
      <c r="I59" s="123">
        <v>0</v>
      </c>
      <c r="J59" s="123">
        <f t="shared" si="1"/>
        <v>1.844245673202697E-2</v>
      </c>
      <c r="K59" s="358">
        <f t="shared" si="3"/>
        <v>42977.145040646916</v>
      </c>
      <c r="L59" s="358">
        <f t="shared" si="4"/>
        <v>42977.16348310365</v>
      </c>
      <c r="M59" s="5"/>
      <c r="N59" s="5"/>
      <c r="O59" s="47" t="str">
        <f t="shared" si="2"/>
        <v>124933</v>
      </c>
      <c r="P59" s="112">
        <f>VLOOKUP(O59,deuda!A$1:H$551,4,0)</f>
        <v>1</v>
      </c>
      <c r="Q59" s="112">
        <f>VLOOKUP(O59,deuda!A$1:H$551,5,0)</f>
        <v>1</v>
      </c>
      <c r="R59" s="112" t="str">
        <f>IF(VLOOKUP(O59,deuda!A$1:H$551,6,0)=0,"",VLOOKUP(O59,deuda!A$1:H$551,6,0))</f>
        <v/>
      </c>
      <c r="S59" s="113" t="str">
        <f>IF((VLOOKUP(O59,deuda!A$1:H$551,7,0))=0,"",VLOOKUP(O59,deuda!A$1:H$551,7,0))</f>
        <v/>
      </c>
      <c r="T59" s="114" t="str">
        <f>IF((VLOOKUP(O59,deuda!A$1:H$551,8,0))=0,"",VLOOKUP(O59,deuda!A$1:H$551,8,0))</f>
        <v/>
      </c>
    </row>
    <row r="60" spans="1:20" ht="35.1" customHeight="1">
      <c r="A60" s="194">
        <v>12</v>
      </c>
      <c r="B60" s="355">
        <v>1249</v>
      </c>
      <c r="C60" s="356">
        <v>34</v>
      </c>
      <c r="D60" s="356">
        <v>2</v>
      </c>
      <c r="E60" s="330">
        <v>1.4866999999999999</v>
      </c>
      <c r="F60" s="85" t="str">
        <f t="shared" si="0"/>
        <v>SI</v>
      </c>
      <c r="G60" s="399" t="s">
        <v>272</v>
      </c>
      <c r="H60" s="125">
        <f>IF(Hijuelas!$G$5="fracción",IF(F60="NO",0,IF(Hijuelas!$G$6="si",IF(D60=1,E60,E60*0.8),E60)),IF(F60="NO",0,IF(Hijuelas!$G$6="si",IF(D60=1,ROUNDUP(E60,0),ROUNDUP(E60*0.8,0)),ROUNDUP(E60,0))))</f>
        <v>1.18936</v>
      </c>
      <c r="I60" s="528">
        <v>0</v>
      </c>
      <c r="J60" s="123">
        <f t="shared" si="1"/>
        <v>1.8862410858217177E-2</v>
      </c>
      <c r="K60" s="358">
        <f t="shared" si="3"/>
        <v>42977.16348310365</v>
      </c>
      <c r="L60" s="358">
        <f t="shared" si="4"/>
        <v>42977.182345514506</v>
      </c>
      <c r="M60" s="5"/>
      <c r="N60" s="5"/>
      <c r="O60" s="47" t="str">
        <f t="shared" si="2"/>
        <v>124934</v>
      </c>
      <c r="P60" s="112">
        <f>VLOOKUP(O60,deuda!A$1:H$551,4,0)</f>
        <v>1</v>
      </c>
      <c r="Q60" s="112">
        <f>VLOOKUP(O60,deuda!A$1:H$551,5,0)</f>
        <v>1</v>
      </c>
      <c r="R60" s="112" t="str">
        <f>IF(VLOOKUP(O60,deuda!A$1:H$551,6,0)=0,"",VLOOKUP(O60,deuda!A$1:H$551,6,0))</f>
        <v/>
      </c>
      <c r="S60" s="113" t="str">
        <f>IF((VLOOKUP(O60,deuda!A$1:H$551,7,0))=0,"",VLOOKUP(O60,deuda!A$1:H$551,7,0))</f>
        <v/>
      </c>
      <c r="T60" s="114" t="str">
        <f>IF((VLOOKUP(O60,deuda!A$1:H$551,8,0))=0,"",VLOOKUP(O60,deuda!A$1:H$551,8,0))</f>
        <v/>
      </c>
    </row>
    <row r="61" spans="1:20" ht="35.1" customHeight="1">
      <c r="A61" s="194">
        <v>13</v>
      </c>
      <c r="B61" s="355">
        <v>1249</v>
      </c>
      <c r="C61" s="356">
        <v>10</v>
      </c>
      <c r="D61" s="356">
        <v>1</v>
      </c>
      <c r="E61" s="330">
        <v>10.846</v>
      </c>
      <c r="F61" s="85" t="str">
        <f t="shared" si="0"/>
        <v>SI</v>
      </c>
      <c r="G61" s="357" t="s">
        <v>273</v>
      </c>
      <c r="H61" s="125">
        <f>IF(Hijuelas!$G$5="fracción",IF(F61="NO",0,IF(Hijuelas!$G$6="si",IF(D61=1,E61,E61*0.8),E61)),IF(F61="NO",0,IF(Hijuelas!$G$6="si",IF(D61=1,ROUNDUP(E61,0),ROUNDUP(E61*0.8,0)),ROUNDUP(E61,0))))</f>
        <v>10.846</v>
      </c>
      <c r="I61" s="123">
        <v>0</v>
      </c>
      <c r="J61" s="123">
        <f t="shared" si="1"/>
        <v>0.17200991135419347</v>
      </c>
      <c r="K61" s="358">
        <f t="shared" si="3"/>
        <v>42977.182345514506</v>
      </c>
      <c r="L61" s="358">
        <f t="shared" si="4"/>
        <v>42977.354355425858</v>
      </c>
      <c r="M61" s="5"/>
      <c r="N61" s="5"/>
      <c r="O61" s="47" t="str">
        <f t="shared" si="2"/>
        <v>124910</v>
      </c>
      <c r="P61" s="112">
        <f>VLOOKUP(O61,deuda!A$1:H$551,4,0)</f>
        <v>1</v>
      </c>
      <c r="Q61" s="112">
        <f>VLOOKUP(O61,deuda!A$1:H$551,5,0)</f>
        <v>1</v>
      </c>
      <c r="R61" s="112" t="str">
        <f>IF(VLOOKUP(O61,deuda!A$1:H$551,6,0)=0,"",VLOOKUP(O61,deuda!A$1:H$551,6,0))</f>
        <v/>
      </c>
      <c r="S61" s="113" t="str">
        <f>IF((VLOOKUP(O61,deuda!A$1:H$551,7,0))=0,"",VLOOKUP(O61,deuda!A$1:H$551,7,0))</f>
        <v/>
      </c>
      <c r="T61" s="114" t="str">
        <f>IF((VLOOKUP(O61,deuda!A$1:H$551,8,0))=0,"",VLOOKUP(O61,deuda!A$1:H$551,8,0))</f>
        <v/>
      </c>
    </row>
    <row r="62" spans="1:20" ht="35.1" customHeight="1" thickBot="1">
      <c r="A62" s="364">
        <v>13</v>
      </c>
      <c r="B62" s="365">
        <v>1249</v>
      </c>
      <c r="C62" s="366">
        <v>11</v>
      </c>
      <c r="D62" s="366">
        <v>1</v>
      </c>
      <c r="E62" s="540">
        <v>11.154</v>
      </c>
      <c r="F62" s="85" t="str">
        <f t="shared" si="0"/>
        <v>SI</v>
      </c>
      <c r="G62" s="367" t="s">
        <v>273</v>
      </c>
      <c r="H62" s="125">
        <f>IF(Hijuelas!$G$5="fracción",IF(F62="NO",0,IF(Hijuelas!$G$6="si",IF(D62=1,E62,E62*0.8),E62)),IF(F62="NO",0,IF(Hijuelas!$G$6="si",IF(D62=1,ROUNDUP(E62,0),ROUNDUP(E62*0.8,0)),ROUNDUP(E62,0))))</f>
        <v>11.154</v>
      </c>
      <c r="I62" s="120">
        <v>0</v>
      </c>
      <c r="J62" s="123">
        <f t="shared" si="1"/>
        <v>0.17689457415126994</v>
      </c>
      <c r="K62" s="358">
        <f t="shared" si="3"/>
        <v>42977.354355425858</v>
      </c>
      <c r="L62" s="358">
        <f t="shared" si="4"/>
        <v>42977.531250000007</v>
      </c>
      <c r="M62" s="27"/>
      <c r="N62" s="27"/>
      <c r="O62" s="47" t="str">
        <f t="shared" si="2"/>
        <v>124911</v>
      </c>
      <c r="P62" s="112">
        <f>VLOOKUP(O62,deuda!A$1:H$551,4,0)</f>
        <v>1</v>
      </c>
      <c r="Q62" s="112">
        <f>VLOOKUP(O62,deuda!A$1:H$551,5,0)</f>
        <v>1</v>
      </c>
      <c r="R62" s="112" t="str">
        <f>IF(VLOOKUP(O62,deuda!A$1:H$551,6,0)=0,"",VLOOKUP(O62,deuda!A$1:H$551,6,0))</f>
        <v/>
      </c>
      <c r="S62" s="113" t="str">
        <f>IF((VLOOKUP(O62,deuda!A$1:H$551,7,0))=0,"",VLOOKUP(O62,deuda!A$1:H$551,7,0))</f>
        <v/>
      </c>
      <c r="T62" s="114" t="str">
        <f>IF((VLOOKUP(O62,deuda!A$1:H$551,8,0))=0,"",VLOOKUP(O62,deuda!A$1:H$551,8,0))</f>
        <v/>
      </c>
    </row>
    <row r="63" spans="1:20" ht="35.1" customHeight="1">
      <c r="E63" s="471">
        <f>SUM(E13:E62)</f>
        <v>274.18439999999993</v>
      </c>
      <c r="F63" s="281"/>
      <c r="G63" s="42"/>
      <c r="H63" s="471">
        <f>SUM(H13:H62)</f>
        <v>235.79757999999993</v>
      </c>
      <c r="I63" s="123">
        <f>SUM(I13:I62)</f>
        <v>8.3333333333333329E-2</v>
      </c>
      <c r="J63" s="472">
        <f>SUM(J13:J62)</f>
        <v>3.7395833333333339</v>
      </c>
    </row>
    <row r="64" spans="1:20" ht="35.1" customHeight="1"/>
    <row r="68" spans="2:11">
      <c r="B68" s="234"/>
      <c r="C68" s="234"/>
      <c r="D68" s="234"/>
      <c r="E68" s="234"/>
      <c r="F68" s="234"/>
      <c r="G68" s="234"/>
      <c r="H68" s="234"/>
      <c r="I68" s="234"/>
      <c r="J68" s="234"/>
      <c r="K68" s="234"/>
    </row>
  </sheetData>
  <mergeCells count="5">
    <mergeCell ref="A10:B10"/>
    <mergeCell ref="A6:B6"/>
    <mergeCell ref="C6:E6"/>
    <mergeCell ref="A7:B7"/>
    <mergeCell ref="C7:E7"/>
  </mergeCells>
  <phoneticPr fontId="0" type="noConversion"/>
  <dataValidations disablePrompts="1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62" xr:uid="{00000000-0002-0000-0C00-000000000000}">
      <formula1>2</formula1>
      <formula2>2</formula2>
    </dataValidation>
  </dataValidations>
  <pageMargins left="0.39370078740157483" right="0.39370078740157483" top="0.98425196850393704" bottom="0.98425196850393704" header="0" footer="0"/>
  <pageSetup paperSize="9" scale="75" orientation="landscape" r:id="rId1"/>
  <headerFooter alignWithMargins="0"/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9"/>
  <dimension ref="A1:I237"/>
  <sheetViews>
    <sheetView view="pageBreakPreview" zoomScale="60" zoomScaleNormal="75" workbookViewId="0" xr3:uid="{274F5AE0-5452-572F-8038-C13FFDA59D49}">
      <selection activeCell="M23" sqref="M23"/>
    </sheetView>
  </sheetViews>
  <sheetFormatPr defaultRowHeight="12.75"/>
  <cols>
    <col min="1" max="2" width="11.42578125" customWidth="1"/>
    <col min="3" max="3" width="15.7109375" customWidth="1"/>
    <col min="4" max="4" width="22.7109375" bestFit="1" customWidth="1"/>
    <col min="5" max="5" width="11.42578125" customWidth="1"/>
    <col min="6" max="6" width="11.5703125" bestFit="1" customWidth="1"/>
    <col min="7" max="7" width="24.28515625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</row>
    <row r="2" spans="1:9">
      <c r="A2" s="381"/>
      <c r="B2" s="109" t="s">
        <v>82</v>
      </c>
      <c r="C2" s="76"/>
      <c r="D2" s="76"/>
      <c r="E2" s="76"/>
      <c r="F2" s="76"/>
      <c r="G2" s="382"/>
      <c r="H2" s="76"/>
    </row>
    <row r="3" spans="1:9">
      <c r="A3" s="381"/>
      <c r="B3" s="76"/>
      <c r="C3" s="76"/>
      <c r="D3" s="76"/>
      <c r="E3" s="76"/>
      <c r="F3" s="76"/>
      <c r="G3" s="382"/>
      <c r="H3" s="76"/>
    </row>
    <row r="4" spans="1:9">
      <c r="A4" s="381"/>
      <c r="B4" s="76" t="s">
        <v>182</v>
      </c>
      <c r="C4" s="76" t="str">
        <f>VLOOKUP(G5,'4_1'!$A$12:$G$62,7,0)</f>
        <v>CARBONI, ANTONIO; CARBONI, ALFONSO Y DI CARLO, RODOLFO AMERICO</v>
      </c>
      <c r="D4" s="76"/>
      <c r="E4" s="76"/>
      <c r="F4" s="76"/>
      <c r="G4" s="383" t="s">
        <v>134</v>
      </c>
      <c r="H4" s="76"/>
    </row>
    <row r="5" spans="1:9">
      <c r="A5" s="381"/>
      <c r="B5" s="76" t="s">
        <v>91</v>
      </c>
      <c r="C5" s="100" t="str">
        <f>+'4_1'!$H$3</f>
        <v>Hijuela El Plumero</v>
      </c>
      <c r="D5" s="76"/>
      <c r="E5" s="76"/>
      <c r="F5" s="76"/>
      <c r="G5" s="383">
        <v>1</v>
      </c>
      <c r="H5" s="76"/>
    </row>
    <row r="6" spans="1:9">
      <c r="A6" s="381"/>
      <c r="B6" s="76"/>
      <c r="C6" s="100"/>
      <c r="D6" s="76"/>
      <c r="E6" s="76"/>
      <c r="F6" s="76"/>
      <c r="G6" s="382"/>
      <c r="H6" s="76"/>
    </row>
    <row r="7" spans="1:9">
      <c r="A7" s="381"/>
      <c r="B7" s="635" t="s">
        <v>183</v>
      </c>
      <c r="C7" s="331">
        <f>VLOOKUP(G5,'4_1'!$A$12:$G$62,2,0)</f>
        <v>1249</v>
      </c>
      <c r="D7" s="76"/>
      <c r="E7" s="635" t="s">
        <v>184</v>
      </c>
      <c r="F7" s="373">
        <f>DSUM('4_1'!A$12:J$62,'4_1'!$J$12,G4:G5)</f>
        <v>1.0214654592016313E-2</v>
      </c>
      <c r="G7" s="382"/>
      <c r="H7" s="76"/>
    </row>
    <row r="8" spans="1:9">
      <c r="A8" s="381"/>
      <c r="B8" s="635" t="s">
        <v>185</v>
      </c>
      <c r="C8" s="374" t="s">
        <v>274</v>
      </c>
      <c r="D8" s="76"/>
      <c r="E8" s="635" t="s">
        <v>186</v>
      </c>
      <c r="F8" s="368" t="str">
        <f>IF(VLOOKUP(G5,'4_1'!$A$12:$D$62,4,0)=2,"Eventual 80%","Definitivo 100%")</f>
        <v>Eventual 80%</v>
      </c>
      <c r="G8" s="382"/>
      <c r="H8" s="76"/>
    </row>
    <row r="9" spans="1:9">
      <c r="A9" s="381"/>
      <c r="B9" s="635" t="s">
        <v>187</v>
      </c>
      <c r="C9" s="375">
        <f>DSUM('4_1'!$A$12:$H$62,'4_1'!$H$12,G4:G5)</f>
        <v>0.6440800000000001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9" ht="15.75">
      <c r="A10" s="381"/>
      <c r="B10" s="76"/>
      <c r="C10" s="635" t="s">
        <v>189</v>
      </c>
      <c r="D10" s="107">
        <f>DMIN('4_1'!A$12:K$62,'4_1'!$K$12,G4:G5)</f>
        <v>42973.708333333336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 t="s">
        <v>70</v>
      </c>
      <c r="H10" s="76"/>
    </row>
    <row r="11" spans="1:9" ht="15.75">
      <c r="A11" s="381"/>
      <c r="B11" s="76"/>
      <c r="C11" s="635" t="s">
        <v>190</v>
      </c>
      <c r="D11" s="107">
        <f>DMAX('4_1'!A$12:L$62,'4_1'!$L$12,G4:G5)</f>
        <v>42973.718547987926</v>
      </c>
      <c r="E11" s="127" t="str">
        <f>IF(F11=1,"Domingo",IF(F11=2,"Lunes",IF(F11=3,"Martes",IF(F11=4,"Miercoles",IF(F11=5,"Jueves",IF(F11=6,"Viernes",IF(F11=7,"Sábado",0)))))))</f>
        <v>Sábado</v>
      </c>
      <c r="F11" s="128">
        <f>WEEKDAY(D11)</f>
        <v>7</v>
      </c>
      <c r="G11" s="385">
        <f>WEEKDAY(D11)</f>
        <v>7</v>
      </c>
      <c r="H11" s="76"/>
    </row>
    <row r="12" spans="1:9">
      <c r="A12" s="381"/>
      <c r="B12" s="76"/>
      <c r="C12" s="76"/>
      <c r="D12" s="76"/>
      <c r="E12" s="76"/>
      <c r="F12" s="106"/>
      <c r="G12" s="384"/>
      <c r="H12" s="76"/>
    </row>
    <row r="13" spans="1:9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9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  <c r="I14">
        <f>14*17</f>
        <v>238</v>
      </c>
    </row>
    <row r="15" spans="1:9">
      <c r="A15" s="381"/>
      <c r="B15" s="108"/>
      <c r="C15" s="76"/>
      <c r="D15" s="76"/>
      <c r="E15" s="76"/>
      <c r="F15" s="76"/>
      <c r="G15" s="382"/>
      <c r="H15" s="76"/>
    </row>
    <row r="16" spans="1:9" ht="13.5" thickBot="1">
      <c r="A16" s="386"/>
      <c r="B16" s="387" t="str">
        <f>IF(DSUM('4_1'!$A$12:$P$82,16,G4:G5)=COUNTIF('4_1'!$A$12:$A$82,G5),"","Regularice su Deuda")</f>
        <v>Regularice su Deuda</v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VLOOKUP(G22,'4_1'!$A$12:$G$62,7,0)</f>
        <v>VILCHES, EDUARDO JAVIER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100" t="str">
        <f>+'4_1'!$H$3</f>
        <v>Hijuela El Plumero</v>
      </c>
      <c r="D22" s="76"/>
      <c r="E22" s="76"/>
      <c r="F22" s="76"/>
      <c r="G22" s="383">
        <v>2</v>
      </c>
    </row>
    <row r="23" spans="1:7">
      <c r="A23" s="381"/>
      <c r="B23" s="76"/>
      <c r="C23" s="100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VLOOKUP(G22,'4_1'!$A$12:$G$62,2,0)</f>
        <v>1249</v>
      </c>
      <c r="D24" s="76"/>
      <c r="E24" s="635" t="s">
        <v>184</v>
      </c>
      <c r="F24" s="373">
        <f>DSUM('4_1'!A$12:J$62,'4_1'!$J$12,G21:G22)</f>
        <v>9.236453289017359E-3</v>
      </c>
      <c r="G24" s="382"/>
    </row>
    <row r="25" spans="1:7">
      <c r="A25" s="381"/>
      <c r="B25" s="635" t="s">
        <v>185</v>
      </c>
      <c r="C25" s="374">
        <v>23</v>
      </c>
      <c r="D25" s="76"/>
      <c r="E25" s="635" t="s">
        <v>186</v>
      </c>
      <c r="F25" s="368" t="str">
        <f>IF(VLOOKUP(G22,'4_1'!$A$12:$D$62,4,0)=2,"Eventual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DSUM('4_1'!$A$12:$H$62,'4_1'!$H$12,G21:G22)</f>
        <v>0.58240000000000003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DMIN('4_1'!A$12:K$62,'4_1'!$K$12,G21:G22)</f>
        <v>42973.718547987926</v>
      </c>
      <c r="E27" s="127" t="str">
        <f>IF(F27=1,"Domingo",IF(F27=2,"Lunes",IF(F27=3,"Martes",IF(F27=4,"Miercoles",IF(F27=5,"Jueves",IF(F27=6,"Viernes",IF(F27=7,"Sábado",0)))))))</f>
        <v>Sábado</v>
      </c>
      <c r="F27" s="128">
        <f>WEEKDAY(D27)</f>
        <v>7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DMAX('4_1'!A$12:L$62,'4_1'!$L$12,G21:G22)</f>
        <v>42973.748617774552</v>
      </c>
      <c r="E28" s="127" t="str">
        <f>IF(F28=1,"Domingo",IF(F28=2,"Lunes",IF(F28=3,"Martes",IF(F28=4,"Miercoles",IF(F28=5,"Jueves",IF(F28=6,"Viernes",IF(F28=7,"Sábado",0)))))))</f>
        <v>Sábado</v>
      </c>
      <c r="F28" s="128">
        <f>WEEKDAY(D28)</f>
        <v>7</v>
      </c>
      <c r="G28" s="385">
        <f>WEEKDAY(D28)</f>
        <v>7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IF(DSUM('4_1'!$A$12:$P$82,16,G21:G22)=COUNTIF('4_1'!$A$12:$A$82,G22),"","Regularice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VLOOKUP(G39,'4_1'!$A$12:$G$62,7,0)</f>
        <v>LLOBELL, JUAN OSCAR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100" t="str">
        <f>+'4_1'!$H$3</f>
        <v>Hijuela El Plumero</v>
      </c>
      <c r="D39" s="76"/>
      <c r="E39" s="76"/>
      <c r="F39" s="76"/>
      <c r="G39" s="383">
        <v>3</v>
      </c>
    </row>
    <row r="40" spans="1:7">
      <c r="A40" s="381"/>
      <c r="B40" s="76"/>
      <c r="C40" s="100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VLOOKUP(G39,'4_1'!$A$12:$G$62,2,0)</f>
        <v>1249</v>
      </c>
      <c r="D41" s="76"/>
      <c r="E41" s="635" t="s">
        <v>184</v>
      </c>
      <c r="F41" s="373">
        <f>DSUM('4_1'!A$12:J$62,'4_1'!$J$12,G38:G39)</f>
        <v>0.135470096144894</v>
      </c>
      <c r="G41" s="382"/>
    </row>
    <row r="42" spans="1:7">
      <c r="A42" s="381"/>
      <c r="B42" s="635" t="s">
        <v>185</v>
      </c>
      <c r="C42" s="374">
        <v>13</v>
      </c>
      <c r="D42" s="76"/>
      <c r="E42" s="635" t="s">
        <v>186</v>
      </c>
      <c r="F42" s="368" t="str">
        <f>IF(VLOOKUP(G39,'4_1'!$A$12:$D$62,4,0)=2,"Eventual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DSUM('4_1'!$A$12:$H$62,'4_1'!$H$12,G38:G39)</f>
        <v>8.5419999999999998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DMIN('4_1'!A$12:K$62,'4_1'!$K$12,G38:G39)</f>
        <v>42973.748617774552</v>
      </c>
      <c r="E44" s="127" t="str">
        <f>IF(F44=1,"Domingo",IF(F44=2,"Lunes",IF(F44=3,"Martes",IF(F44=4,"Miercoles",IF(F44=5,"Jueves",IF(F44=6,"Viernes",IF(F44=7,"Sábado",0)))))))</f>
        <v>Sábado</v>
      </c>
      <c r="F44" s="128">
        <f>WEEKDAY(D44)</f>
        <v>7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DMAX('4_1'!A$12:L$62,'4_1'!$L$12,G38:G39)</f>
        <v>42973.884087870698</v>
      </c>
      <c r="E45" s="127" t="str">
        <f>IF(F45=1,"Domingo",IF(F45=2,"Lunes",IF(F45=3,"Martes",IF(F45=4,"Miercoles",IF(F45=5,"Jueves",IF(F45=6,"Viernes",IF(F45=7,"Sábado",0)))))))</f>
        <v>Sábado</v>
      </c>
      <c r="F45" s="128">
        <f>WEEKDAY(D45)</f>
        <v>7</v>
      </c>
      <c r="G45" s="385">
        <f>WEEKDAY(D45)</f>
        <v>7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IF(DSUM('4_1'!$A$12:$P$82,16,G38:G39)=COUNTIF('4_1'!$A$12:$A$82,G39),"","Regularice su Deuda")</f>
        <v>Regularice su Deuda</v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VLOOKUP(G56,'4_1'!$A$12:$G$62,7,0)</f>
        <v>LLOBELL, JUAN OSCAR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100" t="str">
        <f>+'4_1'!$H$3</f>
        <v>Hijuela El Plumero</v>
      </c>
      <c r="D56" s="76"/>
      <c r="E56" s="76"/>
      <c r="F56" s="76"/>
      <c r="G56" s="383">
        <v>4</v>
      </c>
    </row>
    <row r="57" spans="1:7">
      <c r="A57" s="381"/>
      <c r="B57" s="76"/>
      <c r="C57" s="100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VLOOKUP(G56,'4_1'!$A$12:$G$62,2,0)</f>
        <v>1249</v>
      </c>
      <c r="D58" s="76"/>
      <c r="E58" s="635" t="s">
        <v>184</v>
      </c>
      <c r="F58" s="373">
        <f>DSUM('4_1'!A$12:J$62,'4_1'!$J$12,G55:G56)</f>
        <v>0.61252402731755495</v>
      </c>
      <c r="G58" s="382"/>
    </row>
    <row r="59" spans="1:7">
      <c r="A59" s="381"/>
      <c r="B59" s="635" t="s">
        <v>185</v>
      </c>
      <c r="C59" s="374">
        <v>72</v>
      </c>
      <c r="D59" s="76"/>
      <c r="E59" s="635" t="s">
        <v>186</v>
      </c>
      <c r="F59" s="368" t="str">
        <f>IF(VLOOKUP(G56,'4_1'!$A$12:$D$62,4,0)=2,"Eventual 80%","Definitivo 100%")</f>
        <v>Definitivo 100%</v>
      </c>
      <c r="G59" s="382"/>
    </row>
    <row r="60" spans="1:7">
      <c r="A60" s="381"/>
      <c r="B60" s="635" t="s">
        <v>187</v>
      </c>
      <c r="C60" s="375">
        <f>DSUM('4_1'!$A$12:$H$62,'4_1'!$H$12,G55:G56)</f>
        <v>38.622399999999999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DMIN('4_1'!A$12:K$62,'4_1'!$K$12,G55:G56)</f>
        <v>42973.884087870698</v>
      </c>
      <c r="E61" s="127" t="str">
        <f>IF(F61=1,"Domingo",IF(F61=2,"Lunes",IF(F61=3,"Martes",IF(F61=4,"Miercoles",IF(F61=5,"Jueves",IF(F61=6,"Viernes",IF(F61=7,"Sábado",0)))))))</f>
        <v>Sábado</v>
      </c>
      <c r="F61" s="128">
        <f>WEEKDAY(D61)</f>
        <v>7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DMAX('4_1'!A$12:L$62,'4_1'!$L$12,G55:G56)</f>
        <v>42974.496611898016</v>
      </c>
      <c r="E62" s="127" t="str">
        <f>IF(F62=1,"Domingo",IF(F62=2,"Lunes",IF(F62=3,"Martes",IF(F62=4,"Miercoles",IF(F62=5,"Jueves",IF(F62=6,"Viernes",IF(F62=7,"Sábado",0)))))))</f>
        <v>Domingo</v>
      </c>
      <c r="F62" s="128">
        <f>WEEKDAY(D62)</f>
        <v>1</v>
      </c>
      <c r="G62" s="385">
        <f>WEEKDAY(D62)</f>
        <v>1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IF(DSUM('4_1'!$A$12:$P$82,16,G55:G56)=COUNTIF('4_1'!$A$12:$A$82,G56),"","Regularice su Deuda")</f>
        <v>Regularice su Deuda</v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VLOOKUP(G73,'4_1'!$A$12:$G$62,7,0)</f>
        <v>MONGE, JUAN CARLOS Y RUIZ DE FONOLLA, VIOLETA ARGENTINA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100" t="str">
        <f>+'4_1'!$H$3</f>
        <v>Hijuela El Plumero</v>
      </c>
      <c r="D73" s="76"/>
      <c r="E73" s="76"/>
      <c r="F73" s="76"/>
      <c r="G73" s="383">
        <v>5</v>
      </c>
    </row>
    <row r="74" spans="1:7">
      <c r="A74" s="381"/>
      <c r="B74" s="76"/>
      <c r="C74" s="100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VLOOKUP(G73,'4_1'!$A$12:$G$62,2,0)</f>
        <v>1249</v>
      </c>
      <c r="D75" s="76"/>
      <c r="E75" s="635" t="s">
        <v>184</v>
      </c>
      <c r="F75" s="373">
        <f>DSUM('4_1'!A$12:J$62,'4_1'!$J$12,G72:G73)</f>
        <v>3.7377185974512553E-3</v>
      </c>
      <c r="G75" s="382"/>
    </row>
    <row r="76" spans="1:7">
      <c r="A76" s="381"/>
      <c r="B76" s="635" t="s">
        <v>185</v>
      </c>
      <c r="C76" s="374">
        <v>5</v>
      </c>
      <c r="D76" s="76"/>
      <c r="E76" s="635" t="s">
        <v>186</v>
      </c>
      <c r="F76" s="368" t="str">
        <f>IF(VLOOKUP(G73,'4_1'!$A$12:$D$62,4,0)=2,"Eventual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DSUM('4_1'!$A$12:$H$62,'4_1'!$H$12,G72:G73)</f>
        <v>0.23568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DMIN('4_1'!A$12:K$62,'4_1'!$K$12,G72:G73)</f>
        <v>42974.496611898016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 t="s">
        <v>70</v>
      </c>
    </row>
    <row r="79" spans="1:7" ht="15.75">
      <c r="A79" s="381"/>
      <c r="B79" s="76"/>
      <c r="C79" s="635" t="s">
        <v>190</v>
      </c>
      <c r="D79" s="107">
        <f>DMAX('4_1'!A$12:L$62,'4_1'!$L$12,G72:G73)</f>
        <v>42974.50034961661</v>
      </c>
      <c r="E79" s="127" t="str">
        <f>IF(F79=1,"Domingo",IF(F79=2,"Lunes",IF(F79=3,"Martes",IF(F79=4,"Miercoles",IF(F79=5,"Jueves",IF(F79=6,"Viernes",IF(F79=7,"Sábado",0)))))))</f>
        <v>Domingo</v>
      </c>
      <c r="F79" s="128">
        <f>WEEKDAY(D79)</f>
        <v>1</v>
      </c>
      <c r="G79" s="385">
        <f>WEEKDAY(D79)</f>
        <v>1</v>
      </c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IF(DSUM('4_1'!$A$12:$P$82,16,G72:G73)=COUNTIF('4_1'!$A$12:$A$82,G73),"","Regularice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VLOOKUP(G90,'4_1'!$A$12:$G$62,7,0)</f>
        <v>ROMERO, RAUL ARMANDO Y ROMERO, ROBERTO EDGARDO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100" t="str">
        <f>+'4_1'!$H$3</f>
        <v>Hijuela El Plumero</v>
      </c>
      <c r="D90" s="76"/>
      <c r="E90" s="76"/>
      <c r="F90" s="76"/>
      <c r="G90" s="383">
        <v>6</v>
      </c>
    </row>
    <row r="91" spans="1:7">
      <c r="A91" s="381"/>
      <c r="B91" s="76"/>
      <c r="C91" s="100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VLOOKUP(G90,'4_1'!$A$12:$G$62,2,0)</f>
        <v>1249</v>
      </c>
      <c r="D92" s="76"/>
      <c r="E92" s="635" t="s">
        <v>184</v>
      </c>
      <c r="F92" s="373">
        <f>DSUM('4_1'!A$12:J$62,'4_1'!$J$12,G89:G90)</f>
        <v>0.21406241743447924</v>
      </c>
      <c r="G92" s="382"/>
    </row>
    <row r="93" spans="1:7">
      <c r="A93" s="381"/>
      <c r="B93" s="635" t="s">
        <v>185</v>
      </c>
      <c r="C93" s="374" t="s">
        <v>275</v>
      </c>
      <c r="D93" s="76"/>
      <c r="E93" s="635" t="s">
        <v>186</v>
      </c>
      <c r="F93" s="368" t="str">
        <f>IF(VLOOKUP(G90,'4_1'!$A$12:$D$62,4,0)=2,"Eventual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DSUM('4_1'!$A$12:$H$62,'4_1'!$H$12,G89:G90)</f>
        <v>13.497600000000002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DMIN('4_1'!A$12:K$62,'4_1'!$K$12,G89:G90)</f>
        <v>42974.50034961661</v>
      </c>
      <c r="E95" s="127" t="str">
        <f>IF(F95=1,"Domingo",IF(F95=2,"Lunes",IF(F95=3,"Martes",IF(F95=4,"Miercoles",IF(F95=5,"Jueves",IF(F95=6,"Viernes",IF(F95=7,"Sábado",0)))))))</f>
        <v>Domingo</v>
      </c>
      <c r="F95" s="128">
        <f>WEEKDAY(D95)</f>
        <v>1</v>
      </c>
      <c r="G95" s="385" t="s">
        <v>70</v>
      </c>
    </row>
    <row r="96" spans="1:7" ht="15.75">
      <c r="A96" s="381"/>
      <c r="B96" s="76"/>
      <c r="C96" s="635" t="s">
        <v>190</v>
      </c>
      <c r="D96" s="107">
        <f>DMAX('4_1'!A$12:L$62,'4_1'!$L$12,G89:G90)</f>
        <v>42974.735245367381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>
        <f>WEEKDAY(D96)</f>
        <v>1</v>
      </c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IF(DSUM('4_1'!$A$12:$P$82,16,G89:G90)=COUNTIF('4_1'!$A$12:$A$82,G90),"","Regularice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VLOOKUP(G107,'4_1'!$A$12:$G$62,7,0)</f>
        <v>PEÑAFORT, PEDRO MARIO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100" t="str">
        <f>+'4_1'!$H$3</f>
        <v>Hijuela El Plumero</v>
      </c>
      <c r="D107" s="76"/>
      <c r="E107" s="76"/>
      <c r="F107" s="76"/>
      <c r="G107" s="383">
        <v>7</v>
      </c>
    </row>
    <row r="108" spans="1:7">
      <c r="A108" s="381"/>
      <c r="B108" s="76"/>
      <c r="C108" s="100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VLOOKUP(G107,'4_1'!$A$12:$G$62,2,0)</f>
        <v>1249</v>
      </c>
      <c r="D109" s="76"/>
      <c r="E109" s="635" t="s">
        <v>184</v>
      </c>
      <c r="F109" s="373">
        <f>DSUM('4_1'!A$12:J$62,'4_1'!$J$12,G106:G107)</f>
        <v>0</v>
      </c>
      <c r="G109" s="382"/>
    </row>
    <row r="110" spans="1:7">
      <c r="A110" s="381"/>
      <c r="B110" s="635" t="s">
        <v>185</v>
      </c>
      <c r="C110" s="374">
        <v>16</v>
      </c>
      <c r="D110" s="76"/>
      <c r="E110" s="635" t="s">
        <v>186</v>
      </c>
      <c r="F110" s="368" t="str">
        <f>IF(VLOOKUP(G107,'4_1'!$A$12:$D$62,4,0)=2,"Eventual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DSUM('4_1'!$A$12:$H$62,'4_1'!$H$12,G106:G107)</f>
        <v>0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DMIN('4_1'!A$12:K$62,'4_1'!$K$12,G106:G107)</f>
        <v>42974.735245367381</v>
      </c>
      <c r="E112" s="127" t="str">
        <f>IF(F112=1,"Domingo",IF(F112=2,"Lunes",IF(F112=3,"Martes",IF(F112=4,"Miercoles",IF(F112=5,"Jueves",IF(F112=6,"Viernes",IF(F112=7,"Sábado",0)))))))</f>
        <v>Domingo</v>
      </c>
      <c r="F112" s="128">
        <f>WEEKDAY(D112)</f>
        <v>1</v>
      </c>
      <c r="G112" s="385" t="s">
        <v>70</v>
      </c>
    </row>
    <row r="113" spans="1:7" ht="15.75">
      <c r="A113" s="381"/>
      <c r="B113" s="76"/>
      <c r="C113" s="635" t="s">
        <v>190</v>
      </c>
      <c r="D113" s="107">
        <f>DMAX('4_1'!A$12:L$62,'4_1'!$L$12,G106:G107)</f>
        <v>42974.735245367381</v>
      </c>
      <c r="E113" s="127" t="str">
        <f>IF(F113=1,"Domingo",IF(F113=2,"Lunes",IF(F113=3,"Martes",IF(F113=4,"Miercoles",IF(F113=5,"Jueves",IF(F113=6,"Viernes",IF(F113=7,"Sábado",0)))))))</f>
        <v>Domingo</v>
      </c>
      <c r="F113" s="128">
        <f>WEEKDAY(D113)</f>
        <v>1</v>
      </c>
      <c r="G113" s="385">
        <f>WEEKDAY(D113)</f>
        <v>1</v>
      </c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IF(DSUM('4_1'!$A$12:$P$82,16,G106:G107)=COUNTIF('4_1'!$A$12:$A$82,G107),"","Regularice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VLOOKUP(G124,'4_1'!$A$12:$G$62,7,0)</f>
        <v>PEÑAFORT, PEDRO MARIO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100" t="str">
        <f>+'4_1'!$H$3</f>
        <v>Hijuela El Plumero</v>
      </c>
      <c r="D124" s="76"/>
      <c r="E124" s="76"/>
      <c r="F124" s="76"/>
      <c r="G124" s="383">
        <v>8</v>
      </c>
    </row>
    <row r="125" spans="1:7">
      <c r="A125" s="381"/>
      <c r="B125" s="76"/>
      <c r="C125" s="100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VLOOKUP(G124,'4_1'!$A$12:$G$62,2,0)</f>
        <v>1249</v>
      </c>
      <c r="D126" s="76"/>
      <c r="E126" s="635" t="s">
        <v>184</v>
      </c>
      <c r="F126" s="373">
        <f>DSUM('4_1'!A$12:J$62,'4_1'!$J$12,G123:G124)</f>
        <v>0</v>
      </c>
      <c r="G126" s="382"/>
    </row>
    <row r="127" spans="1:7">
      <c r="A127" s="381"/>
      <c r="B127" s="635" t="s">
        <v>185</v>
      </c>
      <c r="C127" s="374" t="s">
        <v>276</v>
      </c>
      <c r="D127" s="76"/>
      <c r="E127" s="635" t="s">
        <v>186</v>
      </c>
      <c r="F127" s="368" t="str">
        <f>IF(VLOOKUP(G124,'4_1'!$A$12:$D$62,4,0)=2,"Eventual 80%","Definitivo 100%")</f>
        <v>Definitivo 100%</v>
      </c>
      <c r="G127" s="382"/>
    </row>
    <row r="128" spans="1:7">
      <c r="A128" s="381"/>
      <c r="B128" s="635" t="s">
        <v>187</v>
      </c>
      <c r="C128" s="375">
        <f>DSUM('4_1'!$A$12:$H$62,'4_1'!$H$12,G123:G124)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DMIN('4_1'!A$12:K$62,'4_1'!$K$12,G123:G124)</f>
        <v>42974.735245367381</v>
      </c>
      <c r="E129" s="127" t="str">
        <f>IF(F129=1,"Domingo",IF(F129=2,"Lunes",IF(F129=3,"Martes",IF(F129=4,"Miercoles",IF(F129=5,"Jueves",IF(F129=6,"Viernes",IF(F129=7,"Sábado",0)))))))</f>
        <v>Domingo</v>
      </c>
      <c r="F129" s="128">
        <f>WEEKDAY(D129)</f>
        <v>1</v>
      </c>
      <c r="G129" s="385" t="s">
        <v>70</v>
      </c>
    </row>
    <row r="130" spans="1:7" ht="15.75">
      <c r="A130" s="381"/>
      <c r="B130" s="76"/>
      <c r="C130" s="635" t="s">
        <v>190</v>
      </c>
      <c r="D130" s="107">
        <f>DMAX('4_1'!A$12:L$62,'4_1'!$L$12,G123:G124)</f>
        <v>42974.735245367381</v>
      </c>
      <c r="E130" s="127" t="str">
        <f>IF(F130=1,"Domingo",IF(F130=2,"Lunes",IF(F130=3,"Martes",IF(F130=4,"Miercoles",IF(F130=5,"Jueves",IF(F130=6,"Viernes",IF(F130=7,"Sábado",0)))))))</f>
        <v>Domingo</v>
      </c>
      <c r="F130" s="128">
        <f>WEEKDAY(D130)</f>
        <v>1</v>
      </c>
      <c r="G130" s="385">
        <f>WEEKDAY(D130)</f>
        <v>1</v>
      </c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IF(DSUM('4_1'!$A$12:$P$82,16,G123:G124)=COUNTIF('4_1'!$A$12:$A$82,G124),"","Regularice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VLOOKUP(G141,'4_1'!$A$12:$G$62,7,0)</f>
        <v>NUEVA EMPRESA S.A.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100" t="str">
        <f>+'4_1'!$H$3</f>
        <v>Hijuela El Plumero</v>
      </c>
      <c r="D141" s="76"/>
      <c r="E141" s="76"/>
      <c r="F141" s="76"/>
      <c r="G141" s="383">
        <v>9</v>
      </c>
    </row>
    <row r="142" spans="1:7">
      <c r="A142" s="381"/>
      <c r="B142" s="76"/>
      <c r="C142" s="100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VLOOKUP(G141,'4_1'!$A$12:$G$62,2,0)</f>
        <v>1249</v>
      </c>
      <c r="D143" s="76"/>
      <c r="E143" s="635" t="s">
        <v>184</v>
      </c>
      <c r="F143" s="373">
        <f>DSUM('4_1'!A$12:J$62,'4_1'!$J$12,G140:G141)</f>
        <v>0.78539668430863463</v>
      </c>
      <c r="G143" s="382"/>
    </row>
    <row r="144" spans="1:7">
      <c r="A144" s="381"/>
      <c r="B144" s="635" t="s">
        <v>185</v>
      </c>
      <c r="C144" s="374">
        <v>70</v>
      </c>
      <c r="D144" s="76"/>
      <c r="E144" s="635" t="s">
        <v>186</v>
      </c>
      <c r="F144" s="368" t="str">
        <f>IF(VLOOKUP(G141,'4_1'!$A$12:$D$62,4,0)=2,"Eventual 80%","Definitivo 100%")</f>
        <v>Definitivo 100%</v>
      </c>
      <c r="G144" s="382"/>
    </row>
    <row r="145" spans="1:7">
      <c r="A145" s="381"/>
      <c r="B145" s="635" t="s">
        <v>187</v>
      </c>
      <c r="C145" s="375">
        <f>DSUM('4_1'!$A$12:$H$62,'4_1'!$H$12,G140:G141)</f>
        <v>49.522799999999997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DMIN('4_1'!A$12:K$62,'4_1'!$K$12,G140:G141)</f>
        <v>42974.735245367381</v>
      </c>
      <c r="E146" s="127" t="str">
        <f>IF(F146=1,"Domingo",IF(F146=2,"Lunes",IF(F146=3,"Martes",IF(F146=4,"Miercoles",IF(F146=5,"Jueves",IF(F146=6,"Viernes",IF(F146=7,"Sábado",0)))))))</f>
        <v>Domingo</v>
      </c>
      <c r="F146" s="128">
        <f>WEEKDAY(D146)</f>
        <v>1</v>
      </c>
      <c r="G146" s="385" t="s">
        <v>70</v>
      </c>
    </row>
    <row r="147" spans="1:7" ht="15.75">
      <c r="A147" s="381"/>
      <c r="B147" s="76"/>
      <c r="C147" s="635" t="s">
        <v>190</v>
      </c>
      <c r="D147" s="107">
        <f>DMAX('4_1'!A$12:L$62,'4_1'!$L$12,G140:G141)</f>
        <v>42975.520642051692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385">
        <f>WEEKDAY(D147)</f>
        <v>2</v>
      </c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108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108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IF(DSUM('4_1'!$A$12:$P$82,16,G140:G141)=COUNTIF('4_1'!$A$12:$A$82,G141),"","Regularice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VLOOKUP(G158,'4_1'!$A$12:$G$62,7,0)</f>
        <v>ARVER  S.A.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100" t="str">
        <f>+'4_1'!$H$3</f>
        <v>Hijuela El Plumero</v>
      </c>
      <c r="D158" s="76"/>
      <c r="E158" s="76"/>
      <c r="F158" s="76"/>
      <c r="G158" s="383">
        <v>10</v>
      </c>
    </row>
    <row r="159" spans="1:7">
      <c r="A159" s="381"/>
      <c r="B159" s="76"/>
      <c r="C159" s="100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VLOOKUP(G158,'4_1'!$A$12:$G$62,2,0)</f>
        <v>1249</v>
      </c>
      <c r="D160" s="76"/>
      <c r="E160" s="635" t="s">
        <v>184</v>
      </c>
      <c r="F160" s="373">
        <f>DSUM('4_1'!A$12:J$62,'4_1'!$J$12,G157:G158)</f>
        <v>0.70685574713418753</v>
      </c>
      <c r="G160" s="382"/>
    </row>
    <row r="161" spans="1:7">
      <c r="A161" s="381"/>
      <c r="B161" s="635" t="s">
        <v>185</v>
      </c>
      <c r="C161" s="374" t="s">
        <v>277</v>
      </c>
      <c r="D161" s="76"/>
      <c r="E161" s="635" t="s">
        <v>186</v>
      </c>
      <c r="F161" s="368" t="str">
        <f>IF(VLOOKUP(G158,'4_1'!$A$12:$D$62,4,0)=2,"Eventual 80%","Definitivo 100%")</f>
        <v>Definitivo 100%</v>
      </c>
      <c r="G161" s="382"/>
    </row>
    <row r="162" spans="1:7">
      <c r="A162" s="381"/>
      <c r="B162" s="635" t="s">
        <v>187</v>
      </c>
      <c r="C162" s="375">
        <f>DSUM('4_1'!$A$12:$H$62,'4_1'!$H$12,G157:G158)</f>
        <v>44.570439999999998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DMIN('4_1'!A$12:K$62,'4_1'!$K$12,G157:G158)</f>
        <v>42975.520642051692</v>
      </c>
      <c r="E163" s="127" t="str">
        <f>IF(F163=1,"Domingo",IF(F163=2,"Lunes",IF(F163=3,"Martes",IF(F163=4,"Miercoles",IF(F163=5,"Jueves",IF(F163=6,"Viernes",IF(F163=7,"Sábado",0)))))))</f>
        <v>Lunes</v>
      </c>
      <c r="F163" s="128">
        <f>WEEKDAY(D163)</f>
        <v>2</v>
      </c>
      <c r="G163" s="385" t="s">
        <v>70</v>
      </c>
    </row>
    <row r="164" spans="1:7" ht="15.75">
      <c r="A164" s="381"/>
      <c r="B164" s="76"/>
      <c r="C164" s="635" t="s">
        <v>190</v>
      </c>
      <c r="D164" s="107">
        <f>DMAX('4_1'!A$12:L$62,'4_1'!$L$12,G157:G158)</f>
        <v>42976.227497798827</v>
      </c>
      <c r="E164" s="127" t="str">
        <f>IF(F164=1,"Domingo",IF(F164=2,"Lunes",IF(F164=3,"Martes",IF(F164=4,"Miercoles",IF(F164=5,"Jueves",IF(F164=6,"Viernes",IF(F164=7,"Sábado",0)))))))</f>
        <v>Martes</v>
      </c>
      <c r="F164" s="128">
        <f>WEEKDAY(D164)</f>
        <v>3</v>
      </c>
      <c r="G164" s="385">
        <f>WEEKDAY(D164)</f>
        <v>3</v>
      </c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108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108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IF(DSUM('4_1'!$A$12:$P$82,16,G157:G158)=COUNTIF('4_1'!$A$12:$A$82,G158),"","Regularice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VLOOKUP(G175,'4_1'!$A$12:$G$62,7,0)</f>
        <v>MIRABILE SCOLARO, ALBERTO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100" t="str">
        <f>+'4_1'!$H$3</f>
        <v>Hijuela El Plumero</v>
      </c>
      <c r="D175" s="76"/>
      <c r="E175" s="76"/>
      <c r="F175" s="76"/>
      <c r="G175" s="383">
        <v>11</v>
      </c>
    </row>
    <row r="176" spans="1:7">
      <c r="A176" s="381"/>
      <c r="B176" s="76"/>
      <c r="C176" s="100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VLOOKUP(G175,'4_1'!$A$12:$G$62,2,0)</f>
        <v>1249</v>
      </c>
      <c r="D177" s="76"/>
      <c r="E177" s="635" t="s">
        <v>184</v>
      </c>
      <c r="F177" s="373">
        <f>DSUM('4_1'!A$12:J$62,'4_1'!$J$12,G174:G175)</f>
        <v>0.25488043600786747</v>
      </c>
      <c r="G177" s="382"/>
    </row>
    <row r="178" spans="1:7">
      <c r="A178" s="381"/>
      <c r="B178" s="635" t="s">
        <v>185</v>
      </c>
      <c r="C178" s="374" t="s">
        <v>278</v>
      </c>
      <c r="D178" s="76"/>
      <c r="E178" s="635" t="s">
        <v>186</v>
      </c>
      <c r="F178" s="368" t="str">
        <f>IF(VLOOKUP(G175,'4_1'!$A$12:$D$62,4,0)=2,"Eventual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DSUM('4_1'!$A$12:$H$62,'4_1'!$H$12,G174:G175)</f>
        <v>16.071360000000002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DMIN('4_1'!A$12:K$62,'4_1'!$K$12,G174:G175)</f>
        <v>42976.227497798827</v>
      </c>
      <c r="E180" s="127" t="str">
        <f>IF(F180=1,"Domingo",IF(F180=2,"Lunes",IF(F180=3,"Martes",IF(F180=4,"Miercoles",IF(F180=5,"Jueves",IF(F180=6,"Viernes",IF(F180=7,"Sábado",0)))))))</f>
        <v>Martes</v>
      </c>
      <c r="F180" s="128">
        <f>WEEKDAY(D180)</f>
        <v>3</v>
      </c>
      <c r="G180" s="385" t="s">
        <v>70</v>
      </c>
    </row>
    <row r="181" spans="1:7" ht="15.75">
      <c r="A181" s="381"/>
      <c r="B181" s="76"/>
      <c r="C181" s="635" t="s">
        <v>190</v>
      </c>
      <c r="D181" s="107">
        <f>DMAX('4_1'!A$12:L$62,'4_1'!$L$12,G174:G175)</f>
        <v>42976.482378234832</v>
      </c>
      <c r="E181" s="127" t="str">
        <f>IF(F181=1,"Domingo",IF(F181=2,"Lunes",IF(F181=3,"Martes",IF(F181=4,"Miercoles",IF(F181=5,"Jueves",IF(F181=6,"Viernes",IF(F181=7,"Sábado",0)))))))</f>
        <v>Martes</v>
      </c>
      <c r="F181" s="128">
        <f>WEEKDAY(D181)</f>
        <v>3</v>
      </c>
      <c r="G181" s="385">
        <f>WEEKDAY(D181)</f>
        <v>3</v>
      </c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108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108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IF(DSUM('4_1'!$A$12:$P$82,16,G174:G175)=COUNTIF('4_1'!$A$12:$A$82,G175),"","Regularice su Deuda")</f>
        <v>Regularice su Deuda</v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">
        <v>82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VLOOKUP(G192,'4_1'!$A$12:$G$62,7,0)</f>
        <v>DUCI, FRANCISCO MARIANO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100" t="str">
        <f>+'4_1'!$H$3</f>
        <v>Hijuela El Plumero</v>
      </c>
      <c r="D192" s="76"/>
      <c r="E192" s="76"/>
      <c r="F192" s="76"/>
      <c r="G192" s="383">
        <v>12</v>
      </c>
    </row>
    <row r="193" spans="1:7">
      <c r="A193" s="381"/>
      <c r="B193" s="76"/>
      <c r="C193" s="100"/>
      <c r="D193" s="76"/>
      <c r="E193" s="76"/>
      <c r="F193" s="76"/>
      <c r="G193" s="382"/>
    </row>
    <row r="194" spans="1:7">
      <c r="A194" s="381"/>
      <c r="B194" s="635" t="s">
        <v>183</v>
      </c>
      <c r="C194" s="331">
        <f>VLOOKUP(G192,'4_1'!$A$12:$G$62,2,0)</f>
        <v>1249</v>
      </c>
      <c r="D194" s="76"/>
      <c r="E194" s="635" t="s">
        <v>184</v>
      </c>
      <c r="F194" s="373">
        <f>DSUM('4_1'!A$12:J$62,'4_1'!$J$12,G191:G192)</f>
        <v>0.65830061300176757</v>
      </c>
      <c r="G194" s="382"/>
    </row>
    <row r="195" spans="1:7">
      <c r="A195" s="381"/>
      <c r="B195" s="635" t="s">
        <v>185</v>
      </c>
      <c r="C195" s="374" t="s">
        <v>279</v>
      </c>
      <c r="D195" s="76"/>
      <c r="E195" s="635" t="s">
        <v>186</v>
      </c>
      <c r="F195" s="368" t="str">
        <f>IF(VLOOKUP(G192,'4_1'!$A$12:$D$62,4,0)=2,"Eventual 80%","Definitivo 100%")</f>
        <v>Eventual 80%</v>
      </c>
      <c r="G195" s="382"/>
    </row>
    <row r="196" spans="1:7">
      <c r="A196" s="381"/>
      <c r="B196" s="635" t="s">
        <v>187</v>
      </c>
      <c r="C196" s="375">
        <f>DSUM('4_1'!$A$12:$H$62,'4_1'!$H$12,G191:G192)</f>
        <v>41.50882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635" t="s">
        <v>189</v>
      </c>
      <c r="D197" s="107">
        <f>DMIN('4_1'!A$12:K$62,'4_1'!$K$12,G191:G192)</f>
        <v>42976.482378234832</v>
      </c>
      <c r="E197" s="127" t="str">
        <f>IF(F197=1,"Domingo",IF(F197=2,"Lunes",IF(F197=3,"Martes",IF(F197=4,"Miercoles",IF(F197=5,"Jueves",IF(F197=6,"Viernes",IF(F197=7,"Sábado",0)))))))</f>
        <v>Martes</v>
      </c>
      <c r="F197" s="128">
        <f>WEEKDAY(D197)</f>
        <v>3</v>
      </c>
      <c r="G197" s="385" t="s">
        <v>70</v>
      </c>
    </row>
    <row r="198" spans="1:7" ht="15.75">
      <c r="A198" s="381"/>
      <c r="B198" s="76"/>
      <c r="C198" s="635" t="s">
        <v>190</v>
      </c>
      <c r="D198" s="107">
        <f>DMAX('4_1'!A$12:L$62,'4_1'!$L$12,G191:G192)</f>
        <v>42977.182345514506</v>
      </c>
      <c r="E198" s="127" t="str">
        <f>IF(F198=1,"Domingo",IF(F198=2,"Lunes",IF(F198=3,"Martes",IF(F198=4,"Miercoles",IF(F198=5,"Jueves",IF(F198=6,"Viernes",IF(F198=7,"Sábado",0)))))))</f>
        <v>Miercoles</v>
      </c>
      <c r="F198" s="128">
        <f>WEEKDAY(D198)</f>
        <v>4</v>
      </c>
      <c r="G198" s="385">
        <f>WEEKDAY(D198)</f>
        <v>4</v>
      </c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108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108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IF(DSUM('4_1'!$A$12:$P$82,16,G191:G192)=COUNTIF('4_1'!$A$12:$A$82,G192),"","Regularice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">
        <v>82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VLOOKUP(G209,'4_1'!$A$12:$G$62,7,0)</f>
        <v>LUCESOLE, ROBERTO Y LUCESOLE, ROBERTO CARLOS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100" t="str">
        <f>+'4_1'!$H$3</f>
        <v>Hijuela El Plumero</v>
      </c>
      <c r="D209" s="76"/>
      <c r="E209" s="76"/>
      <c r="F209" s="76"/>
      <c r="G209" s="383">
        <v>13</v>
      </c>
    </row>
    <row r="210" spans="1:7">
      <c r="A210" s="381"/>
      <c r="B210" s="76"/>
      <c r="C210" s="100"/>
      <c r="D210" s="76"/>
      <c r="E210" s="76"/>
      <c r="F210" s="76"/>
      <c r="G210" s="382"/>
    </row>
    <row r="211" spans="1:7">
      <c r="A211" s="381"/>
      <c r="B211" s="635" t="s">
        <v>183</v>
      </c>
      <c r="C211" s="331">
        <f>VLOOKUP(G209,'4_1'!$A$12:$G$62,2,0)</f>
        <v>1249</v>
      </c>
      <c r="D211" s="76"/>
      <c r="E211" s="635" t="s">
        <v>184</v>
      </c>
      <c r="F211" s="373">
        <f>DSUM('4_1'!A$12:J$62,'4_1'!$J$12,G208:G209)</f>
        <v>0.34890448550546338</v>
      </c>
      <c r="G211" s="382"/>
    </row>
    <row r="212" spans="1:7">
      <c r="A212" s="381"/>
      <c r="B212" s="635" t="s">
        <v>185</v>
      </c>
      <c r="C212" s="374" t="s">
        <v>280</v>
      </c>
      <c r="D212" s="76"/>
      <c r="E212" s="635" t="s">
        <v>186</v>
      </c>
      <c r="F212" s="368" t="str">
        <f>IF(VLOOKUP(G209,'4_1'!$A$12:$D$62,4,0)=2,"Eventual 80%","Definitivo 100%")</f>
        <v>Definitivo 100%</v>
      </c>
      <c r="G212" s="382"/>
    </row>
    <row r="213" spans="1:7">
      <c r="A213" s="381"/>
      <c r="B213" s="635" t="s">
        <v>187</v>
      </c>
      <c r="C213" s="375">
        <f>DSUM('4_1'!$A$12:$H$62,'4_1'!$H$12,G208:G209)</f>
        <v>22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635" t="s">
        <v>189</v>
      </c>
      <c r="D214" s="107">
        <f>DMIN('4_1'!A$12:K$62,'4_1'!$K$12,G208:G209)</f>
        <v>42977.182345514506</v>
      </c>
      <c r="E214" s="127" t="str">
        <f>IF(F214=1,"Domingo",IF(F214=2,"Lunes",IF(F214=3,"Martes",IF(F214=4,"Miercoles",IF(F214=5,"Jueves",IF(F214=6,"Viernes",IF(F214=7,"Sábado",0)))))))</f>
        <v>Miercoles</v>
      </c>
      <c r="F214" s="128">
        <f>WEEKDAY(D214)</f>
        <v>4</v>
      </c>
      <c r="G214" s="385" t="s">
        <v>70</v>
      </c>
    </row>
    <row r="215" spans="1:7" ht="15.75">
      <c r="A215" s="381"/>
      <c r="B215" s="76"/>
      <c r="C215" s="635" t="s">
        <v>190</v>
      </c>
      <c r="D215" s="107">
        <f>DMAX('4_1'!A$12:L$62,'4_1'!$L$12,G208:G209)</f>
        <v>42977.531250000007</v>
      </c>
      <c r="E215" s="127" t="str">
        <f>IF(F215=1,"Domingo",IF(F215=2,"Lunes",IF(F215=3,"Martes",IF(F215=4,"Miercoles",IF(F215=5,"Jueves",IF(F215=6,"Viernes",IF(F215=7,"Sábado",0)))))))</f>
        <v>Miercoles</v>
      </c>
      <c r="F215" s="128">
        <f>WEEKDAY(D215)</f>
        <v>4</v>
      </c>
      <c r="G215" s="385">
        <f>WEEKDAY(D215)</f>
        <v>4</v>
      </c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108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108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IF(DSUM('4_1'!$A$12:$P$82,16,G208:G209)=COUNTIF('4_1'!$A$12:$A$82,G209),"","Regularice su Deuda")</f>
        <v/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">
        <v>82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e">
        <f>VLOOKUP(G226,'4_1'!$A$12:$G$62,7,0)</f>
        <v>#N/A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100" t="str">
        <f>+'4_1'!$H$3</f>
        <v>Hijuela El Plumero</v>
      </c>
      <c r="D226" s="76"/>
      <c r="E226" s="76"/>
      <c r="F226" s="76"/>
      <c r="G226" s="383">
        <v>14</v>
      </c>
    </row>
    <row r="227" spans="1:7">
      <c r="A227" s="381"/>
      <c r="B227" s="76"/>
      <c r="C227" s="100"/>
      <c r="D227" s="76"/>
      <c r="E227" s="76"/>
      <c r="F227" s="76"/>
      <c r="G227" s="382"/>
    </row>
    <row r="228" spans="1:7">
      <c r="A228" s="381"/>
      <c r="B228" s="635" t="s">
        <v>183</v>
      </c>
      <c r="C228" s="331" t="e">
        <f>VLOOKUP(G226,'4_1'!$A$12:$G$62,2,0)</f>
        <v>#N/A</v>
      </c>
      <c r="D228" s="76"/>
      <c r="E228" s="635" t="s">
        <v>184</v>
      </c>
      <c r="F228" s="373">
        <f>DSUM('4_1'!A$12:J$62,'4_1'!$J$12,G225:G226)</f>
        <v>0</v>
      </c>
      <c r="G228" s="382"/>
    </row>
    <row r="229" spans="1:7">
      <c r="A229" s="381"/>
      <c r="B229" s="635" t="s">
        <v>185</v>
      </c>
      <c r="C229" s="374" t="s">
        <v>280</v>
      </c>
      <c r="D229" s="76"/>
      <c r="E229" s="635" t="s">
        <v>186</v>
      </c>
      <c r="F229" s="368" t="e">
        <f>IF(VLOOKUP(G226,'4_1'!$A$12:$D$62,4,0)=2,"Eventual 80%","Definitivo 100%")</f>
        <v>#N/A</v>
      </c>
      <c r="G229" s="382"/>
    </row>
    <row r="230" spans="1:7">
      <c r="A230" s="381"/>
      <c r="B230" s="635" t="s">
        <v>187</v>
      </c>
      <c r="C230" s="375">
        <f>DSUM('4_1'!$A$12:$H$62,'4_1'!$H$12,G225:G226)</f>
        <v>0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635" t="s">
        <v>189</v>
      </c>
      <c r="D231" s="107">
        <f>DMIN('4_1'!A$12:K$62,'4_1'!$K$12,G225:G226)</f>
        <v>0</v>
      </c>
      <c r="E231" s="127" t="str">
        <f>IF(F231=1,"Domingo",IF(F231=2,"Lunes",IF(F231=3,"Martes",IF(F231=4,"Miercoles",IF(F231=5,"Jueves",IF(F231=6,"Viernes",IF(F231=7,"Sábado",0)))))))</f>
        <v>Sábado</v>
      </c>
      <c r="F231" s="128">
        <f>WEEKDAY(D231)</f>
        <v>7</v>
      </c>
      <c r="G231" s="385" t="s">
        <v>70</v>
      </c>
    </row>
    <row r="232" spans="1:7" ht="15.75">
      <c r="A232" s="381"/>
      <c r="B232" s="76"/>
      <c r="C232" s="635" t="s">
        <v>190</v>
      </c>
      <c r="D232" s="107">
        <f>DMAX('4_1'!A$12:L$62,'4_1'!$L$12,G225:G226)</f>
        <v>0</v>
      </c>
      <c r="E232" s="127" t="str">
        <f>IF(F232=1,"Domingo",IF(F232=2,"Lunes",IF(F232=3,"Martes",IF(F232=4,"Miercoles",IF(F232=5,"Jueves",IF(F232=6,"Viernes",IF(F232=7,"Sábado",0)))))))</f>
        <v>Sábado</v>
      </c>
      <c r="F232" s="128">
        <f>WEEKDAY(D232)</f>
        <v>7</v>
      </c>
      <c r="G232" s="385">
        <f>WEEKDAY(D232)</f>
        <v>7</v>
      </c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108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108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IF(DSUM('4_1'!$A$12:$P$82,16,G225:G226)=COUNTIF('4_1'!$A$12:$A$82,G226),"","Regularice su Deuda")</f>
        <v/>
      </c>
      <c r="C237" s="326"/>
      <c r="D237" s="326"/>
      <c r="E237" s="326"/>
      <c r="F237" s="326"/>
      <c r="G237" s="388"/>
    </row>
  </sheetData>
  <phoneticPr fontId="0" type="noConversion"/>
  <pageMargins left="0.55118110236220474" right="0.59055118110236227" top="0.15748031496062992" bottom="0.19685039370078741" header="0" footer="0"/>
  <pageSetup scale="88" orientation="portrait" r:id="rId1"/>
  <headerFooter alignWithMargins="0"/>
  <rowBreaks count="3" manualBreakCount="3">
    <brk id="67" max="8" man="1"/>
    <brk id="136" max="8" man="1"/>
    <brk id="204" max="8" man="1"/>
  </rowBreaks>
  <colBreaks count="1" manualBreakCount="1">
    <brk id="8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T32"/>
  <sheetViews>
    <sheetView zoomScale="85" zoomScaleNormal="100" zoomScaleSheetLayoutView="85" workbookViewId="0" xr3:uid="{33642244-9AC9-5136-AF77-195C889548CE}">
      <selection activeCell="J26" sqref="J26"/>
    </sheetView>
  </sheetViews>
  <sheetFormatPr defaultRowHeight="12.75"/>
  <cols>
    <col min="1" max="2" width="7.42578125" customWidth="1"/>
    <col min="3" max="3" width="6.85546875" customWidth="1"/>
    <col min="4" max="4" width="8.28515625" customWidth="1"/>
    <col min="5" max="5" width="10.28515625" customWidth="1"/>
    <col min="6" max="6" width="12.85546875" customWidth="1"/>
    <col min="7" max="7" width="23.7109375" customWidth="1"/>
    <col min="8" max="8" width="11.7109375" bestFit="1" customWidth="1"/>
    <col min="9" max="9" width="9.5703125" bestFit="1" customWidth="1"/>
    <col min="10" max="10" width="10.85546875" customWidth="1"/>
    <col min="11" max="11" width="17.5703125" bestFit="1" customWidth="1"/>
    <col min="12" max="12" width="16.7109375" customWidth="1"/>
    <col min="13" max="14" width="22.5703125" customWidth="1"/>
    <col min="15" max="15" width="11.42578125" customWidth="1"/>
    <col min="16" max="18" width="11.5703125" bestFit="1" customWidth="1"/>
    <col min="19" max="19" width="12.5703125" bestFit="1" customWidth="1"/>
    <col min="20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0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1:20">
      <c r="A3" s="99"/>
      <c r="B3" s="99"/>
      <c r="C3" s="671" t="s">
        <v>123</v>
      </c>
      <c r="D3" s="671"/>
      <c r="E3" s="671"/>
      <c r="F3" s="671"/>
      <c r="G3" s="671"/>
      <c r="H3" s="99" t="s">
        <v>281</v>
      </c>
      <c r="I3" s="99"/>
      <c r="J3" s="99"/>
      <c r="K3" s="99"/>
      <c r="L3" s="99"/>
      <c r="M3" s="99"/>
      <c r="N3" s="99"/>
    </row>
    <row r="4" spans="1:20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20" ht="13.5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</row>
    <row r="6" spans="1:20">
      <c r="A6" s="662" t="s">
        <v>124</v>
      </c>
      <c r="B6" s="663"/>
      <c r="C6" s="659">
        <f>+Hijuelas!D14</f>
        <v>42749.548611111109</v>
      </c>
      <c r="D6" s="667"/>
      <c r="E6" s="660"/>
      <c r="F6" s="305"/>
      <c r="G6" s="306" t="s">
        <v>125</v>
      </c>
      <c r="H6" s="307">
        <f>+Hijuelas!G4</f>
        <v>3.9895833333333335</v>
      </c>
      <c r="I6" s="318"/>
      <c r="J6" s="99"/>
      <c r="K6" s="99"/>
      <c r="L6" s="99"/>
      <c r="M6" s="99"/>
      <c r="N6" s="99"/>
    </row>
    <row r="7" spans="1:20" ht="13.5" thickBot="1">
      <c r="A7" s="664" t="s">
        <v>126</v>
      </c>
      <c r="B7" s="665"/>
      <c r="C7" s="668">
        <f>+C6+H6</f>
        <v>42753.538194444445</v>
      </c>
      <c r="D7" s="669"/>
      <c r="E7" s="670"/>
      <c r="F7" s="305"/>
      <c r="G7" s="265" t="s">
        <v>127</v>
      </c>
      <c r="H7" s="308">
        <v>3.4722222222222224E-2</v>
      </c>
      <c r="I7" s="318"/>
      <c r="J7" s="99"/>
      <c r="K7" s="309"/>
      <c r="L7" s="99"/>
      <c r="M7" s="99"/>
      <c r="N7" s="99"/>
    </row>
    <row r="8" spans="1:20">
      <c r="A8" s="99"/>
      <c r="B8" s="99"/>
      <c r="C8" s="305"/>
      <c r="D8" s="99"/>
      <c r="E8" s="312">
        <f>+C7-C6</f>
        <v>3.9895833333357587</v>
      </c>
      <c r="F8" s="99"/>
      <c r="G8" s="418" t="s">
        <v>128</v>
      </c>
      <c r="H8" s="419">
        <v>8.3333333333333329E-2</v>
      </c>
      <c r="I8" s="318"/>
      <c r="J8" s="99"/>
      <c r="K8" s="99"/>
      <c r="L8" s="99"/>
      <c r="M8" s="99"/>
      <c r="N8" s="99"/>
    </row>
    <row r="9" spans="1:20" ht="13.5" thickBot="1">
      <c r="A9" s="99"/>
      <c r="B9" s="99"/>
      <c r="C9" s="99"/>
      <c r="D9" s="99"/>
      <c r="E9" s="99"/>
      <c r="F9" s="99"/>
      <c r="G9" s="310" t="s">
        <v>255</v>
      </c>
      <c r="H9" s="470">
        <f>+I25</f>
        <v>6.9444444444444448E-2</v>
      </c>
      <c r="I9" s="99"/>
      <c r="J9" s="99"/>
      <c r="K9" s="99"/>
      <c r="L9" s="99"/>
      <c r="M9" s="99"/>
      <c r="N9" s="99"/>
    </row>
    <row r="10" spans="1:20">
      <c r="A10" s="666" t="s">
        <v>129</v>
      </c>
      <c r="B10" s="666"/>
      <c r="C10" s="312">
        <f>+H6-H7-H9-H8</f>
        <v>3.802083333333333</v>
      </c>
      <c r="D10" s="636" t="s">
        <v>130</v>
      </c>
      <c r="E10" s="313">
        <f>+C10*60</f>
        <v>228.12499999999997</v>
      </c>
      <c r="F10" s="636" t="s">
        <v>131</v>
      </c>
      <c r="G10" s="315">
        <f>+H25</f>
        <v>81.267839999999993</v>
      </c>
      <c r="H10" s="636" t="s">
        <v>132</v>
      </c>
      <c r="I10" s="312">
        <f>+E10/G10</f>
        <v>2.8070759601830195</v>
      </c>
      <c r="J10" s="99"/>
      <c r="K10" s="99"/>
      <c r="L10" s="99"/>
      <c r="M10" s="99"/>
      <c r="N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192</v>
      </c>
      <c r="G12" s="292" t="s">
        <v>140</v>
      </c>
      <c r="H12" s="292" t="s">
        <v>257</v>
      </c>
      <c r="I12" s="292" t="s">
        <v>282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30" customHeight="1" thickTop="1">
      <c r="A13" s="264">
        <v>1</v>
      </c>
      <c r="B13" s="260">
        <v>1251</v>
      </c>
      <c r="C13" s="244">
        <v>12</v>
      </c>
      <c r="D13" s="244">
        <v>2</v>
      </c>
      <c r="E13" s="245">
        <v>16.3749</v>
      </c>
      <c r="F13" s="245" t="str">
        <f t="shared" ref="F13:F24" si="0">IF(P13=0,"NO",IF(P13=1,"SI","CONDICIONAL"))</f>
        <v>NO</v>
      </c>
      <c r="G13" s="538" t="s">
        <v>283</v>
      </c>
      <c r="H13" s="125">
        <f>IF(Hijuelas!$G$5="fracción",IF(F13="NO",0,IF(Hijuelas!$G$6="si",IF(D13=1,E13,E13*0.8),E13)),IF(F13="NO",0,IF(Hijuelas!$G$6="si",IF(D13=1,ROUNDUP(E13,0),ROUNDUP(E13*0.8,0)),ROUNDUP(E13,0))))</f>
        <v>0</v>
      </c>
      <c r="I13" s="182">
        <v>0</v>
      </c>
      <c r="J13" s="123">
        <f t="shared" ref="J13:J24" si="1">+$I$10/60*H13</f>
        <v>0</v>
      </c>
      <c r="K13" s="95">
        <f t="shared" ref="K13:K22" si="2">+L14</f>
        <v>42753.538194444445</v>
      </c>
      <c r="L13" s="95">
        <f t="shared" ref="L13:L22" si="3">+K13+J13+I13</f>
        <v>42753.538194444445</v>
      </c>
      <c r="M13" s="47"/>
      <c r="N13" s="47"/>
      <c r="O13" s="47" t="str">
        <f>+CONCATENATE(B13,C13)</f>
        <v>125112</v>
      </c>
      <c r="P13" s="6">
        <f>VLOOKUP(O13,deuda!A$1:H$551,4,0)</f>
        <v>0</v>
      </c>
      <c r="Q13" s="112">
        <f>VLOOKUP(O13,deuda!A$1:H$551,5,0)</f>
        <v>16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30" customHeight="1">
      <c r="A14" s="239">
        <v>1</v>
      </c>
      <c r="B14" s="250">
        <v>1251</v>
      </c>
      <c r="C14" s="179">
        <v>13</v>
      </c>
      <c r="D14" s="179">
        <v>2</v>
      </c>
      <c r="E14" s="20">
        <v>15.8874</v>
      </c>
      <c r="F14" s="245" t="str">
        <f t="shared" si="0"/>
        <v>SI</v>
      </c>
      <c r="G14" s="275" t="s">
        <v>284</v>
      </c>
      <c r="H14" s="125">
        <f>IF(Hijuelas!$G$5="fracción",IF(F14="NO",0,IF(Hijuelas!$G$6="si",IF(D14=1,E14,E14*0.8),E14)),IF(F14="NO",0,IF(Hijuelas!$G$6="si",IF(D14=1,ROUNDUP(E14,0),ROUNDUP(E14*0.8,0)),ROUNDUP(E14,0))))</f>
        <v>12.70992</v>
      </c>
      <c r="I14" s="180">
        <v>0</v>
      </c>
      <c r="J14" s="123">
        <f t="shared" si="1"/>
        <v>0.59462851479748946</v>
      </c>
      <c r="K14" s="95">
        <f t="shared" si="2"/>
        <v>42752.943565929651</v>
      </c>
      <c r="L14" s="95">
        <f t="shared" si="3"/>
        <v>42753.538194444445</v>
      </c>
      <c r="M14" s="5"/>
      <c r="N14" s="5"/>
      <c r="O14" s="47" t="str">
        <f t="shared" ref="O14:O24" si="4">+CONCATENATE(B14,C14)</f>
        <v>125113</v>
      </c>
      <c r="P14" s="6">
        <f>VLOOKUP(O14,deuda!A$1:H$551,4,0)</f>
        <v>1</v>
      </c>
      <c r="Q14" s="112">
        <f>VLOOKUP(O14,deuda!A$1:H$551,5,0)</f>
        <v>1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30" customHeight="1">
      <c r="A15" s="239">
        <v>1</v>
      </c>
      <c r="B15" s="250">
        <v>1251</v>
      </c>
      <c r="C15" s="179">
        <v>14</v>
      </c>
      <c r="D15" s="179">
        <v>2</v>
      </c>
      <c r="E15" s="20">
        <v>15.042299999999999</v>
      </c>
      <c r="F15" s="85" t="str">
        <f t="shared" si="0"/>
        <v>SI</v>
      </c>
      <c r="G15" s="275" t="s">
        <v>283</v>
      </c>
      <c r="H15" s="125">
        <f>IF(Hijuelas!$G$5="fracción",IF(F15="NO",0,IF(Hijuelas!$G$6="si",IF(D15=1,E15,E15*0.8),E15)),IF(F15="NO",0,IF(Hijuelas!$G$6="si",IF(D15=1,ROUNDUP(E15,0),ROUNDUP(E15*0.8,0)),ROUNDUP(E15,0))))</f>
        <v>12.03384</v>
      </c>
      <c r="I15" s="180">
        <v>0</v>
      </c>
      <c r="J15" s="123">
        <f t="shared" si="1"/>
        <v>0.56299838287814707</v>
      </c>
      <c r="K15" s="95">
        <f t="shared" si="2"/>
        <v>42752.380567546774</v>
      </c>
      <c r="L15" s="95">
        <f t="shared" si="3"/>
        <v>42752.943565929651</v>
      </c>
      <c r="M15" s="5"/>
      <c r="N15" s="5"/>
      <c r="O15" s="47" t="str">
        <f t="shared" si="4"/>
        <v>125114</v>
      </c>
      <c r="P15" s="6">
        <f>VLOOKUP(O15,deuda!A$1:H$551,4,0)</f>
        <v>1</v>
      </c>
      <c r="Q15" s="112">
        <f>VLOOKUP(O15,deuda!A$1:H$551,5,0)</f>
        <v>0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30" customHeight="1">
      <c r="A16" s="264">
        <v>1</v>
      </c>
      <c r="B16" s="250">
        <v>1251</v>
      </c>
      <c r="C16" s="179">
        <v>8</v>
      </c>
      <c r="D16" s="179">
        <v>2</v>
      </c>
      <c r="E16" s="20">
        <v>15.0543</v>
      </c>
      <c r="F16" s="85" t="str">
        <f t="shared" si="0"/>
        <v>SI</v>
      </c>
      <c r="G16" s="275" t="s">
        <v>283</v>
      </c>
      <c r="H16" s="125">
        <f>IF(Hijuelas!$G$5="fracción",IF(F16="NO",0,IF(Hijuelas!$G$6="si",IF(D16=1,E16,E16*0.8),E16)),IF(F16="NO",0,IF(Hijuelas!$G$6="si",IF(D16=1,ROUNDUP(E16,0),ROUNDUP(E16*0.8,0)),ROUNDUP(E16,0))))</f>
        <v>12.04344</v>
      </c>
      <c r="I16" s="180">
        <v>1.3888888888888888E-2</v>
      </c>
      <c r="J16" s="123">
        <f t="shared" si="1"/>
        <v>0.56344751503177648</v>
      </c>
      <c r="K16" s="95">
        <f t="shared" si="2"/>
        <v>42751.803231142854</v>
      </c>
      <c r="L16" s="95">
        <f t="shared" si="3"/>
        <v>42752.380567546774</v>
      </c>
      <c r="M16" s="5"/>
      <c r="N16" s="5"/>
      <c r="O16" s="47" t="str">
        <f t="shared" si="4"/>
        <v>12518</v>
      </c>
      <c r="P16" s="6">
        <f>VLOOKUP(O16,deuda!A$1:H$551,4,0)</f>
        <v>1</v>
      </c>
      <c r="Q16" s="112">
        <f>VLOOKUP(O16,deuda!A$1:H$551,5,0)</f>
        <v>1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30" customHeight="1">
      <c r="A17" s="239">
        <v>2</v>
      </c>
      <c r="B17" s="250">
        <v>1251</v>
      </c>
      <c r="C17" s="179">
        <v>11</v>
      </c>
      <c r="D17" s="179">
        <v>2</v>
      </c>
      <c r="E17" s="20">
        <v>16.3751</v>
      </c>
      <c r="F17" s="85" t="s">
        <v>90</v>
      </c>
      <c r="G17" s="275" t="s">
        <v>285</v>
      </c>
      <c r="H17" s="125">
        <f>IF(Hijuelas!$G$5="fracción",IF(F17="NO",0,IF(Hijuelas!$G$6="si",IF(D17=1,E17,E17*0.8),E17)),IF(F17="NO",0,IF(Hijuelas!$G$6="si",IF(D17=1,ROUNDUP(E17,0),ROUNDUP(E17*0.8,0)),ROUNDUP(E17,0))))</f>
        <v>13.10008</v>
      </c>
      <c r="I17" s="180">
        <v>1.3888888888888888E-2</v>
      </c>
      <c r="J17" s="123">
        <f t="shared" si="1"/>
        <v>0.61288199407457289</v>
      </c>
      <c r="K17" s="95">
        <f t="shared" si="2"/>
        <v>42751.176460259892</v>
      </c>
      <c r="L17" s="95">
        <f t="shared" si="3"/>
        <v>42751.803231142854</v>
      </c>
      <c r="M17" s="5"/>
      <c r="N17" s="5"/>
      <c r="O17" s="47" t="str">
        <f t="shared" si="4"/>
        <v>125111</v>
      </c>
      <c r="P17" s="6">
        <f>VLOOKUP(O17,deuda!A$1:H$551,4,0)</f>
        <v>0</v>
      </c>
      <c r="Q17" s="112">
        <f>VLOOKUP(O17,deuda!A$1:H$551,5,0)</f>
        <v>5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30" customHeight="1">
      <c r="A18" s="264">
        <v>4</v>
      </c>
      <c r="B18" s="250">
        <v>1251</v>
      </c>
      <c r="C18" s="179">
        <v>17</v>
      </c>
      <c r="D18" s="179">
        <v>2</v>
      </c>
      <c r="E18" s="20">
        <v>2.8611</v>
      </c>
      <c r="F18" s="85" t="str">
        <f t="shared" si="0"/>
        <v>SI</v>
      </c>
      <c r="G18" s="275" t="s">
        <v>286</v>
      </c>
      <c r="H18" s="125">
        <f>IF(Hijuelas!$G$5="fracción",IF(F18="NO",0,IF(Hijuelas!$G$6="si",IF(D18=1,E18,E18*0.8),E18)),IF(F18="NO",0,IF(Hijuelas!$G$6="si",IF(D18=1,ROUNDUP(E18,0),ROUNDUP(E18*0.8,0)),ROUNDUP(E18,0))))</f>
        <v>2.2888800000000002</v>
      </c>
      <c r="I18" s="180">
        <v>0</v>
      </c>
      <c r="J18" s="123">
        <f t="shared" si="1"/>
        <v>0.10708433372906184</v>
      </c>
      <c r="K18" s="95">
        <f t="shared" si="2"/>
        <v>42751.069375926163</v>
      </c>
      <c r="L18" s="95">
        <f t="shared" si="3"/>
        <v>42751.176460259892</v>
      </c>
      <c r="M18" s="5"/>
      <c r="N18" s="5"/>
      <c r="O18" s="47" t="str">
        <f t="shared" si="4"/>
        <v>125117</v>
      </c>
      <c r="P18" s="6">
        <f>VLOOKUP(O18,deuda!A$1:H$551,4,0)</f>
        <v>1</v>
      </c>
      <c r="Q18" s="112">
        <f>VLOOKUP(O18,deuda!A$1:H$551,5,0)</f>
        <v>0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30" customHeight="1">
      <c r="A19" s="239">
        <v>4</v>
      </c>
      <c r="B19" s="250">
        <v>1251</v>
      </c>
      <c r="C19" s="179">
        <v>3</v>
      </c>
      <c r="D19" s="179">
        <v>2</v>
      </c>
      <c r="E19" s="20">
        <v>5</v>
      </c>
      <c r="F19" s="85" t="str">
        <f>IF(P19=0,"NO",IF(P19=1,"SI","CONDICIONAL"))</f>
        <v>SI</v>
      </c>
      <c r="G19" s="275" t="s">
        <v>287</v>
      </c>
      <c r="H19" s="125">
        <f>IF(Hijuelas!$G$5="fracción",IF(F19="NO",0,IF(Hijuelas!$G$6="si",IF(D19=1,E19,E19*0.8),E19)),IF(F19="NO",0,IF(Hijuelas!$G$6="si",IF(D19=1,ROUNDUP(E19,0),ROUNDUP(E19*0.8,0)),ROUNDUP(E19,0))))</f>
        <v>4</v>
      </c>
      <c r="I19" s="180">
        <v>1.3888888888888888E-2</v>
      </c>
      <c r="J19" s="123">
        <f>+$I$10/60*H19</f>
        <v>0.18713839734553464</v>
      </c>
      <c r="K19" s="95">
        <f t="shared" si="2"/>
        <v>42750.868348639924</v>
      </c>
      <c r="L19" s="95">
        <f t="shared" si="3"/>
        <v>42751.069375926163</v>
      </c>
      <c r="M19" s="5"/>
      <c r="N19" s="5"/>
      <c r="O19" s="47" t="str">
        <f t="shared" si="4"/>
        <v>12513</v>
      </c>
      <c r="P19" s="6">
        <f>VLOOKUP(O19,deuda!A$1:H$551,4,0)</f>
        <v>1</v>
      </c>
      <c r="Q19" s="112">
        <f>VLOOKUP(O19,deuda!A$1:H$551,5,0)</f>
        <v>0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ht="30" customHeight="1">
      <c r="A20" s="264">
        <v>5</v>
      </c>
      <c r="B20" s="250">
        <v>1251</v>
      </c>
      <c r="C20" s="179">
        <v>16</v>
      </c>
      <c r="D20" s="179">
        <v>2</v>
      </c>
      <c r="E20" s="20">
        <v>6.9733999999999998</v>
      </c>
      <c r="F20" s="85" t="str">
        <f t="shared" si="0"/>
        <v>SI</v>
      </c>
      <c r="G20" s="275" t="s">
        <v>210</v>
      </c>
      <c r="H20" s="125">
        <f>IF(Hijuelas!$G$5="fracción",IF(F20="NO",0,IF(Hijuelas!$G$6="si",IF(D20=1,E20,E20*0.8),E20)),IF(F20="NO",0,IF(Hijuelas!$G$6="si",IF(D20=1,ROUNDUP(E20,0),ROUNDUP(E20*0.8,0)),ROUNDUP(E20,0))))</f>
        <v>5.5787200000000006</v>
      </c>
      <c r="I20" s="180">
        <v>1.3888888888888888E-2</v>
      </c>
      <c r="J20" s="123">
        <f t="shared" si="1"/>
        <v>0.2609981800098703</v>
      </c>
      <c r="K20" s="95">
        <f t="shared" si="2"/>
        <v>42750.593461571021</v>
      </c>
      <c r="L20" s="95">
        <f t="shared" si="3"/>
        <v>42750.868348639924</v>
      </c>
      <c r="M20" s="5"/>
      <c r="N20" s="5"/>
      <c r="O20" s="47" t="str">
        <f t="shared" si="4"/>
        <v>125116</v>
      </c>
      <c r="P20" s="6">
        <f>VLOOKUP(O20,deuda!A$1:H$551,4,0)</f>
        <v>1</v>
      </c>
      <c r="Q20" s="112">
        <f>VLOOKUP(O20,deuda!A$1:H$551,5,0)</f>
        <v>1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30" customHeight="1">
      <c r="A21" s="239">
        <v>6</v>
      </c>
      <c r="B21" s="250">
        <v>1251</v>
      </c>
      <c r="C21" s="179">
        <v>10</v>
      </c>
      <c r="D21" s="179">
        <v>2</v>
      </c>
      <c r="E21" s="20">
        <v>8.3911999999999995</v>
      </c>
      <c r="F21" s="85" t="str">
        <f>IF(P21=0,"NO",IF(P21=1,"SI","CONDICIONAL"))</f>
        <v>SI</v>
      </c>
      <c r="G21" s="275" t="s">
        <v>288</v>
      </c>
      <c r="H21" s="125">
        <f>IF(Hijuelas!$G$5="fracción",IF(F21="NO",0,IF(Hijuelas!$G$6="si",IF(D21=1,E21,E21*0.8),E21)),IF(F21="NO",0,IF(Hijuelas!$G$6="si",IF(D21=1,ROUNDUP(E21,0),ROUNDUP(E21*0.8,0)),ROUNDUP(E21,0))))</f>
        <v>6.7129599999999998</v>
      </c>
      <c r="I21" s="180">
        <v>0</v>
      </c>
      <c r="J21" s="123">
        <f>+$I$10/60*H21</f>
        <v>0.31406314396117002</v>
      </c>
      <c r="K21" s="95">
        <f t="shared" si="2"/>
        <v>42750.279398427061</v>
      </c>
      <c r="L21" s="95">
        <f t="shared" si="3"/>
        <v>42750.593461571021</v>
      </c>
      <c r="M21" s="5"/>
      <c r="N21" s="5"/>
      <c r="O21" s="47" t="str">
        <f t="shared" si="4"/>
        <v>125110</v>
      </c>
      <c r="P21" s="6">
        <f>VLOOKUP(O21,deuda!A$1:H$551,4,0)</f>
        <v>1</v>
      </c>
      <c r="Q21" s="112">
        <f>VLOOKUP(O21,deuda!A$1:H$551,5,0)</f>
        <v>1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30" customHeight="1">
      <c r="A22" s="264">
        <v>6</v>
      </c>
      <c r="B22" s="250">
        <v>1251</v>
      </c>
      <c r="C22" s="179">
        <v>6</v>
      </c>
      <c r="D22" s="179">
        <v>2</v>
      </c>
      <c r="E22" s="20">
        <v>6</v>
      </c>
      <c r="F22" s="85" t="str">
        <f t="shared" si="0"/>
        <v>SI</v>
      </c>
      <c r="G22" s="275" t="s">
        <v>289</v>
      </c>
      <c r="H22" s="125">
        <f>IF(Hijuelas!$G$5="fracción",IF(F22="NO",0,IF(Hijuelas!$G$6="si",IF(D22=1,E22,E22*0.8),E22)),IF(F22="NO",0,IF(Hijuelas!$G$6="si",IF(D22=1,ROUNDUP(E22,0),ROUNDUP(E22*0.8,0)),ROUNDUP(E22,0))))</f>
        <v>4.8000000000000007</v>
      </c>
      <c r="I22" s="180">
        <v>1.3888888888888888E-2</v>
      </c>
      <c r="J22" s="123">
        <f t="shared" si="1"/>
        <v>0.22456607681464161</v>
      </c>
      <c r="K22" s="95">
        <f t="shared" si="2"/>
        <v>42750.040943461354</v>
      </c>
      <c r="L22" s="95">
        <f t="shared" si="3"/>
        <v>42750.279398427061</v>
      </c>
      <c r="M22" s="5"/>
      <c r="N22" s="5"/>
      <c r="O22" s="47" t="str">
        <f t="shared" si="4"/>
        <v>12516</v>
      </c>
      <c r="P22" s="6">
        <f>VLOOKUP(O22,deuda!A$1:H$551,4,0)</f>
        <v>1</v>
      </c>
      <c r="Q22" s="112">
        <f>VLOOKUP(O22,deuda!A$1:H$551,5,0)</f>
        <v>1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30" customHeight="1">
      <c r="A23" s="239">
        <v>7</v>
      </c>
      <c r="B23" s="250">
        <v>1251</v>
      </c>
      <c r="C23" s="179">
        <v>9</v>
      </c>
      <c r="D23" s="179">
        <v>2</v>
      </c>
      <c r="E23" s="20">
        <v>10</v>
      </c>
      <c r="F23" s="85" t="str">
        <f>IF(P23=0,"NO",IF(P23=1,"SI","CONDICIONAL"))</f>
        <v>SI</v>
      </c>
      <c r="G23" s="275" t="s">
        <v>290</v>
      </c>
      <c r="H23" s="125">
        <f>IF(Hijuelas!$G$5="fracción",IF(F23="NO",0,IF(Hijuelas!$G$6="si",IF(D23=1,E23,E23*0.8),E23)),IF(F23="NO",0,IF(Hijuelas!$G$6="si",IF(D23=1,ROUNDUP(E23,0),ROUNDUP(E23*0.8,0)),ROUNDUP(E23,0))))</f>
        <v>8</v>
      </c>
      <c r="I23" s="180">
        <v>0</v>
      </c>
      <c r="J23" s="123">
        <f>+$I$10/60*H23</f>
        <v>0.37427679469106928</v>
      </c>
      <c r="K23" s="95">
        <f>+L24</f>
        <v>42749.666666666664</v>
      </c>
      <c r="L23" s="95">
        <f>+K23+J23+I23</f>
        <v>42750.040943461354</v>
      </c>
      <c r="M23" s="5"/>
      <c r="N23" s="5"/>
      <c r="O23" s="47" t="str">
        <f t="shared" si="4"/>
        <v>12519</v>
      </c>
      <c r="P23" s="6">
        <f>VLOOKUP(O23,deuda!A$1:H$551,4,0)</f>
        <v>1</v>
      </c>
      <c r="Q23" s="112">
        <f>VLOOKUP(O23,deuda!A$1:H$551,5,0)</f>
        <v>0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30" customHeight="1" thickBot="1">
      <c r="A24" s="240">
        <v>8</v>
      </c>
      <c r="B24" s="256">
        <v>1251</v>
      </c>
      <c r="C24" s="237">
        <v>15</v>
      </c>
      <c r="D24" s="237">
        <v>2</v>
      </c>
      <c r="E24" s="39">
        <v>23.972000000000001</v>
      </c>
      <c r="F24" s="85" t="str">
        <f t="shared" si="0"/>
        <v>NO</v>
      </c>
      <c r="G24" s="276" t="s">
        <v>291</v>
      </c>
      <c r="H24" s="272">
        <f>IF(Hijuelas!$G$5="fracción",IF(F24="NO",0,IF(Hijuelas!$G$6="si",IF(D24=1,E24,E24*0.8),E24)),IF(F24="NO",0,IF(Hijuelas!$G$6="si",IF(D24=1,ROUNDUP(E24,0),ROUNDUP(E24*0.8,0)),ROUNDUP(E24,0))))</f>
        <v>0</v>
      </c>
      <c r="I24" s="181">
        <v>0</v>
      </c>
      <c r="J24" s="123">
        <f t="shared" si="1"/>
        <v>0</v>
      </c>
      <c r="K24" s="95">
        <f>+C6+H7+H8</f>
        <v>42749.666666666664</v>
      </c>
      <c r="L24" s="95">
        <f>+K24+J24</f>
        <v>42749.666666666664</v>
      </c>
      <c r="M24" s="27"/>
      <c r="N24" s="27"/>
      <c r="O24" s="47" t="str">
        <f t="shared" si="4"/>
        <v>125115</v>
      </c>
      <c r="P24" s="6">
        <f>VLOOKUP(O24,deuda!A$1:H$551,4,0)</f>
        <v>0</v>
      </c>
      <c r="Q24" s="112">
        <f>VLOOKUP(O24,deuda!A$1:H$551,5,0)</f>
        <v>204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>
      <c r="E25" s="281">
        <f>SUM(E13:E24)</f>
        <v>141.93169999999998</v>
      </c>
      <c r="F25" s="281"/>
      <c r="G25" s="42"/>
      <c r="H25" s="281">
        <f>SUM(H13:H24)</f>
        <v>81.267839999999993</v>
      </c>
      <c r="I25" s="282">
        <f>SUM(I13:I24)</f>
        <v>6.9444444444444448E-2</v>
      </c>
      <c r="J25" s="283">
        <f>SUM(J13:J24)</f>
        <v>3.8020833333333335</v>
      </c>
    </row>
    <row r="26" spans="1:20">
      <c r="J26" s="3"/>
    </row>
    <row r="27" spans="1:20">
      <c r="J27" s="3"/>
    </row>
    <row r="28" spans="1:20">
      <c r="J28" s="3"/>
    </row>
    <row r="29" spans="1:20">
      <c r="J29" s="3"/>
    </row>
    <row r="30" spans="1:20">
      <c r="J30" s="3"/>
    </row>
    <row r="31" spans="1:20">
      <c r="J31" s="3"/>
    </row>
    <row r="32" spans="1:20">
      <c r="J32" s="3"/>
    </row>
  </sheetData>
  <mergeCells count="6">
    <mergeCell ref="C3:G3"/>
    <mergeCell ref="A10:B10"/>
    <mergeCell ref="A6:B6"/>
    <mergeCell ref="C6:E6"/>
    <mergeCell ref="A7:B7"/>
    <mergeCell ref="C7:E7"/>
  </mergeCells>
  <phoneticPr fontId="0" type="noConversion"/>
  <pageMargins left="0.78740157480314965" right="0.75" top="0.98425196850393704" bottom="0.98425196850393704" header="0" footer="0"/>
  <pageSetup paperSize="9" scale="75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30"/>
  <dimension ref="A1:H135"/>
  <sheetViews>
    <sheetView view="pageBreakPreview" zoomScale="60" zoomScaleNormal="75" workbookViewId="0" xr3:uid="{D624DF06-3800-545C-AC8D-BADC89115800}">
      <selection activeCell="K19" sqref="K19"/>
    </sheetView>
  </sheetViews>
  <sheetFormatPr defaultRowHeight="12.75"/>
  <cols>
    <col min="1" max="2" width="11.42578125" customWidth="1"/>
    <col min="3" max="3" width="11.5703125" bestFit="1" customWidth="1"/>
    <col min="4" max="4" width="22.28515625" bestFit="1" customWidth="1"/>
    <col min="5" max="5" width="11.42578125" customWidth="1"/>
    <col min="6" max="6" width="11.5703125" bestFit="1" customWidth="1"/>
    <col min="7" max="7" width="29.4257812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VLOOKUP(G5,'5_1'!$A$12:$H$24,7,0)</f>
        <v>NOVATEX SRL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+'5_1'!H3</f>
        <v>Hijuela 1ra. El Carmen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VLOOKUP(G5,'5_1'!$A$12:$B$24,2,0)</f>
        <v>1251</v>
      </c>
      <c r="D7" s="76"/>
      <c r="E7" s="635" t="s">
        <v>184</v>
      </c>
      <c r="F7" s="347">
        <f>DSUM('5_1'!A$12:J$24,'5_1'!$J$12,G4:G5)</f>
        <v>1.7210744127074129</v>
      </c>
      <c r="G7" s="382"/>
      <c r="H7" s="76"/>
    </row>
    <row r="8" spans="1:8">
      <c r="A8" s="381"/>
      <c r="B8" s="635" t="s">
        <v>185</v>
      </c>
      <c r="C8" s="374" t="s">
        <v>292</v>
      </c>
      <c r="D8" s="76"/>
      <c r="E8" s="635" t="s">
        <v>186</v>
      </c>
      <c r="F8" s="368" t="str">
        <f>IF(VLOOKUP(G5,'5_1'!$A$12:$D$24,4,0)=2,"Eventual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DSUM('5_1'!$A$12:$H$24,'5_1'!$H$12,G4:G5)</f>
        <v>36.787199999999999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DMIN('5_1'!A$12:K$24,'5_1'!$K$12,G4:G5)</f>
        <v>42751.803231142854</v>
      </c>
      <c r="E10" s="127" t="str">
        <f>IF(F10=1,"Domingo",IF(F10=2,"Lunes",IF(F10=3,"Martes",IF(F10=4,"Miercoles",IF(F10=5,"Jueves",IF(F10=6,"Viernes",IF(F10=7,"Sábado",0)))))))</f>
        <v>Lunes</v>
      </c>
      <c r="F10" s="128">
        <f>WEEKDAY(D10)</f>
        <v>2</v>
      </c>
      <c r="G10" s="385" t="s">
        <v>70</v>
      </c>
      <c r="H10" s="76"/>
    </row>
    <row r="11" spans="1:8" ht="15.75">
      <c r="A11" s="381"/>
      <c r="B11" s="76"/>
      <c r="C11" s="635" t="s">
        <v>190</v>
      </c>
      <c r="D11" s="107">
        <f>DMAX('5_1'!A$12:L$24,'5_1'!$L$12,G4:G5)</f>
        <v>42753.538194444445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>
        <f>WEEKDAY(D11)</f>
        <v>4</v>
      </c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IF(DSUM('5_1'!$A$12:$P$90,16,G4:G5)=COUNTIF('5_1'!$A$13:$A$90,G5),"","Regularice su Deuda")</f>
        <v>Regularice su Deuda</v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VLOOKUP(G22,'5_1'!$A$12:$H$24,7,0)</f>
        <v>MIRABILE, MARIO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>
        <f>+'5_1'!H23</f>
        <v>8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VLOOKUP(G22,'5_1'!$A$12:$B$24,2,0)</f>
        <v>1251</v>
      </c>
      <c r="D24" s="76"/>
      <c r="E24" s="635" t="s">
        <v>184</v>
      </c>
      <c r="F24" s="347">
        <f>DSUM('5_1'!A$12:J$24,'5_1'!$J$12,G21:G22)</f>
        <v>0.61288199407457289</v>
      </c>
      <c r="G24" s="382"/>
    </row>
    <row r="25" spans="1:7">
      <c r="A25" s="381"/>
      <c r="B25" s="635" t="s">
        <v>185</v>
      </c>
      <c r="C25" s="374">
        <v>11</v>
      </c>
      <c r="D25" s="76"/>
      <c r="E25" s="635" t="s">
        <v>186</v>
      </c>
      <c r="F25" s="368" t="str">
        <f>IF(VLOOKUP(G22,'5_1'!$A$12:$D$24,4,0)=2,"Eventual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DSUM('5_1'!$A$12:$H$24,'5_1'!$H$12,G21:G22)</f>
        <v>13.10008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DMIN('5_1'!A$12:K$24,'5_1'!$K$12,G21:G22)</f>
        <v>42751.176460259892</v>
      </c>
      <c r="E27" s="127" t="str">
        <f>IF(F27=1,"Domingo",IF(F27=2,"Lunes",IF(F27=3,"Martes",IF(F27=4,"Miercoles",IF(F27=5,"Jueves",IF(F27=6,"Viernes",IF(F27=7,"Sábado",0)))))))</f>
        <v>Lunes</v>
      </c>
      <c r="F27" s="128">
        <f>WEEKDAY(D27)</f>
        <v>2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DMAX('5_1'!A$12:L$24,'5_1'!$L$12,G21:G22)</f>
        <v>42751.803231142854</v>
      </c>
      <c r="E28" s="127" t="str">
        <f>IF(F28=1,"Domingo",IF(F28=2,"Lunes",IF(F28=3,"Martes",IF(F28=4,"Miercoles",IF(F28=5,"Jueves",IF(F28=6,"Viernes",IF(F28=7,"Sábado",0)))))))</f>
        <v>Lunes</v>
      </c>
      <c r="F28" s="128">
        <f>WEEKDAY(D28)</f>
        <v>2</v>
      </c>
      <c r="G28" s="385">
        <f>WEEKDAY(D28)</f>
        <v>2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IF(DSUM('5_1'!$A$12:$P$90,16,G21:G22)=COUNTIF('5_1'!$A$13:$A$90,G22),"","Regularice su Deuda")</f>
        <v>Regularice su Deuda</v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e">
        <f>VLOOKUP(G39,'5_1'!$A$12:$H$24,7,0)</f>
        <v>#N/A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>
        <f>+'5_1'!H38</f>
        <v>0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 t="e">
        <f>VLOOKUP(G39,'5_1'!$A$12:$B$24,2,0)</f>
        <v>#N/A</v>
      </c>
      <c r="D41" s="76"/>
      <c r="E41" s="635" t="s">
        <v>184</v>
      </c>
      <c r="F41" s="347">
        <f>DSUM('5_1'!A$12:J$24,'5_1'!$J$12,G38:G39)</f>
        <v>0</v>
      </c>
      <c r="G41" s="382"/>
    </row>
    <row r="42" spans="1:7">
      <c r="A42" s="381"/>
      <c r="B42" s="635" t="s">
        <v>185</v>
      </c>
      <c r="C42" s="374" t="s">
        <v>293</v>
      </c>
      <c r="D42" s="76"/>
      <c r="E42" s="635" t="s">
        <v>186</v>
      </c>
      <c r="F42" s="368" t="e">
        <f>IF(VLOOKUP(G39,'5_1'!$A$12:$D$24,4,0)=2,"Eventual 80%","Definitivo 100%")</f>
        <v>#N/A</v>
      </c>
      <c r="G42" s="382"/>
    </row>
    <row r="43" spans="1:7">
      <c r="A43" s="381"/>
      <c r="B43" s="635" t="s">
        <v>187</v>
      </c>
      <c r="C43" s="375">
        <f>DSUM('5_1'!$A$12:$H$24,'5_1'!$H$12,G38:G39)</f>
        <v>0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DMIN('5_1'!A$12:K$24,'5_1'!$K$12,G38:G39)</f>
        <v>0</v>
      </c>
      <c r="E44" s="127" t="str">
        <f>IF(F44=1,"Domingo",IF(F44=2,"Lunes",IF(F44=3,"Martes",IF(F44=4,"Miercoles",IF(F44=5,"Jueves",IF(F44=6,"Viernes",IF(F44=7,"Sábado",0)))))))</f>
        <v>Sábado</v>
      </c>
      <c r="F44" s="128">
        <f>WEEKDAY(D44)</f>
        <v>7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DMAX('5_1'!A$12:L$24,'5_1'!$L$12,G38:G39)</f>
        <v>0</v>
      </c>
      <c r="E45" s="127" t="str">
        <f>IF(F45=1,"Domingo",IF(F45=2,"Lunes",IF(F45=3,"Martes",IF(F45=4,"Miercoles",IF(F45=5,"Jueves",IF(F45=6,"Viernes",IF(F45=7,"Sábado",0)))))))</f>
        <v>Sábado</v>
      </c>
      <c r="F45" s="128">
        <f>WEEKDAY(D45)</f>
        <v>7</v>
      </c>
      <c r="G45" s="385">
        <f>WEEKDAY(D45)</f>
        <v>7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IF(DSUM('5_1'!$A$12:$P$90,16,G38:G39)=COUNTIF('5_1'!$A$13:$A$90,G39),"","Regularice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VLOOKUP(G56,'5_1'!$A$12:$H$24,7,0)</f>
        <v>PELEGRINA, DIEGO E.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>
        <f>+'5_1'!H55</f>
        <v>0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VLOOKUP(G56,'5_1'!$A$12:$B$24,2,0)</f>
        <v>1251</v>
      </c>
      <c r="D58" s="76"/>
      <c r="E58" s="635" t="s">
        <v>184</v>
      </c>
      <c r="F58" s="347">
        <f>DSUM('5_1'!A$12:J$24,'5_1'!$J$12,G55:G56)</f>
        <v>0.29422273107459651</v>
      </c>
      <c r="G58" s="382"/>
    </row>
    <row r="59" spans="1:7">
      <c r="A59" s="381"/>
      <c r="B59" s="635" t="s">
        <v>185</v>
      </c>
      <c r="C59" s="374">
        <v>16</v>
      </c>
      <c r="D59" s="76"/>
      <c r="E59" s="635" t="s">
        <v>186</v>
      </c>
      <c r="F59" s="368" t="str">
        <f>IF(VLOOKUP(G56,'5_1'!$A$12:$D$24,4,0)=2,"Eventual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DSUM('5_1'!$A$12:$H$24,'5_1'!$H$12,G55:G56)</f>
        <v>6.2888800000000007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DMIN('5_1'!A$12:K$24,'5_1'!$K$12,G55:G56)</f>
        <v>42750.868348639924</v>
      </c>
      <c r="E61" s="127" t="str">
        <f>IF(F61=1,"Domingo",IF(F61=2,"Lunes",IF(F61=3,"Martes",IF(F61=4,"Miercoles",IF(F61=5,"Jueves",IF(F61=6,"Viernes",IF(F61=7,"Sábado",0)))))))</f>
        <v>Domingo</v>
      </c>
      <c r="F61" s="128">
        <f>WEEKDAY(D61)</f>
        <v>1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DMAX('5_1'!A$12:L$24,'5_1'!$L$12,G55:G56)</f>
        <v>42751.176460259892</v>
      </c>
      <c r="E62" s="127" t="str">
        <f>IF(F62=1,"Domingo",IF(F62=2,"Lunes",IF(F62=3,"Martes",IF(F62=4,"Miercoles",IF(F62=5,"Jueves",IF(F62=6,"Viernes",IF(F62=7,"Sábado",0)))))))</f>
        <v>Lunes</v>
      </c>
      <c r="F62" s="128">
        <f>WEEKDAY(D62)</f>
        <v>2</v>
      </c>
      <c r="G62" s="385">
        <f>WEEKDAY(D62)</f>
        <v>2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IF(DSUM('5_1'!$A$12:$P$90,16,G55:G56)=COUNTIF('5_1'!$A$13:$A$90,G56),"","Regularice su Deuda")</f>
        <v/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VLOOKUP(G73,'5_1'!$A$12:$H$24,7,0)</f>
        <v>CARBONI, CARLOS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>
        <f>+'5_1'!H72</f>
        <v>0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VLOOKUP(G73,'5_1'!$A$12:$B$24,2,0)</f>
        <v>1251</v>
      </c>
      <c r="D75" s="76"/>
      <c r="E75" s="635" t="s">
        <v>184</v>
      </c>
      <c r="F75" s="347">
        <f>DSUM('5_1'!A$12:J$24,'5_1'!$J$12,G72:G73)</f>
        <v>0.2609981800098703</v>
      </c>
      <c r="G75" s="382"/>
    </row>
    <row r="76" spans="1:7">
      <c r="A76" s="381"/>
      <c r="B76" s="635" t="s">
        <v>185</v>
      </c>
      <c r="C76" s="374" t="s">
        <v>294</v>
      </c>
      <c r="D76" s="76"/>
      <c r="E76" s="635" t="s">
        <v>186</v>
      </c>
      <c r="F76" s="368" t="str">
        <f>IF(VLOOKUP(G73,'5_1'!$A$12:$D$24,4,0)=2,"Eventual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DSUM('5_1'!$A$12:$H$24,'5_1'!$H$12,G72:G73)</f>
        <v>5.5787200000000006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DMIN('5_1'!A$12:K$24,'5_1'!$K$12,G72:G73)</f>
        <v>42750.593461571021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 t="s">
        <v>70</v>
      </c>
    </row>
    <row r="79" spans="1:7" ht="15.75">
      <c r="A79" s="381"/>
      <c r="B79" s="76"/>
      <c r="C79" s="635" t="s">
        <v>190</v>
      </c>
      <c r="D79" s="107">
        <f>DMAX('5_1'!A$12:L$24,'5_1'!$L$12,G72:G73)</f>
        <v>42750.868348639924</v>
      </c>
      <c r="E79" s="127" t="str">
        <f>IF(F79=1,"Domingo",IF(F79=2,"Lunes",IF(F79=3,"Martes",IF(F79=4,"Miercoles",IF(F79=5,"Jueves",IF(F79=6,"Viernes",IF(F79=7,"Sábado",0)))))))</f>
        <v>Domingo</v>
      </c>
      <c r="F79" s="128">
        <f>WEEKDAY(D79)</f>
        <v>1</v>
      </c>
      <c r="G79" s="385">
        <f>WEEKDAY(D79)</f>
        <v>1</v>
      </c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IF(DSUM('5_1'!$A$12:$P$90,16,G72:G73)=COUNTIF('5_1'!$A$13:$A$90,G73),"","Regularice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VLOOKUP(G90,'5_1'!$A$12:$H$24,7,0)</f>
        <v>SABATINI, FLORENCIO ORLANDO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>
        <f>+'5_1'!H89</f>
        <v>0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VLOOKUP(G90,'5_1'!$A$12:$B$24,2,0)</f>
        <v>1251</v>
      </c>
      <c r="D92" s="76"/>
      <c r="E92" s="635" t="s">
        <v>184</v>
      </c>
      <c r="F92" s="347">
        <f>DSUM('5_1'!A$12:J$24,'5_1'!$J$12,G89:G90)</f>
        <v>0.53862922077581166</v>
      </c>
      <c r="G92" s="382"/>
    </row>
    <row r="93" spans="1:7">
      <c r="A93" s="381"/>
      <c r="B93" s="635" t="s">
        <v>185</v>
      </c>
      <c r="C93" s="374">
        <v>9</v>
      </c>
      <c r="D93" s="76"/>
      <c r="E93" s="635" t="s">
        <v>186</v>
      </c>
      <c r="F93" s="368" t="str">
        <f>IF(VLOOKUP(G90,'5_1'!$A$12:$D$24,4,0)=2,"Eventual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DSUM('5_1'!$A$12:$H$24,'5_1'!$H$12,G89:G90)</f>
        <v>11.51296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DMIN('5_1'!A$12:K$24,'5_1'!$K$12,G89:G90)</f>
        <v>42750.040943461354</v>
      </c>
      <c r="E95" s="127" t="str">
        <f>IF(F95=1,"Domingo",IF(F95=2,"Lunes",IF(F95=3,"Martes",IF(F95=4,"Miercoles",IF(F95=5,"Jueves",IF(F95=6,"Viernes",IF(F95=7,"Sábado",0)))))))</f>
        <v>Domingo</v>
      </c>
      <c r="F95" s="128">
        <f>WEEKDAY(D95)</f>
        <v>1</v>
      </c>
      <c r="G95" s="385" t="s">
        <v>70</v>
      </c>
    </row>
    <row r="96" spans="1:7" ht="15.75">
      <c r="A96" s="381"/>
      <c r="B96" s="76"/>
      <c r="C96" s="635" t="s">
        <v>190</v>
      </c>
      <c r="D96" s="107">
        <f>DMAX('5_1'!A$12:L$24,'5_1'!$L$12,G89:G90)</f>
        <v>42750.593461571021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>
        <f>WEEKDAY(D96)</f>
        <v>1</v>
      </c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IF(DSUM('5_1'!$A$12:$P$90,16,G89:G90)=COUNTIF('5_1'!$A$13:$A$90,G90),"","Regularice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VLOOKUP(G107,'5_1'!$A$12:$H$24,7,0)</f>
        <v>NICOLOSI, ANTONIO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>
        <f>+'5_1'!H106</f>
        <v>0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VLOOKUP(G107,'5_1'!$A$12:$B$24,2,0)</f>
        <v>1251</v>
      </c>
      <c r="D109" s="76"/>
      <c r="E109" s="635" t="s">
        <v>184</v>
      </c>
      <c r="F109" s="347">
        <f>DSUM('5_1'!A$12:J$24,'5_1'!$J$12,G106:G107)</f>
        <v>0.37427679469106928</v>
      </c>
      <c r="G109" s="382"/>
    </row>
    <row r="110" spans="1:7">
      <c r="A110" s="381"/>
      <c r="B110" s="635" t="s">
        <v>185</v>
      </c>
      <c r="C110" s="374">
        <v>15</v>
      </c>
      <c r="D110" s="76"/>
      <c r="E110" s="635" t="s">
        <v>186</v>
      </c>
      <c r="F110" s="368" t="str">
        <f>IF(VLOOKUP(G107,'5_1'!$A$12:$D$24,4,0)=2,"Eventual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DSUM('5_1'!$A$12:$H$24,'5_1'!$H$12,G106:G107)</f>
        <v>8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DMIN('5_1'!A$12:K$24,'5_1'!$K$12,G106:G107)</f>
        <v>42749.666666666664</v>
      </c>
      <c r="E112" s="127" t="str">
        <f>IF(F112=1,"Domingo",IF(F112=2,"Lunes",IF(F112=3,"Martes",IF(F112=4,"Miercoles",IF(F112=5,"Jueves",IF(F112=6,"Viernes",IF(F112=7,"Sábado",0)))))))</f>
        <v>Sábado</v>
      </c>
      <c r="F112" s="128">
        <f>WEEKDAY(D112)</f>
        <v>7</v>
      </c>
      <c r="G112" s="385" t="s">
        <v>70</v>
      </c>
    </row>
    <row r="113" spans="1:7" ht="15.75">
      <c r="A113" s="381"/>
      <c r="B113" s="76"/>
      <c r="C113" s="635" t="s">
        <v>190</v>
      </c>
      <c r="D113" s="107">
        <f>DMAX('5_1'!A$12:L$24,'5_1'!$L$12,G106:G107)</f>
        <v>42750.040943461354</v>
      </c>
      <c r="E113" s="127" t="str">
        <f>IF(F113=1,"Domingo",IF(F113=2,"Lunes",IF(F113=3,"Martes",IF(F113=4,"Miercoles",IF(F113=5,"Jueves",IF(F113=6,"Viernes",IF(F113=7,"Sábado",0)))))))</f>
        <v>Domingo</v>
      </c>
      <c r="F113" s="128">
        <f>WEEKDAY(D113)</f>
        <v>1</v>
      </c>
      <c r="G113" s="385">
        <f>WEEKDAY(D113)</f>
        <v>1</v>
      </c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IF(DSUM('5_1'!$A$12:$P$90,16,G106:G107)=COUNTIF('5_1'!$A$13:$A$90,G107),"","Regularice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VLOOKUP(G124,'5_1'!$A$12:$H$24,7,0)</f>
        <v>SOLANILLA, BENIGNO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>
        <f>+'5_1'!H123</f>
        <v>0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VLOOKUP(G124,'5_1'!$A$12:$B$24,2,0)</f>
        <v>1251</v>
      </c>
      <c r="D126" s="76"/>
      <c r="E126" s="635" t="s">
        <v>184</v>
      </c>
      <c r="F126" s="347">
        <f>DSUM('5_1'!A$12:J$24,'5_1'!$J$12,G123:G124)</f>
        <v>0</v>
      </c>
      <c r="G126" s="382"/>
    </row>
    <row r="127" spans="1:7">
      <c r="A127" s="381"/>
      <c r="B127" s="635" t="s">
        <v>185</v>
      </c>
      <c r="C127" s="374">
        <v>15</v>
      </c>
      <c r="D127" s="76"/>
      <c r="E127" s="635" t="s">
        <v>186</v>
      </c>
      <c r="F127" s="368" t="str">
        <f>IF(VLOOKUP(G124,'5_1'!$A$12:$D$24,4,0)=2,"Eventual 80%","Definitivo 100%")</f>
        <v>Eventual 80%</v>
      </c>
      <c r="G127" s="382"/>
    </row>
    <row r="128" spans="1:7">
      <c r="A128" s="381"/>
      <c r="B128" s="635" t="s">
        <v>187</v>
      </c>
      <c r="C128" s="375">
        <f>DSUM('5_1'!$A$12:$H$24,'5_1'!$H$12,G123:G124)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DMIN('5_1'!A$12:K$24,'5_1'!$K$12,G123:G124)</f>
        <v>42749.666666666664</v>
      </c>
      <c r="E129" s="127" t="str">
        <f>IF(F129=1,"Domingo",IF(F129=2,"Lunes",IF(F129=3,"Martes",IF(F129=4,"Miercoles",IF(F129=5,"Jueves",IF(F129=6,"Viernes",IF(F129=7,"Sábado",0)))))))</f>
        <v>Sábado</v>
      </c>
      <c r="F129" s="128">
        <f>WEEKDAY(D129)</f>
        <v>7</v>
      </c>
      <c r="G129" s="385" t="s">
        <v>70</v>
      </c>
    </row>
    <row r="130" spans="1:7" ht="15.75">
      <c r="A130" s="381"/>
      <c r="B130" s="76"/>
      <c r="C130" s="635" t="s">
        <v>190</v>
      </c>
      <c r="D130" s="107">
        <f>DMAX('5_1'!A$12:L$24,'5_1'!$L$12,G123:G124)</f>
        <v>42749.666666666664</v>
      </c>
      <c r="E130" s="127" t="str">
        <f>IF(F130=1,"Domingo",IF(F130=2,"Lunes",IF(F130=3,"Martes",IF(F130=4,"Miercoles",IF(F130=5,"Jueves",IF(F130=6,"Viernes",IF(F130=7,"Sábado",0)))))))</f>
        <v>Sábado</v>
      </c>
      <c r="F130" s="128">
        <f>WEEKDAY(D130)</f>
        <v>7</v>
      </c>
      <c r="G130" s="385">
        <f>WEEKDAY(D130)</f>
        <v>7</v>
      </c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IF(DSUM('5_1'!$A$12:$P$90,16,G123:G124)=COUNTIF('5_1'!$A$13:$A$90,G124),"","Regularice su Deuda")</f>
        <v>Regularice su Deuda</v>
      </c>
      <c r="C135" s="326"/>
      <c r="D135" s="326"/>
      <c r="E135" s="326"/>
      <c r="F135" s="326"/>
      <c r="G135" s="388"/>
    </row>
  </sheetData>
  <phoneticPr fontId="0" type="noConversion"/>
  <pageMargins left="0.61" right="0.48" top="0.17" bottom="0.18" header="0" footer="0"/>
  <pageSetup scale="82" orientation="portrait" r:id="rId1"/>
  <headerFooter alignWithMargins="0"/>
  <rowBreaks count="1" manualBreakCount="1">
    <brk id="68" max="6" man="1"/>
  </rowBreaks>
  <colBreaks count="1" manualBreakCount="1">
    <brk id="8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1"/>
  <dimension ref="A1:V27"/>
  <sheetViews>
    <sheetView topLeftCell="A3" zoomScale="75" zoomScaleNormal="100" zoomScaleSheetLayoutView="100" workbookViewId="0" xr3:uid="{11A3ACCB-1F19-5AC9-A611-4158731A345D}">
      <selection activeCell="K22" sqref="K13:L22"/>
    </sheetView>
  </sheetViews>
  <sheetFormatPr defaultRowHeight="12.75"/>
  <cols>
    <col min="1" max="1" width="7.85546875" customWidth="1"/>
    <col min="2" max="2" width="5.140625" bestFit="1" customWidth="1"/>
    <col min="3" max="3" width="7.5703125" customWidth="1"/>
    <col min="4" max="4" width="8.85546875" bestFit="1" customWidth="1"/>
    <col min="5" max="5" width="16.5703125" customWidth="1"/>
    <col min="6" max="6" width="10.5703125" bestFit="1" customWidth="1"/>
    <col min="7" max="7" width="32.140625" customWidth="1"/>
    <col min="8" max="8" width="13.28515625" bestFit="1" customWidth="1"/>
    <col min="9" max="9" width="10.7109375" customWidth="1"/>
    <col min="10" max="10" width="7.7109375" bestFit="1" customWidth="1"/>
    <col min="11" max="11" width="15.42578125" bestFit="1" customWidth="1"/>
    <col min="12" max="12" width="15" customWidth="1"/>
    <col min="13" max="13" width="18.85546875" customWidth="1"/>
    <col min="14" max="14" width="23.140625" customWidth="1"/>
    <col min="15" max="15" width="11.42578125" customWidth="1"/>
    <col min="16" max="18" width="11.5703125" bestFit="1" customWidth="1"/>
    <col min="19" max="19" width="12.5703125" bestFit="1" customWidth="1"/>
    <col min="20" max="20" width="12.28515625" bestFit="1" customWidth="1"/>
    <col min="21" max="21" width="14.28515625" bestFit="1" customWidth="1"/>
    <col min="22" max="256" width="11.42578125" customWidth="1"/>
  </cols>
  <sheetData>
    <row r="1" spans="1:2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1">
      <c r="A2" s="99"/>
      <c r="B2" s="99"/>
      <c r="C2" s="671" t="s">
        <v>123</v>
      </c>
      <c r="D2" s="671"/>
      <c r="E2" s="671"/>
      <c r="F2" s="671"/>
      <c r="G2" s="671"/>
      <c r="H2" s="99" t="s">
        <v>295</v>
      </c>
      <c r="I2" s="99"/>
      <c r="J2" s="99"/>
      <c r="K2" s="99"/>
      <c r="L2" s="99"/>
      <c r="M2" s="99"/>
      <c r="N2" s="99"/>
    </row>
    <row r="3" spans="1:2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21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21">
      <c r="A5" s="662" t="s">
        <v>124</v>
      </c>
      <c r="B5" s="663"/>
      <c r="C5" s="672">
        <f>+Hijuelas!D15</f>
        <v>42749.548611111109</v>
      </c>
      <c r="D5" s="673"/>
      <c r="E5" s="323"/>
      <c r="F5" s="305"/>
      <c r="G5" s="306" t="s">
        <v>125</v>
      </c>
      <c r="H5" s="307">
        <f>+Hijuelas!G4</f>
        <v>3.9895833333333335</v>
      </c>
      <c r="I5" s="318"/>
      <c r="J5" s="99"/>
      <c r="K5" s="99"/>
      <c r="L5" s="99"/>
      <c r="M5" s="99"/>
      <c r="N5" s="99"/>
    </row>
    <row r="6" spans="1:21" ht="13.5" thickBot="1">
      <c r="A6" s="664" t="s">
        <v>126</v>
      </c>
      <c r="B6" s="665"/>
      <c r="C6" s="674">
        <f>+L13</f>
        <v>42753.538194444445</v>
      </c>
      <c r="D6" s="675"/>
      <c r="E6" s="323"/>
      <c r="F6" s="305"/>
      <c r="G6" s="265" t="s">
        <v>127</v>
      </c>
      <c r="H6" s="308">
        <v>0.125</v>
      </c>
      <c r="I6" s="318"/>
      <c r="J6" s="99"/>
      <c r="K6" s="309"/>
      <c r="L6" s="99"/>
      <c r="M6" s="99"/>
      <c r="N6" s="99"/>
    </row>
    <row r="7" spans="1:21" ht="13.5" thickBot="1">
      <c r="A7" s="99"/>
      <c r="B7" s="99"/>
      <c r="C7" s="99" t="s">
        <v>296</v>
      </c>
      <c r="D7" s="99"/>
      <c r="E7" s="312">
        <f>+C6-C5</f>
        <v>3.9895833333357587</v>
      </c>
      <c r="F7" s="99"/>
      <c r="G7" s="310" t="s">
        <v>128</v>
      </c>
      <c r="H7" s="311">
        <f>+I24</f>
        <v>4.1666666666666664E-2</v>
      </c>
      <c r="I7" s="318"/>
      <c r="J7" s="99"/>
      <c r="K7" s="99"/>
      <c r="L7" s="99"/>
      <c r="M7" s="99"/>
      <c r="N7" s="99"/>
    </row>
    <row r="8" spans="1:2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</row>
    <row r="9" spans="1:21">
      <c r="A9" s="666" t="s">
        <v>129</v>
      </c>
      <c r="B9" s="666"/>
      <c r="C9" s="312">
        <f>H5-(H6+H7)</f>
        <v>3.822916666666667</v>
      </c>
      <c r="D9" s="636" t="s">
        <v>130</v>
      </c>
      <c r="E9" s="313">
        <f>+C9*60</f>
        <v>229.37500000000003</v>
      </c>
      <c r="F9" s="636" t="s">
        <v>131</v>
      </c>
      <c r="G9" s="324">
        <f>+H24</f>
        <v>30.570160000000001</v>
      </c>
      <c r="H9" s="636" t="s">
        <v>132</v>
      </c>
      <c r="I9" s="312">
        <f>IF(E9=0,0,E9/G9)</f>
        <v>7.5032319098100899</v>
      </c>
      <c r="J9" s="99"/>
      <c r="K9" s="99"/>
      <c r="L9" s="99"/>
      <c r="M9" s="99"/>
      <c r="N9" s="99"/>
    </row>
    <row r="10" spans="1:2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</row>
    <row r="11" spans="1:21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</row>
    <row r="12" spans="1:21" s="10" customFormat="1" ht="30" customHeight="1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192</v>
      </c>
      <c r="G12" s="354" t="s">
        <v>140</v>
      </c>
      <c r="H12" s="292" t="s">
        <v>257</v>
      </c>
      <c r="I12" s="292" t="s">
        <v>142</v>
      </c>
      <c r="J12" s="292" t="s">
        <v>143</v>
      </c>
      <c r="K12" s="292" t="s">
        <v>297</v>
      </c>
      <c r="L12" s="390" t="s">
        <v>298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1" ht="30" customHeight="1" thickTop="1">
      <c r="A13" s="258">
        <v>1</v>
      </c>
      <c r="B13" s="259">
        <v>1242</v>
      </c>
      <c r="C13" s="244">
        <v>126</v>
      </c>
      <c r="D13" s="244">
        <v>2</v>
      </c>
      <c r="E13" s="245">
        <v>9.0539000000000005</v>
      </c>
      <c r="F13" s="9" t="str">
        <f t="shared" ref="F13:F23" si="0">IF(P13=0,"NO",IF(P13=1,"SI","CONDICIONAL"))</f>
        <v>NO</v>
      </c>
      <c r="G13" s="391" t="s">
        <v>156</v>
      </c>
      <c r="H13" s="16">
        <f>IF(Hijuelas!$G$5="fracción",IF(F13="NO",0,IF(Hijuelas!$G$6="si",IF(D13=1,E13,E13*0.8),E13)),IF(F13="NO",0,IF(Hijuelas!$G$6="si",IF(D13=1,ROUNDUP(E13,0),ROUNDUP(E13*0.8,0)),ROUNDUP(E13,0))))</f>
        <v>0</v>
      </c>
      <c r="I13" s="123">
        <v>4.1666666666666664E-2</v>
      </c>
      <c r="J13" s="123">
        <f t="shared" ref="J13:J23" si="1">+$I$9/60*H13</f>
        <v>0</v>
      </c>
      <c r="K13" s="389">
        <f t="shared" ref="K13:K21" si="2">+L14</f>
        <v>42753.496527777781</v>
      </c>
      <c r="L13" s="389">
        <f t="shared" ref="L13:L21" si="3">+K13+J13+I13</f>
        <v>42753.538194444445</v>
      </c>
      <c r="M13" s="47"/>
      <c r="N13" s="47"/>
      <c r="O13" s="47" t="str">
        <f>+CONCATENATE(B13,C13)</f>
        <v>1242126</v>
      </c>
      <c r="P13" s="6">
        <f>VLOOKUP(O13,deuda!A$1:H$551,4,0)</f>
        <v>0</v>
      </c>
      <c r="Q13" s="6">
        <f>VLOOKUP(O13,deuda!A$1:H$551,5,0)</f>
        <v>2</v>
      </c>
      <c r="R13" s="6" t="str">
        <f>IF(VLOOKUP(O13,deuda!A$1:H$551,6,0)=0,"",VLOOKUP(O13,deuda!A$1:H$551,6,0))</f>
        <v/>
      </c>
      <c r="S13" s="111" t="str">
        <f>IF((VLOOKUP(O13,deuda!A$1:H$551,7,0))=0,"",VLOOKUP(O13,deuda!A$1:H$551,7,0))</f>
        <v/>
      </c>
      <c r="T13" s="115" t="str">
        <f>IF((VLOOKUP(O13,deuda!A$1:H$551,8,0))=0,"",VLOOKUP(O13,deuda!A$1:H$551,8,0))</f>
        <v/>
      </c>
    </row>
    <row r="14" spans="1:21" ht="30" customHeight="1">
      <c r="A14" s="70">
        <v>2</v>
      </c>
      <c r="B14" s="131">
        <v>1242</v>
      </c>
      <c r="C14" s="179">
        <v>98</v>
      </c>
      <c r="D14" s="179">
        <v>2</v>
      </c>
      <c r="E14" s="20">
        <v>4.8832000000000004</v>
      </c>
      <c r="F14" s="9" t="str">
        <f t="shared" si="0"/>
        <v>SI</v>
      </c>
      <c r="G14" s="392" t="s">
        <v>164</v>
      </c>
      <c r="H14" s="16">
        <f>IF(Hijuelas!$G$5="fracción",IF(F14="NO",0,IF(Hijuelas!$G$6="si",IF(D14=1,E14,E14*0.8),E14)),IF(F14="NO",0,IF(Hijuelas!$G$6="si",IF(D14=1,ROUNDUP(E14,0),ROUNDUP(E14*0.8,0)),ROUNDUP(E14,0))))</f>
        <v>3.9065600000000007</v>
      </c>
      <c r="I14" s="119">
        <v>0</v>
      </c>
      <c r="J14" s="123">
        <f>+$I$9/60*H14</f>
        <v>0.48853042749312853</v>
      </c>
      <c r="K14" s="389">
        <f t="shared" si="2"/>
        <v>42753.007997350287</v>
      </c>
      <c r="L14" s="389">
        <f t="shared" si="3"/>
        <v>42753.496527777781</v>
      </c>
      <c r="M14" s="5"/>
      <c r="N14" s="5"/>
      <c r="O14" s="47" t="str">
        <f>+CONCATENATE(B14,C14)</f>
        <v>124298</v>
      </c>
      <c r="P14" s="6">
        <f>VLOOKUP(O14,deuda!A$1:H$551,4,0)</f>
        <v>1</v>
      </c>
      <c r="Q14" s="6">
        <f>VLOOKUP(O14,deuda!A$1:H$551,5,0)</f>
        <v>0</v>
      </c>
      <c r="R14" s="6" t="str">
        <f>IF(VLOOKUP(O14,deuda!A$1:H$551,6,0)=0,"",VLOOKUP(O14,deuda!A$1:H$551,6,0))</f>
        <v/>
      </c>
      <c r="S14" s="111" t="str">
        <f>IF((VLOOKUP(O14,deuda!A$1:H$551,7,0))=0,"",VLOOKUP(O14,deuda!A$1:H$551,7,0))</f>
        <v/>
      </c>
      <c r="T14" s="115" t="str">
        <f>IF((VLOOKUP(O14,deuda!A$1:H$551,8,0))=0,"",VLOOKUP(O14,deuda!A$1:H$551,8,0))</f>
        <v/>
      </c>
      <c r="U14" s="93"/>
    </row>
    <row r="15" spans="1:21" ht="30" customHeight="1">
      <c r="A15" s="131">
        <v>2</v>
      </c>
      <c r="B15" s="131">
        <v>1242</v>
      </c>
      <c r="C15" s="179">
        <v>96</v>
      </c>
      <c r="D15" s="179">
        <v>2</v>
      </c>
      <c r="E15" s="20">
        <v>2.8826000000000001</v>
      </c>
      <c r="F15" s="9" t="str">
        <f t="shared" si="0"/>
        <v>SI</v>
      </c>
      <c r="G15" s="392" t="s">
        <v>299</v>
      </c>
      <c r="H15" s="16">
        <f>IF(Hijuelas!$G$5="fracción",IF(F15="NO",0,IF(Hijuelas!$G$6="si",IF(D15=1,E15,E15*0.8),E15)),IF(F15="NO",0,IF(Hijuelas!$G$6="si",IF(D15=1,ROUNDUP(E15,0),ROUNDUP(E15*0.8,0)),ROUNDUP(E15,0))))</f>
        <v>2.3060800000000001</v>
      </c>
      <c r="I15" s="119">
        <v>0</v>
      </c>
      <c r="J15" s="123">
        <f>+$I$9/60*H15</f>
        <v>0.28838421737624759</v>
      </c>
      <c r="K15" s="389">
        <f t="shared" si="2"/>
        <v>42752.719613132911</v>
      </c>
      <c r="L15" s="389">
        <f t="shared" si="3"/>
        <v>42753.007997350287</v>
      </c>
      <c r="M15" s="5"/>
      <c r="N15" s="5"/>
      <c r="O15" s="47" t="str">
        <f>+CONCATENATE(B15,C15)</f>
        <v>124296</v>
      </c>
      <c r="P15" s="6">
        <f>VLOOKUP(O15,deuda!A$1:H$551,4,0)</f>
        <v>1</v>
      </c>
      <c r="Q15" s="6">
        <f>VLOOKUP(O15,deuda!A$1:H$551,5,0)</f>
        <v>0</v>
      </c>
      <c r="R15" s="6" t="str">
        <f>IF(VLOOKUP(O15,deuda!A$1:H$551,6,0)=0,"",VLOOKUP(O15,deuda!A$1:H$551,6,0))</f>
        <v/>
      </c>
      <c r="S15" s="111" t="str">
        <f>IF((VLOOKUP(O15,deuda!A$1:H$551,7,0))=0,"",VLOOKUP(O15,deuda!A$1:H$551,7,0))</f>
        <v/>
      </c>
      <c r="T15" s="115" t="str">
        <f>IF((VLOOKUP(O15,deuda!A$1:H$551,8,0))=0,"",VLOOKUP(O15,deuda!A$1:H$551,8,0))</f>
        <v/>
      </c>
    </row>
    <row r="16" spans="1:21" ht="30" customHeight="1">
      <c r="A16" s="70">
        <v>3</v>
      </c>
      <c r="B16" s="131">
        <v>1242</v>
      </c>
      <c r="C16" s="179">
        <v>114</v>
      </c>
      <c r="D16" s="179">
        <v>2</v>
      </c>
      <c r="E16" s="20">
        <v>0.48670000000000002</v>
      </c>
      <c r="F16" s="9" t="str">
        <f t="shared" si="0"/>
        <v>SI</v>
      </c>
      <c r="G16" s="392" t="s">
        <v>300</v>
      </c>
      <c r="H16" s="16">
        <f>IF(Hijuelas!$G$5="fracción",IF(F16="NO",0,IF(Hijuelas!$G$6="si",IF(D16=1,E16,E16*0.8),E16)),IF(F16="NO",0,IF(Hijuelas!$G$6="si",IF(D16=1,ROUNDUP(E16,0),ROUNDUP(E16*0.8,0)),ROUNDUP(E16,0))))</f>
        <v>0.38936000000000004</v>
      </c>
      <c r="I16" s="119">
        <v>0</v>
      </c>
      <c r="J16" s="123">
        <f>+$I$9/60*H16</f>
        <v>4.8690972940060952E-2</v>
      </c>
      <c r="K16" s="389">
        <f t="shared" si="2"/>
        <v>42752.670922159974</v>
      </c>
      <c r="L16" s="389">
        <f t="shared" si="3"/>
        <v>42752.719613132911</v>
      </c>
      <c r="M16" s="5"/>
      <c r="N16" s="5"/>
      <c r="O16" s="47" t="str">
        <f>+CONCATENATE(B16,C16)</f>
        <v>1242114</v>
      </c>
      <c r="P16" s="6">
        <f>VLOOKUP(O16,deuda!A$1:H$551,4,0)</f>
        <v>1</v>
      </c>
      <c r="Q16" s="6">
        <f>VLOOKUP(O16,deuda!A$1:H$551,5,0)</f>
        <v>0</v>
      </c>
      <c r="R16" s="6" t="str">
        <f>IF(VLOOKUP(O16,deuda!A$1:H$551,6,0)=0,"",VLOOKUP(O16,deuda!A$1:H$551,6,0))</f>
        <v/>
      </c>
      <c r="S16" s="111" t="str">
        <f>IF((VLOOKUP(O16,deuda!A$1:H$551,7,0))=0,"",VLOOKUP(O16,deuda!A$1:H$551,7,0))</f>
        <v/>
      </c>
      <c r="T16" s="115" t="str">
        <f>IF((VLOOKUP(O16,deuda!A$1:H$551,8,0))=0,"",VLOOKUP(O16,deuda!A$1:H$551,8,0))</f>
        <v/>
      </c>
      <c r="U16" s="93"/>
    </row>
    <row r="17" spans="1:22" ht="30" customHeight="1">
      <c r="A17" s="70">
        <v>3</v>
      </c>
      <c r="B17" s="131">
        <v>1242</v>
      </c>
      <c r="C17" s="179">
        <v>104</v>
      </c>
      <c r="D17" s="179">
        <v>2</v>
      </c>
      <c r="E17" s="20">
        <v>5.4790000000000001</v>
      </c>
      <c r="F17" s="9" t="str">
        <f t="shared" si="0"/>
        <v>SI</v>
      </c>
      <c r="G17" s="392" t="s">
        <v>301</v>
      </c>
      <c r="H17" s="16">
        <f>IF(Hijuelas!$G$5="fracción",IF(F17="NO",0,IF(Hijuelas!$G$6="si",IF(D17=1,E17,E17*0.8),E17)),IF(F17="NO",0,IF(Hijuelas!$G$6="si",IF(D17=1,ROUNDUP(E17,0),ROUNDUP(E17*0.8,0)),ROUNDUP(E17,0))))</f>
        <v>4.3832000000000004</v>
      </c>
      <c r="I17" s="119">
        <v>0</v>
      </c>
      <c r="J17" s="123">
        <f t="shared" si="1"/>
        <v>0.54813610178465988</v>
      </c>
      <c r="K17" s="389">
        <f t="shared" si="2"/>
        <v>42752.122786058186</v>
      </c>
      <c r="L17" s="389">
        <f t="shared" si="3"/>
        <v>42752.670922159974</v>
      </c>
      <c r="M17" s="5"/>
      <c r="N17" s="5"/>
      <c r="O17" s="47" t="str">
        <f t="shared" ref="O17:O23" si="4">+CONCATENATE(B17,C17)</f>
        <v>1242104</v>
      </c>
      <c r="P17" s="6">
        <f>VLOOKUP(O17,deuda!A$1:H$551,4,0)</f>
        <v>1</v>
      </c>
      <c r="Q17" s="6">
        <f>VLOOKUP(O17,deuda!A$1:H$551,5,0)</f>
        <v>0</v>
      </c>
      <c r="R17" s="6" t="str">
        <f>IF(VLOOKUP(O17,deuda!A$1:H$551,6,0)=0,"",VLOOKUP(O17,deuda!A$1:H$551,6,0))</f>
        <v/>
      </c>
      <c r="S17" s="111" t="str">
        <f>IF((VLOOKUP(O17,deuda!A$1:H$551,7,0))=0,"",VLOOKUP(O17,deuda!A$1:H$551,7,0))</f>
        <v/>
      </c>
      <c r="T17" s="115" t="str">
        <f>IF((VLOOKUP(O17,deuda!A$1:H$551,8,0))=0,"",VLOOKUP(O17,deuda!A$1:H$551,8,0))</f>
        <v/>
      </c>
      <c r="U17" s="93"/>
    </row>
    <row r="18" spans="1:22" ht="30" customHeight="1">
      <c r="A18" s="70">
        <v>3</v>
      </c>
      <c r="B18" s="131">
        <v>1242</v>
      </c>
      <c r="C18" s="179">
        <v>103</v>
      </c>
      <c r="D18" s="179">
        <v>2</v>
      </c>
      <c r="E18" s="20">
        <v>3.2475999999999998</v>
      </c>
      <c r="F18" s="9" t="str">
        <f t="shared" si="0"/>
        <v>SI</v>
      </c>
      <c r="G18" s="392" t="s">
        <v>301</v>
      </c>
      <c r="H18" s="16">
        <f>IF(Hijuelas!$G$5="fracción",IF(F18="NO",0,IF(Hijuelas!$G$6="si",IF(D18=1,E18,E18*0.8),E18)),IF(F18="NO",0,IF(Hijuelas!$G$6="si",IF(D18=1,ROUNDUP(E18,0),ROUNDUP(E18*0.8,0)),ROUNDUP(E18,0))))</f>
        <v>2.5980799999999999</v>
      </c>
      <c r="I18" s="119">
        <v>0</v>
      </c>
      <c r="J18" s="123">
        <f t="shared" si="1"/>
        <v>0.32489994600398997</v>
      </c>
      <c r="K18" s="389">
        <f t="shared" si="2"/>
        <v>42751.797886112181</v>
      </c>
      <c r="L18" s="389">
        <f t="shared" si="3"/>
        <v>42752.122786058186</v>
      </c>
      <c r="M18" s="5"/>
      <c r="N18" s="5"/>
      <c r="O18" s="47" t="str">
        <f t="shared" si="4"/>
        <v>1242103</v>
      </c>
      <c r="P18" s="6">
        <f>VLOOKUP(O18,deuda!A$1:H$551,4,0)</f>
        <v>1</v>
      </c>
      <c r="Q18" s="6">
        <f>VLOOKUP(O18,deuda!A$1:H$551,5,0)</f>
        <v>0</v>
      </c>
      <c r="R18" s="6" t="str">
        <f>IF(VLOOKUP(O18,deuda!A$1:H$551,6,0)=0,"",VLOOKUP(O18,deuda!A$1:H$551,6,0))</f>
        <v/>
      </c>
      <c r="S18" s="111" t="str">
        <f>IF((VLOOKUP(O18,deuda!A$1:H$551,7,0))=0,"",VLOOKUP(O18,deuda!A$1:H$551,7,0))</f>
        <v/>
      </c>
      <c r="T18" s="115" t="str">
        <f>IF((VLOOKUP(O18,deuda!A$1:H$551,8,0))=0,"",VLOOKUP(O18,deuda!A$1:H$551,8,0))</f>
        <v/>
      </c>
      <c r="U18" s="273"/>
      <c r="V18" s="10"/>
    </row>
    <row r="19" spans="1:22" ht="30" customHeight="1">
      <c r="A19" s="131">
        <v>4</v>
      </c>
      <c r="B19" s="409">
        <v>1242</v>
      </c>
      <c r="C19" s="410">
        <v>116</v>
      </c>
      <c r="D19" s="410">
        <v>2</v>
      </c>
      <c r="E19" s="411">
        <v>0.215</v>
      </c>
      <c r="F19" s="9" t="str">
        <f t="shared" si="0"/>
        <v>NO</v>
      </c>
      <c r="G19" s="412" t="s">
        <v>302</v>
      </c>
      <c r="H19" s="16">
        <f>IF(Hijuelas!$G$5="fracción",IF(F19="NO",0,IF(Hijuelas!$G$6="si",IF(D19=1,E19,E19*0.8),E19)),IF(F19="NO",0,IF(Hijuelas!$G$6="si",IF(D19=1,ROUNDUP(E19,0),ROUNDUP(E19*0.8,0)),ROUNDUP(E19,0))))</f>
        <v>0</v>
      </c>
      <c r="I19" s="413">
        <v>0</v>
      </c>
      <c r="J19" s="123">
        <f t="shared" si="1"/>
        <v>0</v>
      </c>
      <c r="K19" s="389">
        <f t="shared" si="2"/>
        <v>42751.797886112181</v>
      </c>
      <c r="L19" s="389">
        <f t="shared" si="3"/>
        <v>42751.797886112181</v>
      </c>
      <c r="M19" s="5"/>
      <c r="N19" s="83"/>
      <c r="O19" s="47" t="str">
        <f t="shared" si="4"/>
        <v>1242116</v>
      </c>
      <c r="P19" s="6">
        <f>VLOOKUP(O19,deuda!A$1:H$551,4,0)</f>
        <v>0</v>
      </c>
      <c r="Q19" s="6">
        <f>VLOOKUP(O19,deuda!A$1:H$551,5,0)</f>
        <v>22</v>
      </c>
      <c r="R19" s="6" t="str">
        <f>IF(VLOOKUP(O19,deuda!A$1:H$551,6,0)=0,"",VLOOKUP(O19,deuda!A$1:H$551,6,0))</f>
        <v/>
      </c>
      <c r="S19" s="111" t="str">
        <f>IF((VLOOKUP(O19,deuda!A$1:H$551,7,0))=0,"",VLOOKUP(O19,deuda!A$1:H$551,7,0))</f>
        <v/>
      </c>
      <c r="T19" s="115" t="str">
        <f>IF((VLOOKUP(O19,deuda!A$1:H$551,8,0))=0,"",VLOOKUP(O19,deuda!A$1:H$551,8,0))</f>
        <v/>
      </c>
      <c r="U19" s="93"/>
    </row>
    <row r="20" spans="1:22" s="5" customFormat="1" ht="30" customHeight="1">
      <c r="A20" s="131">
        <v>4</v>
      </c>
      <c r="B20" s="131">
        <v>1242</v>
      </c>
      <c r="C20" s="179">
        <v>119</v>
      </c>
      <c r="D20" s="179">
        <v>2</v>
      </c>
      <c r="E20" s="20">
        <v>11.766400000000001</v>
      </c>
      <c r="F20" s="9" t="str">
        <f t="shared" si="0"/>
        <v>SI</v>
      </c>
      <c r="G20" s="392" t="s">
        <v>302</v>
      </c>
      <c r="H20" s="16">
        <f>IF(Hijuelas!$G$5="fracción",IF(F20="NO",0,IF(Hijuelas!$G$6="si",IF(D20=1,E20,E20*0.8),E20)),IF(F20="NO",0,IF(Hijuelas!$G$6="si",IF(D20=1,ROUNDUP(E20,0),ROUNDUP(E20*0.8,0)),ROUNDUP(E20,0))))</f>
        <v>9.413120000000001</v>
      </c>
      <c r="I20" s="119">
        <v>0</v>
      </c>
      <c r="J20" s="123">
        <f t="shared" si="1"/>
        <v>1.1771470392478594</v>
      </c>
      <c r="K20" s="389">
        <f t="shared" si="2"/>
        <v>42750.620739072932</v>
      </c>
      <c r="L20" s="389">
        <f t="shared" si="3"/>
        <v>42751.797886112181</v>
      </c>
      <c r="O20" s="47" t="str">
        <f t="shared" si="4"/>
        <v>1242119</v>
      </c>
      <c r="P20" s="6">
        <f>VLOOKUP(O20,deuda!A$1:H$551,4,0)</f>
        <v>1</v>
      </c>
      <c r="Q20" s="6">
        <f>VLOOKUP(O20,deuda!A$1:H$551,5,0)</f>
        <v>0</v>
      </c>
      <c r="R20" s="6" t="str">
        <f>IF(VLOOKUP(O20,deuda!A$1:H$551,6,0)=0,"",VLOOKUP(O20,deuda!A$1:H$551,6,0))</f>
        <v/>
      </c>
      <c r="S20" s="111" t="str">
        <f>IF((VLOOKUP(O20,deuda!A$1:H$551,7,0))=0,"",VLOOKUP(O20,deuda!A$1:H$551,7,0))</f>
        <v/>
      </c>
      <c r="T20" s="115" t="str">
        <f>IF((VLOOKUP(O20,deuda!A$1:H$551,8,0))=0,"",VLOOKUP(O20,deuda!A$1:H$551,8,0))</f>
        <v/>
      </c>
      <c r="U20" s="95"/>
    </row>
    <row r="21" spans="1:22" ht="30" customHeight="1">
      <c r="A21" s="131">
        <v>5</v>
      </c>
      <c r="B21" s="259">
        <v>1242</v>
      </c>
      <c r="C21" s="244">
        <v>29</v>
      </c>
      <c r="D21" s="244">
        <v>2</v>
      </c>
      <c r="E21" s="245">
        <v>4.8000000000000001E-2</v>
      </c>
      <c r="F21" s="9" t="str">
        <f t="shared" si="0"/>
        <v>NO</v>
      </c>
      <c r="G21" s="391" t="s">
        <v>303</v>
      </c>
      <c r="H21" s="16">
        <f>IF(Hijuelas!$G$5="fracción",IF(F21="NO",0,IF(Hijuelas!$G$6="si",IF(D21=1,E21,E21*0.8),E21)),IF(F21="NO",0,IF(Hijuelas!$G$6="si",IF(D21=1,ROUNDUP(E21,0),ROUNDUP(E21*0.8,0)),ROUNDUP(E21,0))))</f>
        <v>0</v>
      </c>
      <c r="I21" s="123">
        <v>0</v>
      </c>
      <c r="J21" s="123">
        <f t="shared" si="1"/>
        <v>0</v>
      </c>
      <c r="K21" s="389">
        <f t="shared" si="2"/>
        <v>42750.620739072932</v>
      </c>
      <c r="L21" s="389">
        <f t="shared" si="3"/>
        <v>42750.620739072932</v>
      </c>
      <c r="M21" s="5"/>
      <c r="N21" s="5"/>
      <c r="O21" s="47" t="str">
        <f t="shared" si="4"/>
        <v>124229</v>
      </c>
      <c r="P21" s="6">
        <f>VLOOKUP(O21,deuda!A$1:H$551,4,0)</f>
        <v>0</v>
      </c>
      <c r="Q21" s="6">
        <f>VLOOKUP(O21,deuda!A$1:H$551,5,0)</f>
        <v>170</v>
      </c>
      <c r="R21" s="6" t="str">
        <f>IF(VLOOKUP(O21,deuda!A$1:H$551,6,0)=0,"",VLOOKUP(O21,deuda!A$1:H$551,6,0))</f>
        <v/>
      </c>
      <c r="S21" s="111" t="str">
        <f>IF((VLOOKUP(O21,deuda!A$1:H$551,7,0))=0,"",VLOOKUP(O21,deuda!A$1:H$551,7,0))</f>
        <v/>
      </c>
      <c r="T21" s="115" t="str">
        <f>IF((VLOOKUP(O21,deuda!A$1:H$551,8,0))=0,"",VLOOKUP(O21,deuda!A$1:H$551,8,0))</f>
        <v/>
      </c>
      <c r="U21" s="93"/>
    </row>
    <row r="22" spans="1:22" ht="30" customHeight="1">
      <c r="A22" s="131">
        <v>6</v>
      </c>
      <c r="B22" s="259">
        <v>1242</v>
      </c>
      <c r="C22" s="244">
        <v>99</v>
      </c>
      <c r="D22" s="244">
        <v>2</v>
      </c>
      <c r="E22" s="245">
        <v>4.8832000000000004</v>
      </c>
      <c r="F22" s="9" t="str">
        <f t="shared" si="0"/>
        <v>SI</v>
      </c>
      <c r="G22" s="391" t="s">
        <v>304</v>
      </c>
      <c r="H22" s="16">
        <f>IF(Hijuelas!$G$5="fracción",IF(F22="NO",0,IF(Hijuelas!$G$6="si",IF(D22=1,E22,E22*0.8),E22)),IF(F22="NO",0,IF(Hijuelas!$G$6="si",IF(D22=1,ROUNDUP(E22,0),ROUNDUP(E22*0.8,0)),ROUNDUP(E22,0))))</f>
        <v>3.9065600000000007</v>
      </c>
      <c r="I22" s="123">
        <v>0</v>
      </c>
      <c r="J22" s="123">
        <f t="shared" si="1"/>
        <v>0.48853042749312853</v>
      </c>
      <c r="K22" s="389">
        <f>+L23</f>
        <v>42750.132208645438</v>
      </c>
      <c r="L22" s="389">
        <f>+K22+J22+I22</f>
        <v>42750.620739072932</v>
      </c>
      <c r="M22" s="5"/>
      <c r="N22" s="5"/>
      <c r="O22" s="47" t="str">
        <f t="shared" si="4"/>
        <v>124299</v>
      </c>
      <c r="P22" s="6">
        <f>VLOOKUP(O22,deuda!A$1:H$551,4,0)</f>
        <v>1</v>
      </c>
      <c r="Q22" s="6">
        <f>VLOOKUP(O22,deuda!A$1:H$551,5,0)</f>
        <v>0</v>
      </c>
      <c r="R22" s="6" t="str">
        <f>IF(VLOOKUP(O22,deuda!A$1:H$551,6,0)=0,"",VLOOKUP(O22,deuda!A$1:H$551,6,0))</f>
        <v/>
      </c>
      <c r="S22" s="111" t="str">
        <f>IF((VLOOKUP(O22,deuda!A$1:H$551,7,0))=0,"",VLOOKUP(O22,deuda!A$1:H$551,7,0))</f>
        <v/>
      </c>
      <c r="T22" s="115" t="str">
        <f>IF((VLOOKUP(O22,deuda!A$1:H$551,8,0))=0,"",VLOOKUP(O22,deuda!A$1:H$551,8,0))</f>
        <v/>
      </c>
      <c r="U22" s="93"/>
    </row>
    <row r="23" spans="1:22" ht="30" customHeight="1">
      <c r="A23" s="131">
        <v>6</v>
      </c>
      <c r="B23" s="131">
        <v>1242</v>
      </c>
      <c r="C23" s="179">
        <v>97</v>
      </c>
      <c r="D23" s="179">
        <v>2</v>
      </c>
      <c r="E23" s="20">
        <v>4.5839999999999996</v>
      </c>
      <c r="F23" s="9" t="str">
        <f t="shared" si="0"/>
        <v>SI</v>
      </c>
      <c r="G23" s="392" t="s">
        <v>305</v>
      </c>
      <c r="H23" s="16">
        <f>IF(Hijuelas!$G$5="fracción",IF(F23="NO",0,IF(Hijuelas!$G$6="si",IF(D23=1,E23,E23*0.8),E23)),IF(F23="NO",0,IF(Hijuelas!$G$6="si",IF(D23=1,ROUNDUP(E23,0),ROUNDUP(E23*0.8,0)),ROUNDUP(E23,0))))</f>
        <v>3.6671999999999998</v>
      </c>
      <c r="I23" s="119">
        <v>0</v>
      </c>
      <c r="J23" s="123">
        <f t="shared" si="1"/>
        <v>0.4585975343275927</v>
      </c>
      <c r="K23" s="389">
        <f>+C5+H6</f>
        <v>42749.673611111109</v>
      </c>
      <c r="L23" s="389">
        <f>+K23+J23</f>
        <v>42750.132208645438</v>
      </c>
      <c r="M23" s="5"/>
      <c r="N23" s="5"/>
      <c r="O23" s="47" t="str">
        <f t="shared" si="4"/>
        <v>124297</v>
      </c>
      <c r="P23" s="6">
        <f>VLOOKUP(O23,deuda!A$1:H$551,4,0)</f>
        <v>1</v>
      </c>
      <c r="Q23" s="6">
        <f>VLOOKUP(O23,deuda!A$1:H$551,5,0)</f>
        <v>0</v>
      </c>
      <c r="R23" s="6" t="str">
        <f>IF(VLOOKUP(O23,deuda!A$1:H$551,6,0)=0,"",VLOOKUP(O23,deuda!A$1:H$551,6,0))</f>
        <v/>
      </c>
      <c r="S23" s="111" t="str">
        <f>IF((VLOOKUP(O23,deuda!A$1:H$551,7,0))=0,"",VLOOKUP(O23,deuda!A$1:H$551,7,0))</f>
        <v/>
      </c>
      <c r="T23" s="115" t="str">
        <f>IF((VLOOKUP(O23,deuda!A$1:H$551,8,0))=0,"",VLOOKUP(O23,deuda!A$1:H$551,8,0))</f>
        <v/>
      </c>
      <c r="U23" s="93"/>
    </row>
    <row r="24" spans="1:22" ht="24.95" customHeight="1">
      <c r="E24" s="471">
        <f>SUM(E13:E23)</f>
        <v>47.529600000000002</v>
      </c>
      <c r="F24" s="482">
        <f>SUM(F13:F22)</f>
        <v>0</v>
      </c>
      <c r="H24" s="482">
        <f>SUM(H13:H23)</f>
        <v>30.570160000000001</v>
      </c>
      <c r="I24" s="483">
        <f>SUM(I13:I23)</f>
        <v>4.1666666666666664E-2</v>
      </c>
      <c r="J24" s="483">
        <f>SUM(J13:J23)</f>
        <v>3.8229166666666674</v>
      </c>
      <c r="K24" s="254"/>
      <c r="L24" s="254"/>
      <c r="M24" s="10"/>
      <c r="N24" s="10"/>
      <c r="O24" s="10"/>
      <c r="P24" s="13"/>
      <c r="Q24" s="13"/>
      <c r="R24" s="13"/>
      <c r="S24" s="255"/>
      <c r="T24" s="255"/>
    </row>
    <row r="25" spans="1:22">
      <c r="F25" s="17"/>
      <c r="H25" s="253"/>
      <c r="I25" s="94"/>
      <c r="J25" s="94"/>
      <c r="K25" s="254"/>
      <c r="L25" s="254"/>
      <c r="M25" s="10"/>
      <c r="N25" s="10"/>
      <c r="O25" s="10"/>
      <c r="P25" s="13"/>
      <c r="Q25" s="13"/>
      <c r="R25" s="13"/>
      <c r="S25" s="255"/>
      <c r="T25" s="255"/>
    </row>
    <row r="26" spans="1:22">
      <c r="F26" s="17"/>
      <c r="H26" s="253"/>
      <c r="I26" s="94"/>
      <c r="J26" s="94"/>
      <c r="K26" s="254"/>
      <c r="L26" s="254"/>
      <c r="M26" s="10"/>
      <c r="N26" s="10"/>
      <c r="O26" s="10"/>
      <c r="P26" s="13"/>
      <c r="Q26" s="13"/>
      <c r="R26" s="13"/>
      <c r="S26" s="255"/>
      <c r="T26" s="255"/>
    </row>
    <row r="27" spans="1:22" s="10" customFormat="1"/>
  </sheetData>
  <mergeCells count="6">
    <mergeCell ref="C2:G2"/>
    <mergeCell ref="A9:B9"/>
    <mergeCell ref="A5:B5"/>
    <mergeCell ref="C5:D5"/>
    <mergeCell ref="A6:B6"/>
    <mergeCell ref="C6:D6"/>
  </mergeCells>
  <phoneticPr fontId="0" type="noConversion"/>
  <dataValidations disablePrompts="1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23" xr:uid="{00000000-0002-0000-1000-000000000000}">
      <formula1>2</formula1>
      <formula2>2</formula2>
    </dataValidation>
  </dataValidations>
  <pageMargins left="0.39370078740157483" right="0.75" top="0.98425196850393704" bottom="0.98425196850393704" header="0" footer="0"/>
  <pageSetup paperSize="9" scale="75" orientation="landscape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1"/>
  <dimension ref="A1:H101"/>
  <sheetViews>
    <sheetView view="pageBreakPreview" zoomScaleNormal="75" zoomScaleSheetLayoutView="100" workbookViewId="0" xr3:uid="{F1CDC194-CB96-5A2D-8E84-222F42300CFA}">
      <selection activeCell="J14" sqref="J14"/>
    </sheetView>
  </sheetViews>
  <sheetFormatPr defaultRowHeight="12.75"/>
  <cols>
    <col min="1" max="2" width="11.42578125" customWidth="1"/>
    <col min="3" max="3" width="11.5703125" bestFit="1" customWidth="1"/>
    <col min="4" max="4" width="20.85546875" bestFit="1" customWidth="1"/>
    <col min="5" max="5" width="11.42578125" customWidth="1"/>
    <col min="6" max="6" width="11.5703125" bestFit="1" customWidth="1"/>
    <col min="7" max="7" width="20.570312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VLOOKUP(G5,'6_1'!$A$12:$G$22,7,0)</f>
        <v>CAMPIONE, ORLANDO SALVADOR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+'6_1'!$H$2</f>
        <v>Hijuela Vargas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VLOOKUP(G5,'6_1'!$A$12:$B$22,2,0)</f>
        <v>1242</v>
      </c>
      <c r="D7" s="76"/>
      <c r="E7" s="635" t="s">
        <v>184</v>
      </c>
      <c r="F7" s="347">
        <f>DSUM('6_1'!A$12:J$22,'6_1'!$J$12,G4:G5)</f>
        <v>0</v>
      </c>
      <c r="G7" s="382"/>
      <c r="H7" s="76"/>
    </row>
    <row r="8" spans="1:8">
      <c r="A8" s="381"/>
      <c r="B8" s="635" t="s">
        <v>185</v>
      </c>
      <c r="C8" s="374">
        <v>126</v>
      </c>
      <c r="D8" s="76"/>
      <c r="E8" s="635" t="s">
        <v>186</v>
      </c>
      <c r="F8" s="368" t="str">
        <f>IF(VLOOKUP(G5,'6_1'!$A$12:$D$22,4,0)=2,"Eventual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DSUM('6_1'!$A$12:$H$22,'6_1'!$H$12,G4:G5)</f>
        <v>0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DMIN('6_1'!A$12:K$22,'6_1'!$K$12,G4:G5)</f>
        <v>42753.496527777781</v>
      </c>
      <c r="E10" s="127" t="str">
        <f>IF(F10=1,"Domingo",IF(F10=2,"Lunes",IF(F10=3,"Martes",IF(F10=4,"Miercoles",IF(F10=5,"Jueves",IF(F10=6,"Viernes",IF(F10=7,"Sábado",0)))))))</f>
        <v>Miercoles</v>
      </c>
      <c r="F10" s="128">
        <f>WEEKDAY(D10)</f>
        <v>4</v>
      </c>
      <c r="G10" s="385" t="s">
        <v>70</v>
      </c>
      <c r="H10" s="76"/>
    </row>
    <row r="11" spans="1:8" ht="15.75">
      <c r="A11" s="381"/>
      <c r="B11" s="76"/>
      <c r="C11" s="635" t="s">
        <v>190</v>
      </c>
      <c r="D11" s="107">
        <f>DMAX('6_1'!A$12:L$22,'6_1'!$L$12,G4:G5)</f>
        <v>42753.538194444445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>
        <f>WEEKDAY(D11)</f>
        <v>4</v>
      </c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IF(DSUM('6_1'!$A$12:$P$79,16,G4:G5)=COUNTIF('6_1'!$A$13:$A$79,G5),"","Regularice su Deuda")</f>
        <v>Regularice su Deuda</v>
      </c>
      <c r="C16" s="326"/>
      <c r="D16" s="326"/>
      <c r="E16" s="326"/>
      <c r="F16" s="326"/>
      <c r="G16" s="388"/>
      <c r="H16" s="76"/>
    </row>
    <row r="17" spans="2:7" ht="13.5" thickBot="1"/>
    <row r="18" spans="2:7">
      <c r="B18" s="379"/>
      <c r="C18" s="379"/>
      <c r="D18" s="379"/>
      <c r="E18" s="379"/>
      <c r="F18" s="379"/>
      <c r="G18" s="380"/>
    </row>
    <row r="19" spans="2:7">
      <c r="B19" s="109" t="s">
        <v>82</v>
      </c>
      <c r="C19" s="76"/>
      <c r="D19" s="76"/>
      <c r="E19" s="76"/>
      <c r="F19" s="76"/>
      <c r="G19" s="382"/>
    </row>
    <row r="20" spans="2:7">
      <c r="B20" s="76"/>
      <c r="C20" s="76"/>
      <c r="D20" s="76"/>
      <c r="E20" s="76"/>
      <c r="F20" s="76"/>
      <c r="G20" s="382"/>
    </row>
    <row r="21" spans="2:7">
      <c r="B21" s="76" t="s">
        <v>182</v>
      </c>
      <c r="C21" s="76" t="str">
        <f>VLOOKUP(G22,'6_1'!$A$12:$G$22,7,0)</f>
        <v>MASCHKE, MIGUEL ANGEL BERNABE</v>
      </c>
      <c r="D21" s="76"/>
      <c r="E21" s="76"/>
      <c r="F21" s="76"/>
      <c r="G21" s="383" t="s">
        <v>134</v>
      </c>
    </row>
    <row r="22" spans="2:7">
      <c r="B22" s="76" t="s">
        <v>91</v>
      </c>
      <c r="C22" s="76" t="str">
        <f>+'6_1'!$H$2</f>
        <v>Hijuela Vargas</v>
      </c>
      <c r="D22" s="76"/>
      <c r="E22" s="76"/>
      <c r="F22" s="76"/>
      <c r="G22" s="383">
        <v>2</v>
      </c>
    </row>
    <row r="23" spans="2:7">
      <c r="B23" s="76"/>
      <c r="C23" s="76"/>
      <c r="D23" s="76"/>
      <c r="E23" s="76"/>
      <c r="F23" s="76"/>
      <c r="G23" s="382"/>
    </row>
    <row r="24" spans="2:7">
      <c r="B24" s="635" t="s">
        <v>183</v>
      </c>
      <c r="C24" s="331">
        <f>VLOOKUP(G22,'6_1'!$A$12:$B$22,2,0)</f>
        <v>1242</v>
      </c>
      <c r="D24" s="76"/>
      <c r="E24" s="635" t="s">
        <v>184</v>
      </c>
      <c r="F24" s="347">
        <f>DSUM('6_1'!A$12:J$22,'6_1'!$J$12,G21:G22)</f>
        <v>0.77691464486937611</v>
      </c>
      <c r="G24" s="382"/>
    </row>
    <row r="25" spans="2:7">
      <c r="B25" s="635" t="s">
        <v>185</v>
      </c>
      <c r="C25" s="374" t="s">
        <v>306</v>
      </c>
      <c r="D25" s="76"/>
      <c r="E25" s="635" t="s">
        <v>186</v>
      </c>
      <c r="F25" s="368" t="str">
        <f>IF(VLOOKUP(G22,'6_1'!$A$12:$D$22,4,0)=2,"Eventual 80%","Definitivo 100%")</f>
        <v>Eventual 80%</v>
      </c>
      <c r="G25" s="382"/>
    </row>
    <row r="26" spans="2:7">
      <c r="B26" s="635" t="s">
        <v>187</v>
      </c>
      <c r="C26" s="375">
        <f>DSUM('6_1'!$A$12:$H$22,'6_1'!$H$12,G21:G22)</f>
        <v>6.2126400000000004</v>
      </c>
      <c r="D26" s="76"/>
      <c r="E26" s="635" t="s">
        <v>188</v>
      </c>
      <c r="F26" s="369" t="str">
        <f>+Hijuelas!$G$5</f>
        <v>fracción</v>
      </c>
      <c r="G26" s="384"/>
    </row>
    <row r="27" spans="2:7" ht="15.75">
      <c r="B27" s="76"/>
      <c r="C27" s="635" t="s">
        <v>189</v>
      </c>
      <c r="D27" s="107">
        <f>DMIN('6_1'!A$12:K$22,'6_1'!$K$12,G21:G22)</f>
        <v>42752.719613132911</v>
      </c>
      <c r="E27" s="127" t="str">
        <f>IF(F27=1,"Domingo",IF(F27=2,"Lunes",IF(F27=3,"Martes",IF(F27=4,"Miercoles",IF(F27=5,"Jueves",IF(F27=6,"Viernes",IF(F27=7,"Sábado",0)))))))</f>
        <v>Martes</v>
      </c>
      <c r="F27" s="128">
        <f>WEEKDAY(D27)</f>
        <v>3</v>
      </c>
      <c r="G27" s="385" t="s">
        <v>70</v>
      </c>
    </row>
    <row r="28" spans="2:7" ht="15.75">
      <c r="B28" s="76"/>
      <c r="C28" s="635" t="s">
        <v>190</v>
      </c>
      <c r="D28" s="107">
        <f>DMAX('6_1'!A$12:L$22,'6_1'!$L$12,G21:G22)</f>
        <v>42753.496527777781</v>
      </c>
      <c r="E28" s="127" t="str">
        <f>IF(F28=1,"Domingo",IF(F28=2,"Lunes",IF(F28=3,"Martes",IF(F28=4,"Miercoles",IF(F28=5,"Jueves",IF(F28=6,"Viernes",IF(F28=7,"Sábado",0)))))))</f>
        <v>Miercoles</v>
      </c>
      <c r="F28" s="128">
        <f>WEEKDAY(D28)</f>
        <v>4</v>
      </c>
      <c r="G28" s="385">
        <f>WEEKDAY(D28)</f>
        <v>4</v>
      </c>
    </row>
    <row r="29" spans="2:7">
      <c r="B29" s="76"/>
      <c r="C29" s="76"/>
      <c r="D29" s="76"/>
      <c r="E29" s="76"/>
      <c r="F29" s="106"/>
      <c r="G29" s="384"/>
    </row>
    <row r="30" spans="2:7"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2:7"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2:7">
      <c r="B32" s="108"/>
      <c r="C32" s="76"/>
      <c r="D32" s="76"/>
      <c r="E32" s="76"/>
      <c r="F32" s="76"/>
      <c r="G32" s="382"/>
    </row>
    <row r="33" spans="2:7" ht="13.5" thickBot="1">
      <c r="B33" s="387" t="str">
        <f>IF(DSUM('6_1'!$A$12:$P$79,16,G21:G22)=COUNTIF('6_1'!$A$13:$A$79,G22),"","Regularice su Deuda")</f>
        <v/>
      </c>
      <c r="C33" s="326"/>
      <c r="D33" s="326"/>
      <c r="E33" s="326"/>
      <c r="F33" s="326"/>
      <c r="G33" s="388"/>
    </row>
    <row r="34" spans="2:7" ht="13.5" thickBot="1"/>
    <row r="35" spans="2:7">
      <c r="B35" s="379"/>
      <c r="C35" s="379"/>
      <c r="D35" s="379"/>
      <c r="E35" s="379"/>
      <c r="F35" s="379"/>
      <c r="G35" s="380"/>
    </row>
    <row r="36" spans="2:7">
      <c r="B36" s="109" t="s">
        <v>82</v>
      </c>
      <c r="C36" s="76"/>
      <c r="D36" s="76"/>
      <c r="E36" s="76"/>
      <c r="F36" s="76"/>
      <c r="G36" s="382"/>
    </row>
    <row r="37" spans="2:7">
      <c r="B37" s="76"/>
      <c r="C37" s="76"/>
      <c r="D37" s="76"/>
      <c r="E37" s="76"/>
      <c r="F37" s="76"/>
      <c r="G37" s="382"/>
    </row>
    <row r="38" spans="2:7">
      <c r="B38" s="76" t="s">
        <v>182</v>
      </c>
      <c r="C38" s="76" t="str">
        <f>VLOOKUP(G39,'6_1'!$A$12:$G$22,7,0)</f>
        <v>BARRIO, DANIEL</v>
      </c>
      <c r="D38" s="76"/>
      <c r="E38" s="76"/>
      <c r="F38" s="76"/>
      <c r="G38" s="383" t="s">
        <v>134</v>
      </c>
    </row>
    <row r="39" spans="2:7">
      <c r="B39" s="76" t="s">
        <v>91</v>
      </c>
      <c r="C39" s="76" t="str">
        <f>+'6_1'!$H$2</f>
        <v>Hijuela Vargas</v>
      </c>
      <c r="D39" s="76"/>
      <c r="E39" s="76"/>
      <c r="F39" s="76"/>
      <c r="G39" s="383">
        <v>3</v>
      </c>
    </row>
    <row r="40" spans="2:7">
      <c r="B40" s="76"/>
      <c r="C40" s="76"/>
      <c r="D40" s="76"/>
      <c r="E40" s="76"/>
      <c r="F40" s="76"/>
      <c r="G40" s="382"/>
    </row>
    <row r="41" spans="2:7">
      <c r="B41" s="635" t="s">
        <v>183</v>
      </c>
      <c r="C41" s="331">
        <f>VLOOKUP(G39,'6_1'!$A$12:$B$22,2,0)</f>
        <v>1242</v>
      </c>
      <c r="D41" s="76"/>
      <c r="E41" s="635" t="s">
        <v>184</v>
      </c>
      <c r="F41" s="347">
        <f>DSUM('6_1'!A$12:J$22,'6_1'!$J$12,G38:G39)</f>
        <v>0.92172702072871082</v>
      </c>
      <c r="G41" s="382"/>
    </row>
    <row r="42" spans="2:7">
      <c r="B42" s="635" t="s">
        <v>185</v>
      </c>
      <c r="C42" s="374" t="s">
        <v>307</v>
      </c>
      <c r="D42" s="76"/>
      <c r="E42" s="635" t="s">
        <v>186</v>
      </c>
      <c r="F42" s="368" t="str">
        <f>IF(VLOOKUP(G39,'6_1'!$A$12:$D$22,4,0)=2,"Eventual 80%","Definitivo 100%")</f>
        <v>Eventual 80%</v>
      </c>
      <c r="G42" s="382"/>
    </row>
    <row r="43" spans="2:7">
      <c r="B43" s="635" t="s">
        <v>187</v>
      </c>
      <c r="C43" s="375">
        <f>DSUM('6_1'!$A$12:$H$22,'6_1'!$H$12,G38:G39)</f>
        <v>7.3706399999999999</v>
      </c>
      <c r="D43" s="76"/>
      <c r="E43" s="635" t="s">
        <v>188</v>
      </c>
      <c r="F43" s="369" t="str">
        <f>+Hijuelas!$G$5</f>
        <v>fracción</v>
      </c>
      <c r="G43" s="384"/>
    </row>
    <row r="44" spans="2:7" ht="15.75">
      <c r="B44" s="76"/>
      <c r="C44" s="635" t="s">
        <v>189</v>
      </c>
      <c r="D44" s="107">
        <f>DMIN('6_1'!A$12:K$22,'6_1'!$K$12,G38:G39)</f>
        <v>42751.797886112181</v>
      </c>
      <c r="E44" s="127" t="str">
        <f>IF(F44=1,"Domingo",IF(F44=2,"Lunes",IF(F44=3,"Martes",IF(F44=4,"Miercoles",IF(F44=5,"Jueves",IF(F44=6,"Viernes",IF(F44=7,"Sábado",0)))))))</f>
        <v>Lunes</v>
      </c>
      <c r="F44" s="128">
        <f>WEEKDAY(D44)</f>
        <v>2</v>
      </c>
      <c r="G44" s="385" t="s">
        <v>70</v>
      </c>
    </row>
    <row r="45" spans="2:7" ht="15.75">
      <c r="B45" s="76"/>
      <c r="C45" s="635" t="s">
        <v>190</v>
      </c>
      <c r="D45" s="107">
        <f>DMAX('6_1'!A$12:L$22,'6_1'!$L$12,G38:G39)</f>
        <v>42752.719613132911</v>
      </c>
      <c r="E45" s="127" t="str">
        <f>IF(F45=1,"Domingo",IF(F45=2,"Lunes",IF(F45=3,"Martes",IF(F45=4,"Miercoles",IF(F45=5,"Jueves",IF(F45=6,"Viernes",IF(F45=7,"Sábado",0)))))))</f>
        <v>Martes</v>
      </c>
      <c r="F45" s="128">
        <f>WEEKDAY(D45)</f>
        <v>3</v>
      </c>
      <c r="G45" s="385">
        <f>WEEKDAY(D45)</f>
        <v>3</v>
      </c>
    </row>
    <row r="46" spans="2:7">
      <c r="B46" s="76"/>
      <c r="C46" s="76"/>
      <c r="D46" s="76"/>
      <c r="E46" s="76"/>
      <c r="F46" s="106"/>
      <c r="G46" s="384"/>
    </row>
    <row r="47" spans="2:7"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2:7"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2:7">
      <c r="B49" s="108"/>
      <c r="C49" s="76"/>
      <c r="D49" s="76"/>
      <c r="E49" s="76"/>
      <c r="F49" s="76"/>
      <c r="G49" s="382"/>
    </row>
    <row r="50" spans="2:7" ht="13.5" thickBot="1">
      <c r="B50" s="387" t="str">
        <f>IF(DSUM('6_1'!$A$12:$P$79,16,G38:G39)=COUNTIF('6_1'!$A$13:$A$79,G39),"","Regularice su Deuda")</f>
        <v/>
      </c>
      <c r="C50" s="326"/>
      <c r="D50" s="326"/>
      <c r="E50" s="326"/>
      <c r="F50" s="326"/>
      <c r="G50" s="388"/>
    </row>
    <row r="51" spans="2:7" ht="13.5" thickBot="1"/>
    <row r="52" spans="2:7">
      <c r="B52" s="379"/>
      <c r="C52" s="379"/>
      <c r="D52" s="379"/>
      <c r="E52" s="379"/>
      <c r="F52" s="379"/>
      <c r="G52" s="380"/>
    </row>
    <row r="53" spans="2:7">
      <c r="B53" s="109" t="s">
        <v>82</v>
      </c>
      <c r="C53" s="76"/>
      <c r="D53" s="76"/>
      <c r="E53" s="76"/>
      <c r="F53" s="76"/>
      <c r="G53" s="382"/>
    </row>
    <row r="54" spans="2:7">
      <c r="B54" s="76"/>
      <c r="C54" s="76"/>
      <c r="D54" s="76"/>
      <c r="E54" s="76"/>
      <c r="F54" s="76"/>
      <c r="G54" s="382"/>
    </row>
    <row r="55" spans="2:7">
      <c r="B55" s="76" t="s">
        <v>182</v>
      </c>
      <c r="C55" s="76" t="str">
        <f>VLOOKUP(G56,'6_1'!$A$12:$G$22,7,0)</f>
        <v>VARGAS, VICTOR WASINGTHON</v>
      </c>
      <c r="D55" s="76"/>
      <c r="E55" s="76"/>
      <c r="F55" s="76"/>
      <c r="G55" s="383" t="s">
        <v>134</v>
      </c>
    </row>
    <row r="56" spans="2:7">
      <c r="B56" s="76" t="s">
        <v>91</v>
      </c>
      <c r="C56" s="76" t="str">
        <f>+'6_1'!$H$2</f>
        <v>Hijuela Vargas</v>
      </c>
      <c r="D56" s="76"/>
      <c r="E56" s="76"/>
      <c r="F56" s="76"/>
      <c r="G56" s="383">
        <v>4</v>
      </c>
    </row>
    <row r="57" spans="2:7">
      <c r="B57" s="76"/>
      <c r="C57" s="76"/>
      <c r="D57" s="76"/>
      <c r="E57" s="76"/>
      <c r="F57" s="76"/>
      <c r="G57" s="382"/>
    </row>
    <row r="58" spans="2:7">
      <c r="B58" s="635" t="s">
        <v>183</v>
      </c>
      <c r="C58" s="331">
        <f>VLOOKUP(G56,'6_1'!$A$12:$B$22,2,0)</f>
        <v>1242</v>
      </c>
      <c r="D58" s="76"/>
      <c r="E58" s="635" t="s">
        <v>184</v>
      </c>
      <c r="F58" s="347">
        <f>DSUM('6_1'!A$12:J$22,'6_1'!$J$12,G55:G56)</f>
        <v>1.1771470392478594</v>
      </c>
      <c r="G58" s="382"/>
    </row>
    <row r="59" spans="2:7">
      <c r="B59" s="635" t="s">
        <v>185</v>
      </c>
      <c r="C59" s="374" t="s">
        <v>308</v>
      </c>
      <c r="D59" s="76"/>
      <c r="E59" s="635" t="s">
        <v>186</v>
      </c>
      <c r="F59" s="368" t="str">
        <f>IF(VLOOKUP(G56,'6_1'!$A$12:$D$22,4,0)=2,"Eventual 80%","Definitivo 100%")</f>
        <v>Eventual 80%</v>
      </c>
      <c r="G59" s="382"/>
    </row>
    <row r="60" spans="2:7">
      <c r="B60" s="635" t="s">
        <v>187</v>
      </c>
      <c r="C60" s="375">
        <f>DSUM('6_1'!$A$12:$H$22,'6_1'!$H$12,G55:G56)</f>
        <v>9.413120000000001</v>
      </c>
      <c r="D60" s="76"/>
      <c r="E60" s="635" t="s">
        <v>188</v>
      </c>
      <c r="F60" s="369" t="str">
        <f>+Hijuelas!$G$5</f>
        <v>fracción</v>
      </c>
      <c r="G60" s="384"/>
    </row>
    <row r="61" spans="2:7" ht="15.75">
      <c r="B61" s="76"/>
      <c r="C61" s="635" t="s">
        <v>189</v>
      </c>
      <c r="D61" s="107">
        <f>DMIN('6_1'!A$12:K$22,'6_1'!$K$12,G55:G56)</f>
        <v>42750.620739072932</v>
      </c>
      <c r="E61" s="127" t="str">
        <f>IF(F61=1,"Domingo",IF(F61=2,"Lunes",IF(F61=3,"Martes",IF(F61=4,"Miercoles",IF(F61=5,"Jueves",IF(F61=6,"Viernes",IF(F61=7,"Sábado",0)))))))</f>
        <v>Domingo</v>
      </c>
      <c r="F61" s="128">
        <f>WEEKDAY(D61)</f>
        <v>1</v>
      </c>
      <c r="G61" s="385" t="s">
        <v>70</v>
      </c>
    </row>
    <row r="62" spans="2:7" ht="15.75">
      <c r="B62" s="76"/>
      <c r="C62" s="635" t="s">
        <v>190</v>
      </c>
      <c r="D62" s="107">
        <f>DMAX('6_1'!A$12:L$22,'6_1'!$L$12,G55:G56)</f>
        <v>42751.797886112181</v>
      </c>
      <c r="E62" s="127" t="str">
        <f>IF(F62=1,"Domingo",IF(F62=2,"Lunes",IF(F62=3,"Martes",IF(F62=4,"Miercoles",IF(F62=5,"Jueves",IF(F62=6,"Viernes",IF(F62=7,"Sábado",0)))))))</f>
        <v>Lunes</v>
      </c>
      <c r="F62" s="128">
        <f>WEEKDAY(D62)</f>
        <v>2</v>
      </c>
      <c r="G62" s="385">
        <f>WEEKDAY(D62)</f>
        <v>2</v>
      </c>
    </row>
    <row r="63" spans="2:7">
      <c r="B63" s="76"/>
      <c r="C63" s="76"/>
      <c r="D63" s="76"/>
      <c r="E63" s="76"/>
      <c r="F63" s="106"/>
      <c r="G63" s="384"/>
    </row>
    <row r="64" spans="2:7"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2:7"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2:7">
      <c r="B66" s="108"/>
      <c r="C66" s="76"/>
      <c r="D66" s="76"/>
      <c r="E66" s="76"/>
      <c r="F66" s="76"/>
      <c r="G66" s="382"/>
    </row>
    <row r="67" spans="2:7" ht="13.5" thickBot="1">
      <c r="B67" s="387" t="str">
        <f>IF(DSUM('6_1'!$A$12:$P$79,16,G55:G56)=COUNTIF('6_1'!$A$13:$A$79,G56),"","Regularice su Deuda")</f>
        <v>Regularice su Deuda</v>
      </c>
      <c r="C67" s="326"/>
      <c r="D67" s="326"/>
      <c r="E67" s="326"/>
      <c r="F67" s="326"/>
      <c r="G67" s="388"/>
    </row>
    <row r="68" spans="2:7" ht="13.5" thickBot="1"/>
    <row r="69" spans="2:7">
      <c r="B69" s="379"/>
      <c r="C69" s="379"/>
      <c r="D69" s="379"/>
      <c r="E69" s="379"/>
      <c r="F69" s="379"/>
      <c r="G69" s="380"/>
    </row>
    <row r="70" spans="2:7">
      <c r="B70" s="109" t="s">
        <v>82</v>
      </c>
      <c r="C70" s="76"/>
      <c r="D70" s="76"/>
      <c r="E70" s="76"/>
      <c r="F70" s="76"/>
      <c r="G70" s="382"/>
    </row>
    <row r="71" spans="2:7">
      <c r="B71" s="76"/>
      <c r="C71" s="76"/>
      <c r="D71" s="76"/>
      <c r="E71" s="76"/>
      <c r="F71" s="76"/>
      <c r="G71" s="382"/>
    </row>
    <row r="72" spans="2:7">
      <c r="B72" s="76" t="s">
        <v>182</v>
      </c>
      <c r="C72" s="76" t="str">
        <f>VLOOKUP(G73,'6_1'!$A$12:$G$22,7,0)</f>
        <v>ARANCIBIA DE VARGAS, AVELINA</v>
      </c>
      <c r="D72" s="76"/>
      <c r="E72" s="76"/>
      <c r="F72" s="76"/>
      <c r="G72" s="383" t="s">
        <v>134</v>
      </c>
    </row>
    <row r="73" spans="2:7">
      <c r="B73" s="76" t="s">
        <v>91</v>
      </c>
      <c r="C73" s="76" t="str">
        <f>+'6_1'!$H$2</f>
        <v>Hijuela Vargas</v>
      </c>
      <c r="D73" s="76"/>
      <c r="E73" s="76"/>
      <c r="F73" s="76"/>
      <c r="G73" s="383">
        <v>5</v>
      </c>
    </row>
    <row r="74" spans="2:7">
      <c r="B74" s="76"/>
      <c r="C74" s="76"/>
      <c r="D74" s="76"/>
      <c r="E74" s="76"/>
      <c r="F74" s="76"/>
      <c r="G74" s="382"/>
    </row>
    <row r="75" spans="2:7">
      <c r="B75" s="635" t="s">
        <v>183</v>
      </c>
      <c r="C75" s="331">
        <f>VLOOKUP(G73,'6_1'!$A$12:$B$25,2,0)</f>
        <v>1242</v>
      </c>
      <c r="D75" s="76"/>
      <c r="E75" s="635" t="s">
        <v>184</v>
      </c>
      <c r="F75" s="347">
        <f>DSUM('6_1'!A$12:J$22,'6_1'!$J$12,G72:G73)</f>
        <v>0</v>
      </c>
      <c r="G75" s="382"/>
    </row>
    <row r="76" spans="2:7">
      <c r="B76" s="635" t="s">
        <v>185</v>
      </c>
      <c r="C76" s="374">
        <v>29</v>
      </c>
      <c r="D76" s="76"/>
      <c r="E76" s="635" t="s">
        <v>186</v>
      </c>
      <c r="F76" s="368" t="str">
        <f>IF(VLOOKUP(G73,'6_1'!$A$12:$D$22,4,0)=2,"Eventual 80%","Definitivo 100%")</f>
        <v>Eventual 80%</v>
      </c>
      <c r="G76" s="382"/>
    </row>
    <row r="77" spans="2:7">
      <c r="B77" s="635" t="s">
        <v>187</v>
      </c>
      <c r="C77" s="375">
        <f>DSUM('6_1'!$A$12:$H$22,'6_1'!$H$12,G72:G73)</f>
        <v>0</v>
      </c>
      <c r="D77" s="76"/>
      <c r="E77" s="635" t="s">
        <v>188</v>
      </c>
      <c r="F77" s="369" t="str">
        <f>+Hijuelas!$G$5</f>
        <v>fracción</v>
      </c>
      <c r="G77" s="384"/>
    </row>
    <row r="78" spans="2:7" ht="15.75">
      <c r="B78" s="76"/>
      <c r="C78" s="635" t="s">
        <v>189</v>
      </c>
      <c r="D78" s="107">
        <f>DMIN('6_1'!A$12:K$22,'6_1'!$K$12,G72:G73)</f>
        <v>42750.620739072932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 t="s">
        <v>70</v>
      </c>
    </row>
    <row r="79" spans="2:7" ht="15.75">
      <c r="B79" s="76"/>
      <c r="C79" s="635" t="s">
        <v>190</v>
      </c>
      <c r="D79" s="107">
        <f>DMAX('6_1'!A$12:L$22,'6_1'!$L$12,G72:G73)</f>
        <v>42750.620739072932</v>
      </c>
      <c r="E79" s="127" t="str">
        <f>IF(F79=1,"Domingo",IF(F79=2,"Lunes",IF(F79=3,"Martes",IF(F79=4,"Miercoles",IF(F79=5,"Jueves",IF(F79=6,"Viernes",IF(F79=7,"Sábado",0)))))))</f>
        <v>Domingo</v>
      </c>
      <c r="F79" s="128">
        <f>WEEKDAY(D79)</f>
        <v>1</v>
      </c>
      <c r="G79" s="385">
        <f>WEEKDAY(D79)</f>
        <v>1</v>
      </c>
    </row>
    <row r="80" spans="2:7">
      <c r="B80" s="76"/>
      <c r="C80" s="76"/>
      <c r="D80" s="76"/>
      <c r="E80" s="76"/>
      <c r="F80" s="106"/>
      <c r="G80" s="384"/>
    </row>
    <row r="81" spans="2:7"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2:7"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2:7">
      <c r="B83" s="108"/>
      <c r="C83" s="76"/>
      <c r="D83" s="76"/>
      <c r="E83" s="76"/>
      <c r="F83" s="76"/>
      <c r="G83" s="382"/>
    </row>
    <row r="84" spans="2:7" ht="13.5" thickBot="1">
      <c r="B84" s="387" t="str">
        <f>IF(DSUM('6_1'!$A$12:$P$79,16,G72:G73)=COUNTIF('6_1'!$A$13:$A$79,G73),"","Regularice su Deuda")</f>
        <v>Regularice su Deuda</v>
      </c>
      <c r="C84" s="326"/>
      <c r="D84" s="326"/>
      <c r="E84" s="326"/>
      <c r="F84" s="326"/>
      <c r="G84" s="388"/>
    </row>
    <row r="85" spans="2:7" ht="13.5" thickBot="1"/>
    <row r="86" spans="2:7">
      <c r="B86" s="379"/>
      <c r="C86" s="379"/>
      <c r="D86" s="379"/>
      <c r="E86" s="379"/>
      <c r="F86" s="379"/>
      <c r="G86" s="380"/>
    </row>
    <row r="87" spans="2:7">
      <c r="B87" s="109" t="s">
        <v>82</v>
      </c>
      <c r="C87" s="76"/>
      <c r="D87" s="76"/>
      <c r="E87" s="76"/>
      <c r="F87" s="76"/>
      <c r="G87" s="382"/>
    </row>
    <row r="88" spans="2:7">
      <c r="B88" s="76"/>
      <c r="C88" s="76"/>
      <c r="D88" s="76"/>
      <c r="E88" s="76"/>
      <c r="F88" s="76"/>
      <c r="G88" s="382"/>
    </row>
    <row r="89" spans="2:7">
      <c r="B89" s="76" t="s">
        <v>182</v>
      </c>
      <c r="C89" s="76" t="str">
        <f>VLOOKUP(G90,'6_1'!$A$12:$G$25,7,0)</f>
        <v>VARGAS, ANTONIO MERCEDES</v>
      </c>
      <c r="D89" s="76"/>
      <c r="E89" s="76"/>
      <c r="F89" s="76"/>
      <c r="G89" s="383" t="s">
        <v>134</v>
      </c>
    </row>
    <row r="90" spans="2:7">
      <c r="B90" s="76" t="s">
        <v>91</v>
      </c>
      <c r="C90" s="76" t="str">
        <f>+'6_1'!$H$2</f>
        <v>Hijuela Vargas</v>
      </c>
      <c r="D90" s="76"/>
      <c r="E90" s="76"/>
      <c r="F90" s="76"/>
      <c r="G90" s="383">
        <v>6</v>
      </c>
    </row>
    <row r="91" spans="2:7">
      <c r="B91" s="76"/>
      <c r="C91" s="76"/>
      <c r="D91" s="76"/>
      <c r="E91" s="76"/>
      <c r="F91" s="76"/>
      <c r="G91" s="382"/>
    </row>
    <row r="92" spans="2:7">
      <c r="B92" s="635" t="s">
        <v>183</v>
      </c>
      <c r="C92" s="331">
        <f>VLOOKUP(G90,'6_1'!$A$12:$B$25,2,0)</f>
        <v>1242</v>
      </c>
      <c r="D92" s="76"/>
      <c r="E92" s="635" t="s">
        <v>184</v>
      </c>
      <c r="F92" s="347">
        <f>DSUM('6_1'!A$12:J$25,'6_1'!$J$12,G89:G90)</f>
        <v>0.94712796182072123</v>
      </c>
      <c r="G92" s="382"/>
    </row>
    <row r="93" spans="2:7">
      <c r="B93" s="635" t="s">
        <v>185</v>
      </c>
      <c r="C93" s="374" t="s">
        <v>309</v>
      </c>
      <c r="D93" s="76"/>
      <c r="E93" s="635" t="s">
        <v>186</v>
      </c>
      <c r="F93" s="368" t="str">
        <f>IF(VLOOKUP(G90,'6_1'!$A$12:$D$25,4,0)=2,"Eventual 80%","Definitivo 100%")</f>
        <v>Eventual 80%</v>
      </c>
      <c r="G93" s="382"/>
    </row>
    <row r="94" spans="2:7">
      <c r="B94" s="635" t="s">
        <v>187</v>
      </c>
      <c r="C94" s="375">
        <f>DSUM('6_1'!$A$12:$H$25,'6_1'!$H$12,G89:G90)</f>
        <v>7.57376</v>
      </c>
      <c r="D94" s="76"/>
      <c r="E94" s="635" t="s">
        <v>188</v>
      </c>
      <c r="F94" s="369" t="str">
        <f>+Hijuelas!$G$5</f>
        <v>fracción</v>
      </c>
      <c r="G94" s="384"/>
    </row>
    <row r="95" spans="2:7" ht="15.75">
      <c r="B95" s="76"/>
      <c r="C95" s="635" t="s">
        <v>189</v>
      </c>
      <c r="D95" s="107">
        <f>DMIN('6_1'!A$12:K$25,'6_1'!$K$12,G89:G90)</f>
        <v>42749.673611111109</v>
      </c>
      <c r="E95" s="127" t="str">
        <f>IF(F95=1,"Domingo",IF(F95=2,"Lunes",IF(F95=3,"Martes",IF(F95=4,"Miercoles",IF(F95=5,"Jueves",IF(F95=6,"Viernes",IF(F95=7,"Sábado",0)))))))</f>
        <v>Sábado</v>
      </c>
      <c r="F95" s="128">
        <f>WEEKDAY(D95)</f>
        <v>7</v>
      </c>
      <c r="G95" s="385" t="s">
        <v>70</v>
      </c>
    </row>
    <row r="96" spans="2:7" ht="15.75">
      <c r="B96" s="76"/>
      <c r="C96" s="635" t="s">
        <v>190</v>
      </c>
      <c r="D96" s="107">
        <f>DMAX('6_1'!A$12:L$25,'6_1'!$L$12,G89:G90)</f>
        <v>42750.620739072932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>
        <f>WEEKDAY(D96)</f>
        <v>1</v>
      </c>
    </row>
    <row r="97" spans="2:7">
      <c r="B97" s="76"/>
      <c r="C97" s="76"/>
      <c r="D97" s="76"/>
      <c r="E97" s="76"/>
      <c r="F97" s="106"/>
      <c r="G97" s="384"/>
    </row>
    <row r="98" spans="2:7"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2:7"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2:7">
      <c r="B100" s="108"/>
      <c r="C100" s="76"/>
      <c r="D100" s="76"/>
      <c r="E100" s="76"/>
      <c r="F100" s="76"/>
      <c r="G100" s="382"/>
    </row>
    <row r="101" spans="2:7" ht="13.5" thickBot="1">
      <c r="B101" s="387" t="str">
        <f>IF(DSUM('6_1'!$A$12:$P$79,16,G89:G90)=COUNTIF('6_1'!$A$13:$A$79,G90),"","Regularice su Deuda")</f>
        <v/>
      </c>
      <c r="C101" s="326"/>
      <c r="D101" s="326"/>
      <c r="E101" s="326"/>
      <c r="F101" s="326"/>
      <c r="G101" s="388"/>
    </row>
  </sheetData>
  <phoneticPr fontId="0" type="noConversion"/>
  <pageMargins left="0.59" right="0.53" top="0.17" bottom="0.18" header="0" footer="0"/>
  <pageSetup scale="83" orientation="portrait" horizontalDpi="300" verticalDpi="300" r:id="rId1"/>
  <headerFooter alignWithMargins="0"/>
  <rowBreaks count="1" manualBreakCount="1">
    <brk id="68" min="1" max="6" man="1"/>
  </rowBreaks>
  <colBreaks count="1" manualBreakCount="1">
    <brk id="8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/>
  <dimension ref="A2:T57"/>
  <sheetViews>
    <sheetView topLeftCell="A7" zoomScale="75" zoomScaleNormal="75" zoomScaleSheetLayoutView="100" workbookViewId="0" xr3:uid="{CF366857-BBDD-5199-9BC9-FF52903B0715}">
      <selection activeCell="N22" sqref="N22"/>
    </sheetView>
  </sheetViews>
  <sheetFormatPr defaultRowHeight="12.75"/>
  <cols>
    <col min="1" max="1" width="8.140625" bestFit="1" customWidth="1"/>
    <col min="2" max="2" width="5.140625" bestFit="1" customWidth="1"/>
    <col min="3" max="3" width="8" bestFit="1" customWidth="1"/>
    <col min="4" max="4" width="8.85546875" bestFit="1" customWidth="1"/>
    <col min="5" max="5" width="11" bestFit="1" customWidth="1"/>
    <col min="6" max="6" width="13.7109375" bestFit="1" customWidth="1"/>
    <col min="7" max="7" width="30.85546875" customWidth="1"/>
    <col min="8" max="8" width="11.5703125" bestFit="1" customWidth="1"/>
    <col min="9" max="9" width="7.7109375" bestFit="1" customWidth="1"/>
    <col min="10" max="10" width="8.7109375" customWidth="1"/>
    <col min="11" max="11" width="17.140625" customWidth="1"/>
    <col min="12" max="12" width="15.5703125" customWidth="1"/>
    <col min="13" max="13" width="22.7109375" customWidth="1"/>
    <col min="14" max="14" width="26.7109375" customWidth="1"/>
    <col min="15" max="15" width="11.42578125" customWidth="1"/>
    <col min="16" max="18" width="11.5703125" bestFit="1" customWidth="1"/>
    <col min="19" max="19" width="12.5703125" bestFit="1" customWidth="1"/>
    <col min="20" max="20" width="12.28515625" bestFit="1" customWidth="1"/>
    <col min="21" max="256" width="11.42578125" customWidth="1"/>
  </cols>
  <sheetData>
    <row r="2" spans="1:20">
      <c r="A2" s="99"/>
      <c r="B2" s="99"/>
      <c r="C2" s="671" t="s">
        <v>123</v>
      </c>
      <c r="D2" s="671"/>
      <c r="E2" s="671"/>
      <c r="F2" s="671"/>
      <c r="G2" s="671"/>
      <c r="H2" s="676" t="s">
        <v>310</v>
      </c>
      <c r="I2" s="676"/>
      <c r="J2" s="676"/>
      <c r="K2" s="99"/>
      <c r="L2" s="99"/>
      <c r="M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>
      <c r="A5" s="662" t="s">
        <v>124</v>
      </c>
      <c r="B5" s="663"/>
      <c r="C5" s="659">
        <f>+Hijuelas!D16</f>
        <v>42749.548611111109</v>
      </c>
      <c r="D5" s="667"/>
      <c r="E5" s="660"/>
      <c r="F5" s="305"/>
      <c r="G5" s="306" t="s">
        <v>125</v>
      </c>
      <c r="H5" s="307">
        <f>+Hijuelas!G4</f>
        <v>3.9895833333333335</v>
      </c>
      <c r="I5" s="318"/>
      <c r="J5" s="99"/>
      <c r="K5" s="99"/>
      <c r="L5" s="99"/>
      <c r="M5" s="99"/>
    </row>
    <row r="6" spans="1:20" ht="13.5" thickBot="1">
      <c r="A6" s="664" t="s">
        <v>126</v>
      </c>
      <c r="B6" s="665"/>
      <c r="C6" s="668">
        <f>+L39</f>
        <v>42753.538194444445</v>
      </c>
      <c r="D6" s="669"/>
      <c r="E6" s="670"/>
      <c r="F6" s="477"/>
      <c r="G6" s="265" t="s">
        <v>127</v>
      </c>
      <c r="H6" s="308">
        <v>0.11805555555555557</v>
      </c>
      <c r="I6" s="318"/>
      <c r="J6" s="99"/>
      <c r="K6" s="309"/>
      <c r="L6" s="99"/>
      <c r="M6" s="99"/>
    </row>
    <row r="7" spans="1:20">
      <c r="A7" s="99"/>
      <c r="B7" s="99"/>
      <c r="C7" s="99"/>
      <c r="D7" s="99"/>
      <c r="E7" s="312"/>
      <c r="F7" s="99"/>
      <c r="G7" s="418" t="s">
        <v>128</v>
      </c>
      <c r="H7" s="419">
        <v>8.3333333333333329E-2</v>
      </c>
      <c r="I7" s="318"/>
      <c r="J7" s="99"/>
      <c r="K7" s="99"/>
      <c r="L7" s="99"/>
      <c r="M7" s="99"/>
    </row>
    <row r="8" spans="1:20">
      <c r="A8" s="99"/>
      <c r="B8" s="99"/>
      <c r="C8" s="99"/>
      <c r="D8" s="99"/>
      <c r="E8" s="99"/>
      <c r="F8" s="99"/>
      <c r="G8" s="57" t="s">
        <v>255</v>
      </c>
      <c r="H8" s="519">
        <f>+I40</f>
        <v>0.14583333333333331</v>
      </c>
      <c r="I8" s="99"/>
      <c r="J8" s="99"/>
      <c r="K8" s="99"/>
      <c r="L8" s="99"/>
      <c r="M8" s="99"/>
    </row>
    <row r="9" spans="1:20">
      <c r="A9" s="666" t="s">
        <v>129</v>
      </c>
      <c r="B9" s="666"/>
      <c r="C9" s="312">
        <f>H5-(H6+H7)-H8</f>
        <v>3.6423611111111112</v>
      </c>
      <c r="D9" s="636" t="s">
        <v>130</v>
      </c>
      <c r="E9" s="313">
        <f>+C9*60</f>
        <v>218.54166666666666</v>
      </c>
      <c r="F9" s="636" t="s">
        <v>131</v>
      </c>
      <c r="G9" s="353">
        <f>+H40</f>
        <v>140.09815999999998</v>
      </c>
      <c r="H9" s="636" t="s">
        <v>132</v>
      </c>
      <c r="I9" s="312">
        <f>+E9/G9</f>
        <v>1.5599181792727805</v>
      </c>
      <c r="J9" s="99"/>
      <c r="K9" s="99"/>
      <c r="L9" s="99"/>
      <c r="M9" s="99"/>
    </row>
    <row r="10" spans="1:20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192</v>
      </c>
      <c r="G12" s="354" t="s">
        <v>140</v>
      </c>
      <c r="H12" s="292" t="s">
        <v>257</v>
      </c>
      <c r="I12" s="292" t="s">
        <v>142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3" t="s">
        <v>195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26.25" thickTop="1">
      <c r="A13" s="24">
        <v>1</v>
      </c>
      <c r="B13" s="5">
        <v>1252</v>
      </c>
      <c r="C13" s="179">
        <v>61</v>
      </c>
      <c r="D13" s="250">
        <v>2</v>
      </c>
      <c r="E13" s="9">
        <v>29.019200000000001</v>
      </c>
      <c r="F13" s="85" t="str">
        <f t="shared" ref="F13:F39" si="0">IF(P13=0,"NO",IF(P13=1,"SI","CONDICIONAL"))</f>
        <v>SI</v>
      </c>
      <c r="G13" s="335" t="s">
        <v>311</v>
      </c>
      <c r="H13" s="125">
        <f>IF(Hijuelas!$G$5="fracción",IF(F13="NO",0,IF(Hijuelas!$G$6="si",IF(D13=1,E13,E13*0.8),E13)),IF(F13="NO",0,IF(Hijuelas!$G$6="si",IF(D13=1,ROUNDUP(E13,0),ROUNDUP(E13*0.8,0)),ROUNDUP(E13,0))))</f>
        <v>23.215360000000004</v>
      </c>
      <c r="I13" s="182">
        <v>0</v>
      </c>
      <c r="J13" s="269">
        <f t="shared" ref="J13:J39" si="1">+$I$9*H13/60</f>
        <v>0.60356770170603569</v>
      </c>
      <c r="K13" s="95">
        <f>+C5+H6+H7</f>
        <v>42749.75</v>
      </c>
      <c r="L13" s="95">
        <f>+K13+J13+I13</f>
        <v>42750.353567701706</v>
      </c>
      <c r="M13" s="5"/>
      <c r="N13" s="5"/>
      <c r="O13" s="5" t="str">
        <f>+CONCATENATE(B13,C13)</f>
        <v>125261</v>
      </c>
      <c r="P13" s="6">
        <f>VLOOKUP(O13,deuda!A$1:H$551,4,0)</f>
        <v>1</v>
      </c>
      <c r="Q13" s="6">
        <f>VLOOKUP(O13,deuda!A$1:H$551,5,0)</f>
        <v>0</v>
      </c>
      <c r="R13" s="6" t="str">
        <f>IF(VLOOKUP(O13,deuda!A$1:H$551,6,0)=0,"",VLOOKUP(O13,deuda!A$1:H$551,6,0))</f>
        <v/>
      </c>
      <c r="S13" s="111" t="str">
        <f>IF((VLOOKUP(O13,deuda!A$1:H$551,7,0))=0,"",VLOOKUP(O13,deuda!A$1:H$551,7,0))</f>
        <v/>
      </c>
      <c r="T13" s="115" t="str">
        <f>IF((VLOOKUP(O13,deuda!A$1:H$551,8,0))=0,"",VLOOKUP(O13,deuda!A$1:H$551,8,0))</f>
        <v/>
      </c>
    </row>
    <row r="14" spans="1:20" ht="25.5">
      <c r="A14" s="98">
        <v>2</v>
      </c>
      <c r="B14" s="47">
        <v>1252</v>
      </c>
      <c r="C14" s="244">
        <v>34</v>
      </c>
      <c r="D14" s="260">
        <v>2</v>
      </c>
      <c r="E14" s="85">
        <v>17.78</v>
      </c>
      <c r="F14" s="85" t="str">
        <f t="shared" si="0"/>
        <v>SI</v>
      </c>
      <c r="G14" s="391" t="s">
        <v>311</v>
      </c>
      <c r="H14" s="125">
        <f>IF(Hijuelas!$G$5="fracción",IF(F14="NO",0,IF(Hijuelas!$G$6="si",IF(D14=1,E14,E14*0.8),E14)),IF(F14="NO",0,IF(Hijuelas!$G$6="si",IF(D14=1,ROUNDUP(E14,0),ROUNDUP(E14*0.8,0)),ROUNDUP(E14,0))))</f>
        <v>14.224000000000002</v>
      </c>
      <c r="I14" s="182">
        <v>0</v>
      </c>
      <c r="J14" s="269">
        <f t="shared" si="1"/>
        <v>0.36980460303293389</v>
      </c>
      <c r="K14" s="95">
        <f>+L13</f>
        <v>42750.353567701706</v>
      </c>
      <c r="L14" s="95">
        <f>+K14+J14+I14</f>
        <v>42750.723372304739</v>
      </c>
      <c r="M14" s="47"/>
      <c r="N14" s="47"/>
      <c r="O14" s="5" t="str">
        <f t="shared" ref="O14:O39" si="2">+CONCATENATE(B14,C14)</f>
        <v>125234</v>
      </c>
      <c r="P14" s="6">
        <f>VLOOKUP(O14,deuda!A$1:H$551,4,0)</f>
        <v>1</v>
      </c>
      <c r="Q14" s="6">
        <f>VLOOKUP(O14,deuda!A$1:H$551,5,0)</f>
        <v>0</v>
      </c>
      <c r="R14" s="6" t="str">
        <f>IF(VLOOKUP(O14,deuda!A$1:H$551,6,0)=0,"",VLOOKUP(O14,deuda!A$1:H$551,6,0))</f>
        <v/>
      </c>
      <c r="S14" s="111" t="str">
        <f>IF((VLOOKUP(O14,deuda!A$1:H$551,7,0))=0,"",VLOOKUP(O14,deuda!A$1:H$551,7,0))</f>
        <v/>
      </c>
      <c r="T14" s="115" t="str">
        <f>IF((VLOOKUP(O14,deuda!A$1:H$551,8,0))=0,"",VLOOKUP(O14,deuda!A$1:H$551,8,0))</f>
        <v/>
      </c>
    </row>
    <row r="15" spans="1:20" ht="25.5">
      <c r="A15" s="248">
        <v>3</v>
      </c>
      <c r="B15" s="5">
        <v>1252</v>
      </c>
      <c r="C15" s="179">
        <v>1</v>
      </c>
      <c r="D15" s="179">
        <v>2</v>
      </c>
      <c r="E15" s="20">
        <v>21.526199999999999</v>
      </c>
      <c r="F15" s="85" t="str">
        <f t="shared" si="0"/>
        <v>SI</v>
      </c>
      <c r="G15" s="392" t="s">
        <v>312</v>
      </c>
      <c r="H15" s="125">
        <f>IF(Hijuelas!$G$5="fracción",IF(F15="NO",0,IF(Hijuelas!$G$6="si",IF(D15=1,E15,E15*0.8),E15)),IF(F15="NO",0,IF(Hijuelas!$G$6="si",IF(D15=1,ROUNDUP(E15,0),ROUNDUP(E15*0.8,0)),ROUNDUP(E15,0))))</f>
        <v>17.220960000000002</v>
      </c>
      <c r="I15" s="182">
        <v>0</v>
      </c>
      <c r="J15" s="269">
        <f t="shared" si="1"/>
        <v>0.4477214761421564</v>
      </c>
      <c r="K15" s="95">
        <f t="shared" ref="K15:K39" si="3">+L14</f>
        <v>42750.723372304739</v>
      </c>
      <c r="L15" s="95">
        <f t="shared" ref="L15:L39" si="4">+K15+J15+I15</f>
        <v>42751.171093780882</v>
      </c>
      <c r="M15" s="5"/>
      <c r="N15" s="5"/>
      <c r="O15" s="5" t="str">
        <f t="shared" si="2"/>
        <v>12521</v>
      </c>
      <c r="P15" s="6">
        <f>VLOOKUP(O15,deuda!A$1:H$551,4,0)</f>
        <v>1</v>
      </c>
      <c r="Q15" s="6">
        <f>VLOOKUP(O15,deuda!A$1:H$551,5,0)</f>
        <v>0</v>
      </c>
      <c r="R15" s="6" t="str">
        <f>IF(VLOOKUP(O15,deuda!A$1:H$551,6,0)=0,"",VLOOKUP(O15,deuda!A$1:H$551,6,0))</f>
        <v/>
      </c>
      <c r="S15" s="111" t="str">
        <f>IF((VLOOKUP(O15,deuda!A$1:H$551,7,0))=0,"",VLOOKUP(O15,deuda!A$1:H$551,7,0))</f>
        <v/>
      </c>
      <c r="T15" s="115" t="str">
        <f>IF((VLOOKUP(O15,deuda!A$1:H$551,8,0))=0,"",VLOOKUP(O15,deuda!A$1:H$551,8,0))</f>
        <v/>
      </c>
    </row>
    <row r="16" spans="1:20" ht="38.25">
      <c r="A16" s="248">
        <v>3</v>
      </c>
      <c r="B16" s="5">
        <v>1252</v>
      </c>
      <c r="C16" s="250">
        <v>8</v>
      </c>
      <c r="D16" s="250">
        <v>2</v>
      </c>
      <c r="E16" s="9">
        <v>0.70760000000000001</v>
      </c>
      <c r="F16" s="85" t="str">
        <f t="shared" si="0"/>
        <v>SI</v>
      </c>
      <c r="G16" s="335" t="s">
        <v>313</v>
      </c>
      <c r="H16" s="125">
        <f>IF(Hijuelas!$G$5="fracción",IF(F16="NO",0,IF(Hijuelas!$G$6="si",IF(D16=1,E16,E16*0.8),E16)),IF(F16="NO",0,IF(Hijuelas!$G$6="si",IF(D16=1,ROUNDUP(E16,0),ROUNDUP(E16*0.8,0)),ROUNDUP(E16,0))))</f>
        <v>0.56608000000000003</v>
      </c>
      <c r="I16" s="182">
        <v>0</v>
      </c>
      <c r="J16" s="269">
        <f t="shared" si="1"/>
        <v>1.4717308048712262E-2</v>
      </c>
      <c r="K16" s="95">
        <f t="shared" si="3"/>
        <v>42751.171093780882</v>
      </c>
      <c r="L16" s="95">
        <f t="shared" si="4"/>
        <v>42751.18581108893</v>
      </c>
      <c r="M16" s="5"/>
      <c r="N16" s="5"/>
      <c r="O16" s="5" t="str">
        <f t="shared" si="2"/>
        <v>12528</v>
      </c>
      <c r="P16" s="6">
        <f>VLOOKUP(O16,deuda!A$1:H$551,4,0)</f>
        <v>1</v>
      </c>
      <c r="Q16" s="6">
        <f>VLOOKUP(O16,deuda!A$1:H$551,5,0)</f>
        <v>0</v>
      </c>
      <c r="R16" s="6" t="str">
        <f>IF(VLOOKUP(O16,deuda!A$1:H$551,6,0)=0,"",VLOOKUP(O16,deuda!A$1:H$551,6,0))</f>
        <v/>
      </c>
      <c r="S16" s="111" t="str">
        <f>IF((VLOOKUP(O16,deuda!A$1:H$551,7,0))=0,"",VLOOKUP(O16,deuda!A$1:H$551,7,0))</f>
        <v/>
      </c>
      <c r="T16" s="115" t="str">
        <f>IF((VLOOKUP(O16,deuda!A$1:H$551,8,0))=0,"",VLOOKUP(O16,deuda!A$1:H$551,8,0))</f>
        <v/>
      </c>
    </row>
    <row r="17" spans="1:20" ht="25.5" customHeight="1">
      <c r="A17" s="248">
        <v>3</v>
      </c>
      <c r="B17" s="5">
        <v>1252</v>
      </c>
      <c r="C17" s="250">
        <v>13</v>
      </c>
      <c r="D17" s="250">
        <v>2</v>
      </c>
      <c r="E17" s="9">
        <v>9.7192000000000007</v>
      </c>
      <c r="F17" s="85" t="str">
        <f t="shared" si="0"/>
        <v>SI</v>
      </c>
      <c r="G17" s="335" t="s">
        <v>314</v>
      </c>
      <c r="H17" s="125">
        <f>IF(Hijuelas!$G$5="fracción",IF(F17="NO",0,IF(Hijuelas!$G$6="si",IF(D17=1,E17,E17*0.8),E17)),IF(F17="NO",0,IF(Hijuelas!$G$6="si",IF(D17=1,ROUNDUP(E17,0),ROUNDUP(E17*0.8,0)),ROUNDUP(E17,0))))</f>
        <v>7.7753600000000009</v>
      </c>
      <c r="I17" s="182">
        <v>0</v>
      </c>
      <c r="J17" s="269">
        <f t="shared" si="1"/>
        <v>0.20214875690650683</v>
      </c>
      <c r="K17" s="95">
        <f t="shared" si="3"/>
        <v>42751.18581108893</v>
      </c>
      <c r="L17" s="95">
        <f t="shared" si="4"/>
        <v>42751.387959845837</v>
      </c>
      <c r="M17" s="5"/>
      <c r="N17" s="5"/>
      <c r="O17" s="5" t="str">
        <f t="shared" si="2"/>
        <v>125213</v>
      </c>
      <c r="P17" s="6">
        <f>VLOOKUP(O17,deuda!A$1:H$551,4,0)</f>
        <v>1</v>
      </c>
      <c r="Q17" s="6">
        <f>VLOOKUP(O17,deuda!A$1:H$551,5,0)</f>
        <v>0</v>
      </c>
      <c r="R17" s="6" t="str">
        <f>IF(VLOOKUP(O17,deuda!A$1:H$551,6,0)=0,"",VLOOKUP(O17,deuda!A$1:H$551,6,0))</f>
        <v/>
      </c>
      <c r="S17" s="111" t="str">
        <f>IF((VLOOKUP(O17,deuda!A$1:H$551,7,0))=0,"",VLOOKUP(O17,deuda!A$1:H$551,7,0))</f>
        <v/>
      </c>
      <c r="T17" s="115" t="str">
        <f>IF((VLOOKUP(O17,deuda!A$1:H$551,8,0))=0,"",VLOOKUP(O17,deuda!A$1:H$551,8,0))</f>
        <v/>
      </c>
    </row>
    <row r="18" spans="1:20" ht="25.5">
      <c r="A18" s="248">
        <v>3</v>
      </c>
      <c r="B18" s="5">
        <v>1252</v>
      </c>
      <c r="C18" s="250">
        <v>67</v>
      </c>
      <c r="D18" s="250">
        <v>2</v>
      </c>
      <c r="E18" s="9">
        <v>14.7372</v>
      </c>
      <c r="F18" s="85" t="str">
        <f t="shared" si="0"/>
        <v>SI</v>
      </c>
      <c r="G18" s="335" t="s">
        <v>312</v>
      </c>
      <c r="H18" s="125">
        <f>IF(Hijuelas!$G$5="fracción",IF(F18="NO",0,IF(Hijuelas!$G$6="si",IF(D18=1,E18,E18*0.8),E18)),IF(F18="NO",0,IF(Hijuelas!$G$6="si",IF(D18=1,ROUNDUP(E18,0),ROUNDUP(E18*0.8,0)),ROUNDUP(E18,0))))</f>
        <v>11.789760000000001</v>
      </c>
      <c r="I18" s="182">
        <v>0</v>
      </c>
      <c r="J18" s="269">
        <f t="shared" si="1"/>
        <v>0.30651768255438427</v>
      </c>
      <c r="K18" s="95">
        <f t="shared" si="3"/>
        <v>42751.387959845837</v>
      </c>
      <c r="L18" s="95">
        <f t="shared" si="4"/>
        <v>42751.694477528392</v>
      </c>
      <c r="M18" s="5"/>
      <c r="N18" s="5"/>
      <c r="O18" s="5" t="str">
        <f t="shared" si="2"/>
        <v>125267</v>
      </c>
      <c r="P18" s="6">
        <f>VLOOKUP(O18,deuda!A$1:H$551,4,0)</f>
        <v>1</v>
      </c>
      <c r="Q18" s="6">
        <f>VLOOKUP(O18,deuda!A$1:H$551,5,0)</f>
        <v>0</v>
      </c>
      <c r="R18" s="6" t="str">
        <f>IF(VLOOKUP(O18,deuda!A$1:H$551,6,0)=0,"",VLOOKUP(O18,deuda!A$1:H$551,6,0))</f>
        <v/>
      </c>
      <c r="S18" s="111" t="str">
        <f>IF((VLOOKUP(O18,deuda!A$1:H$551,7,0))=0,"",VLOOKUP(O18,deuda!A$1:H$551,7,0))</f>
        <v/>
      </c>
      <c r="T18" s="115" t="str">
        <f>IF((VLOOKUP(O18,deuda!A$1:H$551,8,0))=0,"",VLOOKUP(O18,deuda!A$1:H$551,8,0))</f>
        <v/>
      </c>
    </row>
    <row r="19" spans="1:20" ht="25.5">
      <c r="A19" s="248">
        <v>3</v>
      </c>
      <c r="B19" s="5">
        <v>1252</v>
      </c>
      <c r="C19" s="250">
        <v>68</v>
      </c>
      <c r="D19" s="250">
        <v>2</v>
      </c>
      <c r="E19" s="9">
        <v>2.9535</v>
      </c>
      <c r="F19" s="85" t="str">
        <f t="shared" si="0"/>
        <v>SI</v>
      </c>
      <c r="G19" s="335" t="s">
        <v>312</v>
      </c>
      <c r="H19" s="125">
        <f>IF(Hijuelas!$G$5="fracción",IF(F19="NO",0,IF(Hijuelas!$G$6="si",IF(D19=1,E19,E19*0.8),E19)),IF(F19="NO",0,IF(Hijuelas!$G$6="si",IF(D19=1,ROUNDUP(E19,0),ROUNDUP(E19*0.8,0)),ROUNDUP(E19,0))))</f>
        <v>2.3628</v>
      </c>
      <c r="I19" s="182">
        <v>0</v>
      </c>
      <c r="J19" s="269">
        <f t="shared" si="1"/>
        <v>6.1429577899762097E-2</v>
      </c>
      <c r="K19" s="95">
        <f t="shared" si="3"/>
        <v>42751.694477528392</v>
      </c>
      <c r="L19" s="95">
        <f t="shared" si="4"/>
        <v>42751.755907106293</v>
      </c>
      <c r="M19" s="5"/>
      <c r="N19" s="5"/>
      <c r="O19" s="5" t="str">
        <f t="shared" si="2"/>
        <v>125268</v>
      </c>
      <c r="P19" s="6">
        <f>VLOOKUP(O19,deuda!A$1:H$551,4,0)</f>
        <v>1</v>
      </c>
      <c r="Q19" s="6">
        <f>VLOOKUP(O19,deuda!A$1:H$551,5,0)</f>
        <v>0</v>
      </c>
      <c r="R19" s="6" t="str">
        <f>IF(VLOOKUP(O19,deuda!A$1:H$551,6,0)=0,"",VLOOKUP(O19,deuda!A$1:H$551,6,0))</f>
        <v/>
      </c>
      <c r="S19" s="111" t="str">
        <f>IF((VLOOKUP(O19,deuda!A$1:H$551,7,0))=0,"",VLOOKUP(O19,deuda!A$1:H$551,7,0))</f>
        <v/>
      </c>
      <c r="T19" s="115" t="str">
        <f>IF((VLOOKUP(O19,deuda!A$1:H$551,8,0))=0,"",VLOOKUP(O19,deuda!A$1:H$551,8,0))</f>
        <v/>
      </c>
    </row>
    <row r="20" spans="1:20" ht="25.5">
      <c r="A20" s="24">
        <v>4</v>
      </c>
      <c r="B20" s="5">
        <v>1252</v>
      </c>
      <c r="C20" s="250">
        <v>22</v>
      </c>
      <c r="D20" s="250">
        <v>2</v>
      </c>
      <c r="E20" s="9">
        <v>10</v>
      </c>
      <c r="F20" s="85" t="str">
        <f t="shared" si="0"/>
        <v>SI</v>
      </c>
      <c r="G20" s="335" t="s">
        <v>315</v>
      </c>
      <c r="H20" s="125">
        <f>IF(Hijuelas!$G$5="fracción",IF(F20="NO",0,IF(Hijuelas!$G$6="si",IF(D20=1,E20,E20*0.8),E20)),IF(F20="NO",0,IF(Hijuelas!$G$6="si",IF(D20=1,ROUNDUP(E20,0),ROUNDUP(E20*0.8,0)),ROUNDUP(E20,0))))</f>
        <v>8</v>
      </c>
      <c r="I20" s="182">
        <v>0</v>
      </c>
      <c r="J20" s="269">
        <f t="shared" si="1"/>
        <v>0.20798909056970408</v>
      </c>
      <c r="K20" s="95">
        <f t="shared" si="3"/>
        <v>42751.755907106293</v>
      </c>
      <c r="L20" s="95">
        <f t="shared" si="4"/>
        <v>42751.963896196859</v>
      </c>
      <c r="M20" s="5"/>
      <c r="N20" s="5"/>
      <c r="O20" s="5" t="str">
        <f t="shared" si="2"/>
        <v>125222</v>
      </c>
      <c r="P20" s="6">
        <f>VLOOKUP(O20,deuda!A$1:H$551,4,0)</f>
        <v>1</v>
      </c>
      <c r="Q20" s="6">
        <f>VLOOKUP(O20,deuda!A$1:H$551,5,0)</f>
        <v>0</v>
      </c>
      <c r="R20" s="6" t="str">
        <f>IF(VLOOKUP(O20,deuda!A$1:H$551,6,0)=0,"",VLOOKUP(O20,deuda!A$1:H$551,6,0))</f>
        <v/>
      </c>
      <c r="S20" s="111" t="str">
        <f>IF((VLOOKUP(O20,deuda!A$1:H$551,7,0))=0,"",VLOOKUP(O20,deuda!A$1:H$551,7,0))</f>
        <v/>
      </c>
      <c r="T20" s="115" t="str">
        <f>IF((VLOOKUP(O20,deuda!A$1:H$551,8,0))=0,"",VLOOKUP(O20,deuda!A$1:H$551,8,0))</f>
        <v/>
      </c>
    </row>
    <row r="21" spans="1:20" ht="25.5" customHeight="1">
      <c r="A21" s="265">
        <v>4</v>
      </c>
      <c r="B21" s="5">
        <v>1252</v>
      </c>
      <c r="C21" s="251">
        <v>33</v>
      </c>
      <c r="D21" s="251">
        <v>2</v>
      </c>
      <c r="E21" s="252">
        <v>8.3978000000000002</v>
      </c>
      <c r="F21" s="85" t="str">
        <f t="shared" si="0"/>
        <v>SI</v>
      </c>
      <c r="G21" s="336" t="s">
        <v>316</v>
      </c>
      <c r="H21" s="125">
        <f>IF(Hijuelas!$G$5="fracción",IF(F21="NO",0,IF(Hijuelas!$G$6="si",IF(D21=1,E21,E21*0.8),E21)),IF(F21="NO",0,IF(Hijuelas!$G$6="si",IF(D21=1,ROUNDUP(E21,0),ROUNDUP(E21*0.8,0)),ROUNDUP(E21,0))))</f>
        <v>6.7182400000000007</v>
      </c>
      <c r="I21" s="182">
        <v>0</v>
      </c>
      <c r="J21" s="269">
        <f t="shared" si="1"/>
        <v>0.17466507847862608</v>
      </c>
      <c r="K21" s="95">
        <f t="shared" si="3"/>
        <v>42751.963896196859</v>
      </c>
      <c r="L21" s="95">
        <f t="shared" si="4"/>
        <v>42752.138561275337</v>
      </c>
      <c r="M21" s="5"/>
      <c r="N21" s="5"/>
      <c r="O21" s="5" t="str">
        <f t="shared" si="2"/>
        <v>125233</v>
      </c>
      <c r="P21" s="6">
        <f>VLOOKUP(O21,deuda!A$1:H$551,4,0)</f>
        <v>1</v>
      </c>
      <c r="Q21" s="6">
        <f>VLOOKUP(O21,deuda!A$1:H$551,5,0)</f>
        <v>0</v>
      </c>
      <c r="R21" s="6" t="str">
        <f>IF(VLOOKUP(O21,deuda!A$1:H$551,6,0)=0,"",VLOOKUP(O21,deuda!A$1:H$551,6,0))</f>
        <v/>
      </c>
      <c r="S21" s="111" t="str">
        <f>IF((VLOOKUP(O21,deuda!A$1:H$551,7,0))=0,"",VLOOKUP(O21,deuda!A$1:H$551,7,0))</f>
        <v/>
      </c>
      <c r="T21" s="115" t="str">
        <f>IF((VLOOKUP(O21,deuda!A$1:H$551,8,0))=0,"",VLOOKUP(O21,deuda!A$1:H$551,8,0))</f>
        <v/>
      </c>
    </row>
    <row r="22" spans="1:20" ht="25.5">
      <c r="A22" s="24">
        <v>5</v>
      </c>
      <c r="B22" s="5">
        <v>1252</v>
      </c>
      <c r="C22" s="250">
        <v>74</v>
      </c>
      <c r="D22" s="250">
        <v>2</v>
      </c>
      <c r="E22" s="9">
        <v>10</v>
      </c>
      <c r="F22" s="85" t="str">
        <f t="shared" si="0"/>
        <v>SI</v>
      </c>
      <c r="G22" s="335" t="s">
        <v>317</v>
      </c>
      <c r="H22" s="125">
        <f>IF(Hijuelas!$G$5="fracción",IF(F22="NO",0,IF(Hijuelas!$G$6="si",IF(D22=1,E22,E22*0.8),E22)),IF(F22="NO",0,IF(Hijuelas!$G$6="si",IF(D22=1,ROUNDUP(E22,0),ROUNDUP(E22*0.8,0)),ROUNDUP(E22,0))))</f>
        <v>8</v>
      </c>
      <c r="I22" s="182">
        <v>0</v>
      </c>
      <c r="J22" s="269">
        <f>+$I$9*H22/60</f>
        <v>0.20798909056970408</v>
      </c>
      <c r="K22" s="95">
        <f t="shared" si="3"/>
        <v>42752.138561275337</v>
      </c>
      <c r="L22" s="95">
        <f t="shared" si="4"/>
        <v>42752.346550365903</v>
      </c>
      <c r="M22" s="5"/>
      <c r="N22" s="5"/>
      <c r="O22" s="5" t="str">
        <f t="shared" si="2"/>
        <v>125274</v>
      </c>
      <c r="P22" s="6">
        <f>VLOOKUP(O22,deuda!A$1:H$551,4,0)</f>
        <v>1</v>
      </c>
      <c r="Q22" s="6">
        <f>VLOOKUP(O22,deuda!A$1:H$551,5,0)</f>
        <v>0</v>
      </c>
      <c r="R22" s="6" t="str">
        <f>IF(VLOOKUP(O22,deuda!A$1:H$551,6,0)=0,"",VLOOKUP(O22,deuda!A$1:H$551,6,0))</f>
        <v/>
      </c>
      <c r="S22" s="111" t="str">
        <f>IF((VLOOKUP(O22,deuda!A$1:H$551,7,0))=0,"",VLOOKUP(O22,deuda!A$1:H$551,7,0))</f>
        <v/>
      </c>
      <c r="T22" s="115" t="str">
        <f>IF((VLOOKUP(O22,deuda!A$1:H$551,8,0))=0,"",VLOOKUP(O22,deuda!A$1:H$551,8,0))</f>
        <v/>
      </c>
    </row>
    <row r="23" spans="1:20" ht="20.100000000000001" customHeight="1">
      <c r="A23" s="24">
        <v>6</v>
      </c>
      <c r="B23" s="5">
        <v>1252</v>
      </c>
      <c r="C23" s="250">
        <v>80</v>
      </c>
      <c r="D23" s="250">
        <v>2</v>
      </c>
      <c r="E23" s="9">
        <v>4.2091000000000003</v>
      </c>
      <c r="F23" s="85" t="str">
        <f t="shared" si="0"/>
        <v>SI</v>
      </c>
      <c r="G23" s="335" t="s">
        <v>318</v>
      </c>
      <c r="H23" s="125">
        <f>IF(Hijuelas!$G$5="fracción",IF(F23="NO",0,IF(Hijuelas!$G$6="si",IF(D23=1,E23,E23*0.8),E23)),IF(F23="NO",0,IF(Hijuelas!$G$6="si",IF(D23=1,ROUNDUP(E23,0),ROUNDUP(E23*0.8,0)),ROUNDUP(E23,0))))</f>
        <v>3.3672800000000005</v>
      </c>
      <c r="I23" s="182">
        <v>2.0833333333333332E-2</v>
      </c>
      <c r="J23" s="269">
        <f>+$I$9*H23/60</f>
        <v>8.7544688111694149E-2</v>
      </c>
      <c r="K23" s="95">
        <f t="shared" si="3"/>
        <v>42752.346550365903</v>
      </c>
      <c r="L23" s="95">
        <f t="shared" si="4"/>
        <v>42752.454928387349</v>
      </c>
      <c r="M23" s="5"/>
      <c r="N23" s="5"/>
      <c r="O23" s="5" t="str">
        <f t="shared" si="2"/>
        <v>125280</v>
      </c>
      <c r="P23" s="6">
        <f>VLOOKUP(O23,deuda!A$1:H$551,4,0)</f>
        <v>1</v>
      </c>
      <c r="Q23" s="6">
        <f>VLOOKUP(O23,deuda!A$1:H$551,5,0)</f>
        <v>0</v>
      </c>
      <c r="R23" s="6" t="str">
        <f>IF(VLOOKUP(O23,deuda!A$1:H$551,6,0)=0,"",VLOOKUP(O23,deuda!A$1:H$551,6,0))</f>
        <v/>
      </c>
      <c r="S23" s="111" t="str">
        <f>IF((VLOOKUP(O23,deuda!A$1:H$551,7,0))=0,"",VLOOKUP(O23,deuda!A$1:H$551,7,0))</f>
        <v/>
      </c>
      <c r="T23" s="115" t="str">
        <f>IF((VLOOKUP(O23,deuda!A$1:H$551,8,0))=0,"",VLOOKUP(O23,deuda!A$1:H$551,8,0))</f>
        <v/>
      </c>
    </row>
    <row r="24" spans="1:20" ht="25.5">
      <c r="A24" s="24">
        <v>7</v>
      </c>
      <c r="B24" s="5">
        <v>1252</v>
      </c>
      <c r="C24" s="250">
        <v>72</v>
      </c>
      <c r="D24" s="250">
        <v>2</v>
      </c>
      <c r="E24" s="9">
        <v>9.0548999999999999</v>
      </c>
      <c r="F24" s="85" t="str">
        <f t="shared" si="0"/>
        <v>SI</v>
      </c>
      <c r="G24" s="335" t="s">
        <v>319</v>
      </c>
      <c r="H24" s="125">
        <f>IF(Hijuelas!$G$5="fracción",IF(F24="NO",0,IF(Hijuelas!$G$6="si",IF(D24=1,E24,E24*0.8),E24)),IF(F24="NO",0,IF(Hijuelas!$G$6="si",IF(D24=1,ROUNDUP(E24,0),ROUNDUP(E24*0.8,0)),ROUNDUP(E24,0))))</f>
        <v>7.2439200000000001</v>
      </c>
      <c r="I24" s="182">
        <v>0</v>
      </c>
      <c r="J24" s="269">
        <f t="shared" si="1"/>
        <v>0.18833204161996134</v>
      </c>
      <c r="K24" s="95">
        <f t="shared" si="3"/>
        <v>42752.454928387349</v>
      </c>
      <c r="L24" s="95">
        <f t="shared" si="4"/>
        <v>42752.643260428966</v>
      </c>
      <c r="M24" s="5"/>
      <c r="N24" s="5"/>
      <c r="O24" s="5" t="str">
        <f t="shared" si="2"/>
        <v>125272</v>
      </c>
      <c r="P24" s="6">
        <f>VLOOKUP(O24,deuda!A$1:H$551,4,0)</f>
        <v>1</v>
      </c>
      <c r="Q24" s="6">
        <f>VLOOKUP(O24,deuda!A$1:H$551,5,0)</f>
        <v>0</v>
      </c>
      <c r="R24" s="6" t="str">
        <f>IF(VLOOKUP(O24,deuda!A$1:H$551,6,0)=0,"",VLOOKUP(O24,deuda!A$1:H$551,6,0))</f>
        <v/>
      </c>
      <c r="S24" s="111" t="str">
        <f>IF((VLOOKUP(O24,deuda!A$1:H$551,7,0))=0,"",VLOOKUP(O24,deuda!A$1:H$551,7,0))</f>
        <v/>
      </c>
      <c r="T24" s="115" t="str">
        <f>IF((VLOOKUP(O24,deuda!A$1:H$551,8,0))=0,"",VLOOKUP(O24,deuda!A$1:H$551,8,0))</f>
        <v/>
      </c>
    </row>
    <row r="25" spans="1:20" ht="25.5">
      <c r="A25" s="24">
        <v>8</v>
      </c>
      <c r="B25" s="5">
        <v>1252</v>
      </c>
      <c r="C25" s="250">
        <v>75</v>
      </c>
      <c r="D25" s="250">
        <v>2</v>
      </c>
      <c r="E25" s="9">
        <v>10.0418</v>
      </c>
      <c r="F25" s="85" t="str">
        <f t="shared" si="0"/>
        <v>NO</v>
      </c>
      <c r="G25" s="335" t="s">
        <v>320</v>
      </c>
      <c r="H25" s="125">
        <f>IF(Hijuelas!$G$5="fracción",IF(F25="NO",0,IF(Hijuelas!$G$6="si",IF(D25=1,E25,E25*0.8),E25)),IF(F25="NO",0,IF(Hijuelas!$G$6="si",IF(D25=1,ROUNDUP(E25,0),ROUNDUP(E25*0.8,0)),ROUNDUP(E25,0))))</f>
        <v>0</v>
      </c>
      <c r="I25" s="182">
        <v>0</v>
      </c>
      <c r="J25" s="269">
        <f t="shared" si="1"/>
        <v>0</v>
      </c>
      <c r="K25" s="95">
        <f t="shared" si="3"/>
        <v>42752.643260428966</v>
      </c>
      <c r="L25" s="95">
        <f t="shared" si="4"/>
        <v>42752.643260428966</v>
      </c>
      <c r="M25" s="5"/>
      <c r="N25" s="5"/>
      <c r="O25" s="5" t="str">
        <f t="shared" si="2"/>
        <v>125275</v>
      </c>
      <c r="P25" s="6">
        <f>VLOOKUP(O25,deuda!A$1:H$551,4,0)</f>
        <v>0</v>
      </c>
      <c r="Q25" s="6">
        <f>VLOOKUP(O25,deuda!A$1:H$551,5,0)</f>
        <v>3</v>
      </c>
      <c r="R25" s="6" t="str">
        <f>IF(VLOOKUP(O25,deuda!A$1:H$551,6,0)=0,"",VLOOKUP(O25,deuda!A$1:H$551,6,0))</f>
        <v/>
      </c>
      <c r="S25" s="111" t="str">
        <f>IF((VLOOKUP(O25,deuda!A$1:H$551,7,0))=0,"",VLOOKUP(O25,deuda!A$1:H$551,7,0))</f>
        <v/>
      </c>
      <c r="T25" s="115" t="str">
        <f>IF((VLOOKUP(O25,deuda!A$1:H$551,8,0))=0,"",VLOOKUP(O25,deuda!A$1:H$551,8,0))</f>
        <v/>
      </c>
    </row>
    <row r="26" spans="1:20" s="10" customFormat="1" ht="25.5" customHeight="1">
      <c r="A26" s="265">
        <v>9</v>
      </c>
      <c r="B26" s="5">
        <v>1252</v>
      </c>
      <c r="C26" s="179">
        <v>41</v>
      </c>
      <c r="D26" s="251">
        <v>2</v>
      </c>
      <c r="E26" s="252">
        <v>7.5000999999999998</v>
      </c>
      <c r="F26" s="85" t="str">
        <f t="shared" si="0"/>
        <v>SI</v>
      </c>
      <c r="G26" s="336" t="s">
        <v>321</v>
      </c>
      <c r="H26" s="125">
        <f>IF(Hijuelas!$G$5="fracción",IF(F26="NO",0,IF(Hijuelas!$G$6="si",IF(D26=1,E26,E26*0.8),E26)),IF(F26="NO",0,IF(Hijuelas!$G$6="si",IF(D26=1,ROUNDUP(E26,0),ROUNDUP(E26*0.8,0)),ROUNDUP(E26,0))))</f>
        <v>6.0000800000000005</v>
      </c>
      <c r="I26" s="182">
        <v>0</v>
      </c>
      <c r="J26" s="269">
        <f>+$I$9*H26/60</f>
        <v>0.15599389781818376</v>
      </c>
      <c r="K26" s="95">
        <f t="shared" si="3"/>
        <v>42752.643260428966</v>
      </c>
      <c r="L26" s="95">
        <f t="shared" si="4"/>
        <v>42752.799254326783</v>
      </c>
      <c r="M26" s="5"/>
      <c r="N26" s="5"/>
      <c r="O26" s="5" t="str">
        <f t="shared" si="2"/>
        <v>125241</v>
      </c>
      <c r="P26" s="6">
        <f>VLOOKUP(O26,deuda!A$1:H$551,4,0)</f>
        <v>1</v>
      </c>
      <c r="Q26" s="6">
        <f>VLOOKUP(O26,deuda!A$1:H$551,5,0)</f>
        <v>1</v>
      </c>
      <c r="R26" s="6" t="str">
        <f>IF(VLOOKUP(O26,deuda!A$1:H$551,6,0)=0,"",VLOOKUP(O26,deuda!A$1:H$551,6,0))</f>
        <v/>
      </c>
      <c r="S26" s="111" t="str">
        <f>IF((VLOOKUP(O26,deuda!A$1:H$551,7,0))=0,"",VLOOKUP(O26,deuda!A$1:H$551,7,0))</f>
        <v/>
      </c>
      <c r="T26" s="115" t="str">
        <f>IF((VLOOKUP(O26,deuda!A$1:H$551,8,0))=0,"",VLOOKUP(O26,deuda!A$1:H$551,8,0))</f>
        <v/>
      </c>
    </row>
    <row r="27" spans="1:20" ht="25.5" customHeight="1">
      <c r="A27" s="24">
        <v>10</v>
      </c>
      <c r="B27" s="5">
        <v>1252</v>
      </c>
      <c r="C27" s="250">
        <v>66</v>
      </c>
      <c r="D27" s="250">
        <v>2</v>
      </c>
      <c r="E27" s="9">
        <v>0.59789999999999999</v>
      </c>
      <c r="F27" s="85" t="str">
        <f t="shared" si="0"/>
        <v>SI</v>
      </c>
      <c r="G27" s="335" t="s">
        <v>322</v>
      </c>
      <c r="H27" s="125">
        <f>IF(Hijuelas!$G$5="fracción",IF(F27="NO",0,IF(Hijuelas!$G$6="si",IF(D27=1,E27,E27*0.8),E27)),IF(F27="NO",0,IF(Hijuelas!$G$6="si",IF(D27=1,ROUNDUP(E27,0),ROUNDUP(E27*0.8,0)),ROUNDUP(E27,0))))</f>
        <v>0.47832000000000002</v>
      </c>
      <c r="I27" s="182">
        <v>4.1666666666666664E-2</v>
      </c>
      <c r="J27" s="269">
        <f t="shared" si="1"/>
        <v>1.2435667725162606E-2</v>
      </c>
      <c r="K27" s="95">
        <f t="shared" si="3"/>
        <v>42752.799254326783</v>
      </c>
      <c r="L27" s="95">
        <f t="shared" si="4"/>
        <v>42752.853356661173</v>
      </c>
      <c r="M27" s="5"/>
      <c r="N27" s="5"/>
      <c r="O27" s="5" t="str">
        <f t="shared" si="2"/>
        <v>125266</v>
      </c>
      <c r="P27" s="6">
        <f>VLOOKUP(O27,deuda!A$1:H$551,4,0)</f>
        <v>1</v>
      </c>
      <c r="Q27" s="6">
        <f>VLOOKUP(O27,deuda!A$1:H$551,5,0)</f>
        <v>2</v>
      </c>
      <c r="R27" s="6" t="str">
        <f>IF(VLOOKUP(O27,deuda!A$1:H$551,6,0)=0,"",VLOOKUP(O27,deuda!A$1:H$551,6,0))</f>
        <v/>
      </c>
      <c r="S27" s="111" t="str">
        <f>IF((VLOOKUP(O27,deuda!A$1:H$551,7,0))=0,"",VLOOKUP(O27,deuda!A$1:H$551,7,0))</f>
        <v/>
      </c>
      <c r="T27" s="115" t="str">
        <f>IF((VLOOKUP(O27,deuda!A$1:H$551,8,0))=0,"",VLOOKUP(O27,deuda!A$1:H$551,8,0))</f>
        <v/>
      </c>
    </row>
    <row r="28" spans="1:20" ht="25.5" customHeight="1">
      <c r="A28" s="24">
        <v>11</v>
      </c>
      <c r="B28" s="5">
        <v>1252</v>
      </c>
      <c r="C28" s="250">
        <v>64</v>
      </c>
      <c r="D28" s="250">
        <v>2</v>
      </c>
      <c r="E28" s="9">
        <v>0.74</v>
      </c>
      <c r="F28" s="85" t="str">
        <f t="shared" si="0"/>
        <v>SI</v>
      </c>
      <c r="G28" s="335" t="s">
        <v>323</v>
      </c>
      <c r="H28" s="125">
        <f>IF(Hijuelas!$G$5="fracción",IF(F28="NO",0,IF(Hijuelas!$G$6="si",IF(D28=1,E28,E28*0.8),E28)),IF(F28="NO",0,IF(Hijuelas!$G$6="si",IF(D28=1,ROUNDUP(E28,0),ROUNDUP(E28*0.8,0)),ROUNDUP(E28,0))))</f>
        <v>0.59199999999999997</v>
      </c>
      <c r="I28" s="182">
        <v>2.0833333333333332E-2</v>
      </c>
      <c r="J28" s="269">
        <f t="shared" si="1"/>
        <v>1.53911927021581E-2</v>
      </c>
      <c r="K28" s="95">
        <f t="shared" si="3"/>
        <v>42752.853356661173</v>
      </c>
      <c r="L28" s="95">
        <f t="shared" si="4"/>
        <v>42752.889581187213</v>
      </c>
      <c r="M28" s="5"/>
      <c r="N28" s="5"/>
      <c r="O28" s="5" t="str">
        <f t="shared" si="2"/>
        <v>125264</v>
      </c>
      <c r="P28" s="6">
        <f>VLOOKUP(O28,deuda!A$1:H$551,4,0)</f>
        <v>1</v>
      </c>
      <c r="Q28" s="6">
        <f>VLOOKUP(O28,deuda!A$1:H$551,5,0)</f>
        <v>2</v>
      </c>
      <c r="R28" s="6" t="str">
        <f>IF(VLOOKUP(O28,deuda!A$1:H$551,6,0)=0,"",VLOOKUP(O28,deuda!A$1:H$551,6,0))</f>
        <v/>
      </c>
      <c r="S28" s="111" t="str">
        <f>IF((VLOOKUP(O28,deuda!A$1:H$551,7,0))=0,"",VLOOKUP(O28,deuda!A$1:H$551,7,0))</f>
        <v/>
      </c>
      <c r="T28" s="115" t="str">
        <f>IF((VLOOKUP(O28,deuda!A$1:H$551,8,0))=0,"",VLOOKUP(O28,deuda!A$1:H$551,8,0))</f>
        <v/>
      </c>
    </row>
    <row r="29" spans="1:20" ht="25.5" customHeight="1">
      <c r="A29" s="24">
        <v>12</v>
      </c>
      <c r="B29" s="5">
        <v>1252</v>
      </c>
      <c r="C29" s="250">
        <v>63</v>
      </c>
      <c r="D29" s="250">
        <v>2</v>
      </c>
      <c r="E29" s="9">
        <v>1.5829</v>
      </c>
      <c r="F29" s="85" t="str">
        <f t="shared" si="0"/>
        <v>SI</v>
      </c>
      <c r="G29" s="335" t="s">
        <v>324</v>
      </c>
      <c r="H29" s="125">
        <f>IF(Hijuelas!$G$5="fracción",IF(F29="NO",0,IF(Hijuelas!$G$6="si",IF(D29=1,E29,E29*0.8),E29)),IF(F29="NO",0,IF(Hijuelas!$G$6="si",IF(D29=1,ROUNDUP(E29,0),ROUNDUP(E29*0.8,0)),ROUNDUP(E29,0))))</f>
        <v>1.2663200000000001</v>
      </c>
      <c r="I29" s="182">
        <v>0</v>
      </c>
      <c r="J29" s="269">
        <f t="shared" si="1"/>
        <v>3.2922593146278462E-2</v>
      </c>
      <c r="K29" s="95">
        <f t="shared" si="3"/>
        <v>42752.889581187213</v>
      </c>
      <c r="L29" s="95">
        <f t="shared" si="4"/>
        <v>42752.922503780363</v>
      </c>
      <c r="M29" s="5"/>
      <c r="N29" s="5"/>
      <c r="O29" s="5" t="str">
        <f t="shared" si="2"/>
        <v>125263</v>
      </c>
      <c r="P29" s="6">
        <f>VLOOKUP(O29,deuda!A$1:H$551,4,0)</f>
        <v>1</v>
      </c>
      <c r="Q29" s="6">
        <f>VLOOKUP(O29,deuda!A$1:H$551,5,0)</f>
        <v>1</v>
      </c>
      <c r="R29" s="6" t="str">
        <f>IF(VLOOKUP(O29,deuda!A$1:H$551,6,0)=0,"",VLOOKUP(O29,deuda!A$1:H$551,6,0))</f>
        <v/>
      </c>
      <c r="S29" s="111" t="str">
        <f>IF((VLOOKUP(O29,deuda!A$1:H$551,7,0))=0,"",VLOOKUP(O29,deuda!A$1:H$551,7,0))</f>
        <v/>
      </c>
      <c r="T29" s="115" t="str">
        <f>IF((VLOOKUP(O29,deuda!A$1:H$551,8,0))=0,"",VLOOKUP(O29,deuda!A$1:H$551,8,0))</f>
        <v/>
      </c>
    </row>
    <row r="30" spans="1:20" ht="25.5">
      <c r="A30" s="24">
        <v>13</v>
      </c>
      <c r="B30" s="5">
        <v>1252</v>
      </c>
      <c r="C30" s="250">
        <v>36</v>
      </c>
      <c r="D30" s="250">
        <v>2</v>
      </c>
      <c r="E30" s="9">
        <v>0.41470000000000001</v>
      </c>
      <c r="F30" s="85" t="str">
        <f t="shared" si="0"/>
        <v>SI</v>
      </c>
      <c r="G30" s="335" t="s">
        <v>325</v>
      </c>
      <c r="H30" s="125">
        <f>IF(Hijuelas!$G$5="fracción",IF(F30="NO",0,IF(Hijuelas!$G$6="si",IF(D30=1,E30,E30*0.8),E30)),IF(F30="NO",0,IF(Hijuelas!$G$6="si",IF(D30=1,ROUNDUP(E30,0),ROUNDUP(E30*0.8,0)),ROUNDUP(E30,0))))</f>
        <v>0.33176000000000005</v>
      </c>
      <c r="I30" s="182">
        <v>2.0833333333333332E-2</v>
      </c>
      <c r="J30" s="269">
        <f t="shared" si="1"/>
        <v>8.6253075859256297E-3</v>
      </c>
      <c r="K30" s="95">
        <f t="shared" si="3"/>
        <v>42752.922503780363</v>
      </c>
      <c r="L30" s="95">
        <f t="shared" si="4"/>
        <v>42752.951962421284</v>
      </c>
      <c r="M30" s="5"/>
      <c r="N30" s="5"/>
      <c r="O30" s="5" t="str">
        <f t="shared" si="2"/>
        <v>125236</v>
      </c>
      <c r="P30" s="6">
        <f>VLOOKUP(O30,deuda!A$1:H$551,4,0)</f>
        <v>1</v>
      </c>
      <c r="Q30" s="6">
        <f>VLOOKUP(O30,deuda!A$1:H$551,5,0)</f>
        <v>0</v>
      </c>
      <c r="R30" s="6" t="str">
        <f>IF(VLOOKUP(O30,deuda!A$1:H$551,6,0)=0,"",VLOOKUP(O30,deuda!A$1:H$551,6,0))</f>
        <v/>
      </c>
      <c r="S30" s="111" t="str">
        <f>IF((VLOOKUP(O30,deuda!A$1:H$551,7,0))=0,"",VLOOKUP(O30,deuda!A$1:H$551,7,0))</f>
        <v/>
      </c>
      <c r="T30" s="115" t="str">
        <f>IF((VLOOKUP(O30,deuda!A$1:H$551,8,0))=0,"",VLOOKUP(O30,deuda!A$1:H$551,8,0))</f>
        <v/>
      </c>
    </row>
    <row r="31" spans="1:20" ht="25.5" customHeight="1">
      <c r="A31" s="24">
        <v>14</v>
      </c>
      <c r="B31" s="5">
        <v>1252</v>
      </c>
      <c r="C31" s="250">
        <v>48</v>
      </c>
      <c r="D31" s="250">
        <v>2</v>
      </c>
      <c r="E31" s="9">
        <v>4.1380999999999997</v>
      </c>
      <c r="F31" s="85" t="str">
        <f t="shared" si="0"/>
        <v>SI</v>
      </c>
      <c r="G31" s="335" t="s">
        <v>326</v>
      </c>
      <c r="H31" s="125">
        <f>IF(Hijuelas!$G$5="fracción",IF(F31="NO",0,IF(Hijuelas!$G$6="si",IF(D31=1,E31,E31*0.8),E31)),IF(F31="NO",0,IF(Hijuelas!$G$6="si",IF(D31=1,ROUNDUP(E31,0),ROUNDUP(E31*0.8,0)),ROUNDUP(E31,0))))</f>
        <v>3.3104800000000001</v>
      </c>
      <c r="I31" s="182">
        <v>4.1666666666666664E-2</v>
      </c>
      <c r="J31" s="269">
        <f t="shared" si="1"/>
        <v>8.6067965568649235E-2</v>
      </c>
      <c r="K31" s="95">
        <f t="shared" si="3"/>
        <v>42752.951962421284</v>
      </c>
      <c r="L31" s="95">
        <f t="shared" si="4"/>
        <v>42753.079697053516</v>
      </c>
      <c r="M31" s="5"/>
      <c r="N31" s="5"/>
      <c r="O31" s="5" t="str">
        <f t="shared" si="2"/>
        <v>125248</v>
      </c>
      <c r="P31" s="6">
        <f>VLOOKUP(O31,deuda!A$1:H$551,4,0)</f>
        <v>1</v>
      </c>
      <c r="Q31" s="6">
        <f>VLOOKUP(O31,deuda!A$1:H$551,5,0)</f>
        <v>1</v>
      </c>
      <c r="R31" s="6" t="str">
        <f>IF(VLOOKUP(O31,deuda!A$1:H$551,6,0)=0,"",VLOOKUP(O31,deuda!A$1:H$551,6,0))</f>
        <v/>
      </c>
      <c r="S31" s="111" t="str">
        <f>IF((VLOOKUP(O31,deuda!A$1:H$551,7,0))=0,"",VLOOKUP(O31,deuda!A$1:H$551,7,0))</f>
        <v/>
      </c>
      <c r="T31" s="115" t="str">
        <f>IF((VLOOKUP(O31,deuda!A$1:H$551,8,0))=0,"",VLOOKUP(O31,deuda!A$1:H$551,8,0))</f>
        <v/>
      </c>
    </row>
    <row r="32" spans="1:20" ht="25.5" customHeight="1">
      <c r="A32" s="24">
        <v>14</v>
      </c>
      <c r="B32" s="5">
        <v>1252</v>
      </c>
      <c r="C32" s="250">
        <v>62</v>
      </c>
      <c r="D32" s="250">
        <v>2</v>
      </c>
      <c r="E32" s="9">
        <v>2.0388000000000002</v>
      </c>
      <c r="F32" s="85" t="str">
        <f t="shared" si="0"/>
        <v>SI</v>
      </c>
      <c r="G32" s="335" t="s">
        <v>327</v>
      </c>
      <c r="H32" s="125">
        <f>IF(Hijuelas!$G$5="fracción",IF(F32="NO",0,IF(Hijuelas!$G$6="si",IF(D32=1,E32,E32*0.8),E32)),IF(F32="NO",0,IF(Hijuelas!$G$6="si",IF(D32=1,ROUNDUP(E32,0),ROUNDUP(E32*0.8,0)),ROUNDUP(E32,0))))</f>
        <v>1.6310400000000003</v>
      </c>
      <c r="I32" s="182">
        <v>0</v>
      </c>
      <c r="J32" s="269">
        <f t="shared" si="1"/>
        <v>4.2404815785351276E-2</v>
      </c>
      <c r="K32" s="95">
        <f t="shared" si="3"/>
        <v>42753.079697053516</v>
      </c>
      <c r="L32" s="95">
        <f t="shared" si="4"/>
        <v>42753.122101869303</v>
      </c>
      <c r="M32" s="5"/>
      <c r="N32" s="5"/>
      <c r="O32" s="5" t="str">
        <f t="shared" si="2"/>
        <v>125262</v>
      </c>
      <c r="P32" s="6">
        <f>VLOOKUP(O32,deuda!A$1:H$551,4,0)</f>
        <v>1</v>
      </c>
      <c r="Q32" s="6">
        <f>VLOOKUP(O32,deuda!A$1:H$551,5,0)</f>
        <v>1</v>
      </c>
      <c r="R32" s="6" t="str">
        <f>IF(VLOOKUP(O32,deuda!A$1:H$551,6,0)=0,"",VLOOKUP(O32,deuda!A$1:H$551,6,0))</f>
        <v/>
      </c>
      <c r="S32" s="111" t="str">
        <f>IF((VLOOKUP(O32,deuda!A$1:H$551,7,0))=0,"",VLOOKUP(O32,deuda!A$1:H$551,7,0))</f>
        <v/>
      </c>
      <c r="T32" s="115" t="str">
        <f>IF((VLOOKUP(O32,deuda!A$1:H$551,8,0))=0,"",VLOOKUP(O32,deuda!A$1:H$551,8,0))</f>
        <v/>
      </c>
    </row>
    <row r="33" spans="1:20" ht="25.5" customHeight="1">
      <c r="A33" s="24">
        <v>14</v>
      </c>
      <c r="B33" s="5">
        <v>1252</v>
      </c>
      <c r="C33" s="250">
        <v>65</v>
      </c>
      <c r="D33" s="250">
        <v>2</v>
      </c>
      <c r="E33" s="9">
        <v>0.56010000000000004</v>
      </c>
      <c r="F33" s="85" t="str">
        <f t="shared" si="0"/>
        <v>SI</v>
      </c>
      <c r="G33" s="335" t="s">
        <v>327</v>
      </c>
      <c r="H33" s="125">
        <f>IF(Hijuelas!$G$5="fracción",IF(F33="NO",0,IF(Hijuelas!$G$6="si",IF(D33=1,E33,E33*0.8),E33)),IF(F33="NO",0,IF(Hijuelas!$G$6="si",IF(D33=1,ROUNDUP(E33,0),ROUNDUP(E33*0.8,0)),ROUNDUP(E33,0))))</f>
        <v>0.44808000000000003</v>
      </c>
      <c r="I33" s="182">
        <v>0</v>
      </c>
      <c r="J33" s="269">
        <f t="shared" si="1"/>
        <v>1.1649468962809127E-2</v>
      </c>
      <c r="K33" s="95">
        <f t="shared" si="3"/>
        <v>42753.122101869303</v>
      </c>
      <c r="L33" s="95">
        <f t="shared" si="4"/>
        <v>42753.133751338268</v>
      </c>
      <c r="M33" s="5"/>
      <c r="N33" s="5"/>
      <c r="O33" s="5" t="str">
        <f t="shared" si="2"/>
        <v>125265</v>
      </c>
      <c r="P33" s="6">
        <f>VLOOKUP(O33,deuda!A$1:H$551,4,0)</f>
        <v>1</v>
      </c>
      <c r="Q33" s="6">
        <f>VLOOKUP(O33,deuda!A$1:H$551,5,0)</f>
        <v>0</v>
      </c>
      <c r="R33" s="6" t="str">
        <f>IF(VLOOKUP(O33,deuda!A$1:H$551,6,0)=0,"",VLOOKUP(O33,deuda!A$1:H$551,6,0))</f>
        <v/>
      </c>
      <c r="S33" s="111" t="str">
        <f>IF((VLOOKUP(O33,deuda!A$1:H$551,7,0))=0,"",VLOOKUP(O33,deuda!A$1:H$551,7,0))</f>
        <v/>
      </c>
      <c r="T33" s="115" t="str">
        <f>IF((VLOOKUP(O33,deuda!A$1:H$551,8,0))=0,"",VLOOKUP(O33,deuda!A$1:H$551,8,0))</f>
        <v/>
      </c>
    </row>
    <row r="34" spans="1:20" ht="25.5" customHeight="1">
      <c r="A34" s="24">
        <v>14</v>
      </c>
      <c r="B34" s="5">
        <v>1252</v>
      </c>
      <c r="C34" s="250">
        <v>76</v>
      </c>
      <c r="D34" s="250">
        <v>2</v>
      </c>
      <c r="E34" s="9">
        <v>11.2311</v>
      </c>
      <c r="F34" s="85" t="str">
        <f t="shared" si="0"/>
        <v>SI</v>
      </c>
      <c r="G34" s="335" t="s">
        <v>326</v>
      </c>
      <c r="H34" s="125">
        <f>IF(Hijuelas!$G$5="fracción",IF(F34="NO",0,IF(Hijuelas!$G$6="si",IF(D34=1,E34,E34*0.8),E34)),IF(F34="NO",0,IF(Hijuelas!$G$6="si",IF(D34=1,ROUNDUP(E34,0),ROUNDUP(E34*0.8,0)),ROUNDUP(E34,0))))</f>
        <v>8.9848800000000004</v>
      </c>
      <c r="I34" s="182">
        <v>0</v>
      </c>
      <c r="J34" s="269">
        <f t="shared" si="1"/>
        <v>0.23359462750974033</v>
      </c>
      <c r="K34" s="95">
        <f t="shared" si="3"/>
        <v>42753.133751338268</v>
      </c>
      <c r="L34" s="95">
        <f t="shared" si="4"/>
        <v>42753.36734596578</v>
      </c>
      <c r="M34" s="5"/>
      <c r="N34" s="5"/>
      <c r="O34" s="5" t="str">
        <f t="shared" si="2"/>
        <v>125276</v>
      </c>
      <c r="P34" s="6">
        <f>VLOOKUP(O34,deuda!A$1:H$551,4,0)</f>
        <v>1</v>
      </c>
      <c r="Q34" s="6">
        <f>VLOOKUP(O34,deuda!A$1:H$551,5,0)</f>
        <v>1</v>
      </c>
      <c r="R34" s="6" t="str">
        <f>IF(VLOOKUP(O34,deuda!A$1:H$551,6,0)=0,"",VLOOKUP(O34,deuda!A$1:H$551,6,0))</f>
        <v/>
      </c>
      <c r="S34" s="111" t="str">
        <f>IF((VLOOKUP(O34,deuda!A$1:H$551,7,0))=0,"",VLOOKUP(O34,deuda!A$1:H$551,7,0))</f>
        <v/>
      </c>
      <c r="T34" s="115" t="str">
        <f>IF((VLOOKUP(O34,deuda!A$1:H$551,8,0))=0,"",VLOOKUP(O34,deuda!A$1:H$551,8,0))</f>
        <v/>
      </c>
    </row>
    <row r="35" spans="1:20" ht="25.5" customHeight="1">
      <c r="A35" s="24">
        <v>15</v>
      </c>
      <c r="B35" s="5">
        <v>1252</v>
      </c>
      <c r="C35" s="250">
        <v>77</v>
      </c>
      <c r="D35" s="250">
        <v>2</v>
      </c>
      <c r="E35" s="9">
        <v>6.7142999999999997</v>
      </c>
      <c r="F35" s="85" t="str">
        <f t="shared" si="0"/>
        <v>SI</v>
      </c>
      <c r="G35" s="335" t="s">
        <v>328</v>
      </c>
      <c r="H35" s="125">
        <f>IF(Hijuelas!$G$5="fracción",IF(F35="NO",0,IF(Hijuelas!$G$6="si",IF(D35=1,E35,E35*0.8),E35)),IF(F35="NO",0,IF(Hijuelas!$G$6="si",IF(D35=1,ROUNDUP(E35,0),ROUNDUP(E35*0.8,0)),ROUNDUP(E35,0))))</f>
        <v>5.3714399999999998</v>
      </c>
      <c r="I35" s="182">
        <v>0</v>
      </c>
      <c r="J35" s="269">
        <f t="shared" si="1"/>
        <v>0.13965011508121641</v>
      </c>
      <c r="K35" s="95">
        <f t="shared" si="3"/>
        <v>42753.36734596578</v>
      </c>
      <c r="L35" s="95">
        <f t="shared" si="4"/>
        <v>42753.506996080861</v>
      </c>
      <c r="M35" s="5"/>
      <c r="N35" s="5"/>
      <c r="O35" s="5" t="str">
        <f t="shared" si="2"/>
        <v>125277</v>
      </c>
      <c r="P35" s="6">
        <f>VLOOKUP(O35,deuda!A$1:H$551,4,0)</f>
        <v>1</v>
      </c>
      <c r="Q35" s="6">
        <f>VLOOKUP(O35,deuda!A$1:H$551,5,0)</f>
        <v>1</v>
      </c>
      <c r="R35" s="6" t="str">
        <f>IF(VLOOKUP(O35,deuda!A$1:H$551,6,0)=0,"",VLOOKUP(O35,deuda!A$1:H$551,6,0))</f>
        <v/>
      </c>
      <c r="S35" s="111" t="str">
        <f>IF((VLOOKUP(O35,deuda!A$1:H$551,7,0))=0,"",VLOOKUP(O35,deuda!A$1:H$551,7,0))</f>
        <v/>
      </c>
      <c r="T35" s="115" t="str">
        <f>IF((VLOOKUP(O35,deuda!A$1:H$551,8,0))=0,"",VLOOKUP(O35,deuda!A$1:H$551,8,0))</f>
        <v/>
      </c>
    </row>
    <row r="36" spans="1:20" ht="25.5" customHeight="1">
      <c r="A36" s="24">
        <v>15</v>
      </c>
      <c r="B36" s="5">
        <v>1252</v>
      </c>
      <c r="C36" s="250">
        <v>78</v>
      </c>
      <c r="D36" s="250">
        <v>2</v>
      </c>
      <c r="E36" s="9">
        <v>1.5</v>
      </c>
      <c r="F36" s="85" t="str">
        <f t="shared" si="0"/>
        <v>SI</v>
      </c>
      <c r="G36" s="335" t="s">
        <v>329</v>
      </c>
      <c r="H36" s="125">
        <f>IF(Hijuelas!$G$5="fracción",IF(F36="NO",0,IF(Hijuelas!$G$6="si",IF(D36=1,E36,E36*0.8),E36)),IF(F36="NO",0,IF(Hijuelas!$G$6="si",IF(D36=1,ROUNDUP(E36,0),ROUNDUP(E36*0.8,0)),ROUNDUP(E36,0))))</f>
        <v>1.2000000000000002</v>
      </c>
      <c r="I36" s="182">
        <v>0</v>
      </c>
      <c r="J36" s="269">
        <f t="shared" si="1"/>
        <v>3.1198363585455618E-2</v>
      </c>
      <c r="K36" s="95">
        <f t="shared" si="3"/>
        <v>42753.506996080861</v>
      </c>
      <c r="L36" s="95">
        <f t="shared" si="4"/>
        <v>42753.538194444445</v>
      </c>
      <c r="M36" s="5"/>
      <c r="N36" s="5"/>
      <c r="O36" s="5" t="str">
        <f t="shared" si="2"/>
        <v>125278</v>
      </c>
      <c r="P36" s="6">
        <f>VLOOKUP(O36,deuda!A$1:H$551,4,0)</f>
        <v>1</v>
      </c>
      <c r="Q36" s="6">
        <f>VLOOKUP(O36,deuda!A$1:H$551,5,0)</f>
        <v>1</v>
      </c>
      <c r="R36" s="6" t="str">
        <f>IF(VLOOKUP(O36,deuda!A$1:H$551,6,0)=0,"",VLOOKUP(O36,deuda!A$1:H$551,6,0))</f>
        <v/>
      </c>
      <c r="S36" s="111" t="str">
        <f>IF((VLOOKUP(O36,deuda!A$1:H$551,7,0))=0,"",VLOOKUP(O36,deuda!A$1:H$551,7,0))</f>
        <v/>
      </c>
      <c r="T36" s="115" t="str">
        <f>IF((VLOOKUP(O36,deuda!A$1:H$551,8,0))=0,"",VLOOKUP(O36,deuda!A$1:H$551,8,0))</f>
        <v/>
      </c>
    </row>
    <row r="37" spans="1:20" ht="25.5" customHeight="1">
      <c r="A37" s="265">
        <v>16</v>
      </c>
      <c r="B37" s="5">
        <v>1252</v>
      </c>
      <c r="C37" s="251">
        <v>28</v>
      </c>
      <c r="D37" s="251">
        <v>2</v>
      </c>
      <c r="E37" s="252">
        <v>11.4869</v>
      </c>
      <c r="F37" s="85" t="str">
        <f t="shared" si="0"/>
        <v>NO</v>
      </c>
      <c r="G37" s="336" t="s">
        <v>330</v>
      </c>
      <c r="H37" s="125">
        <f>IF(Hijuelas!$G$5="fracción",IF(F37="NO",0,IF(Hijuelas!$G$6="si",IF(D37=1,E37,E37*0.8),E37)),IF(F37="NO",0,IF(Hijuelas!$G$6="si",IF(D37=1,ROUNDUP(E37,0),ROUNDUP(E37*0.8,0)),ROUNDUP(E37,0))))</f>
        <v>0</v>
      </c>
      <c r="I37" s="182">
        <v>0</v>
      </c>
      <c r="J37" s="269">
        <f t="shared" si="1"/>
        <v>0</v>
      </c>
      <c r="K37" s="95">
        <f t="shared" si="3"/>
        <v>42753.538194444445</v>
      </c>
      <c r="L37" s="95">
        <f t="shared" si="4"/>
        <v>42753.538194444445</v>
      </c>
      <c r="M37" s="5"/>
      <c r="N37" s="5"/>
      <c r="O37" s="5" t="str">
        <f t="shared" si="2"/>
        <v>125228</v>
      </c>
      <c r="P37" s="6">
        <f>VLOOKUP(O37,deuda!A$1:H$551,4,0)</f>
        <v>0</v>
      </c>
      <c r="Q37" s="6">
        <f>VLOOKUP(O37,deuda!A$1:H$551,5,0)</f>
        <v>210</v>
      </c>
      <c r="R37" s="6" t="str">
        <f>IF(VLOOKUP(O37,deuda!A$1:H$551,6,0)=0,"",VLOOKUP(O37,deuda!A$1:H$551,6,0))</f>
        <v/>
      </c>
      <c r="S37" s="111" t="str">
        <f>IF((VLOOKUP(O37,deuda!A$1:H$551,7,0))=0,"",VLOOKUP(O37,deuda!A$1:H$551,7,0))</f>
        <v/>
      </c>
      <c r="T37" s="115" t="str">
        <f>IF((VLOOKUP(O37,deuda!A$1:H$551,8,0))=0,"",VLOOKUP(O37,deuda!A$1:H$551,8,0))</f>
        <v/>
      </c>
    </row>
    <row r="38" spans="1:20" ht="25.5" customHeight="1">
      <c r="A38" s="265">
        <v>16</v>
      </c>
      <c r="B38" s="5">
        <v>1252</v>
      </c>
      <c r="C38" s="251">
        <v>58</v>
      </c>
      <c r="D38" s="251">
        <v>2</v>
      </c>
      <c r="E38" s="252">
        <v>17.116800000000001</v>
      </c>
      <c r="F38" s="85" t="str">
        <f t="shared" si="0"/>
        <v>NO</v>
      </c>
      <c r="G38" s="336" t="s">
        <v>331</v>
      </c>
      <c r="H38" s="125">
        <f>IF(Hijuelas!$G$5="fracción",IF(F38="NO",0,IF(Hijuelas!$G$6="si",IF(D38=1,E38,E38*0.8),E38)),IF(F38="NO",0,IF(Hijuelas!$G$6="si",IF(D38=1,ROUNDUP(E38,0),ROUNDUP(E38*0.8,0)),ROUNDUP(E38,0))))</f>
        <v>0</v>
      </c>
      <c r="I38" s="182">
        <v>0</v>
      </c>
      <c r="J38" s="269">
        <f t="shared" si="1"/>
        <v>0</v>
      </c>
      <c r="K38" s="95">
        <f t="shared" si="3"/>
        <v>42753.538194444445</v>
      </c>
      <c r="L38" s="95">
        <f t="shared" si="4"/>
        <v>42753.538194444445</v>
      </c>
      <c r="M38" s="5"/>
      <c r="N38" s="5"/>
      <c r="O38" s="5" t="str">
        <f t="shared" si="2"/>
        <v>125258</v>
      </c>
      <c r="P38" s="6">
        <f>VLOOKUP(O38,deuda!A$1:H$551,4,0)</f>
        <v>0</v>
      </c>
      <c r="Q38" s="6">
        <f>VLOOKUP(O38,deuda!A$1:H$551,5,0)</f>
        <v>119</v>
      </c>
      <c r="R38" s="6" t="str">
        <f>IF(VLOOKUP(O38,deuda!A$1:H$551,6,0)=0,"",VLOOKUP(O38,deuda!A$1:H$551,6,0))</f>
        <v/>
      </c>
      <c r="S38" s="111" t="str">
        <f>IF((VLOOKUP(O38,deuda!A$1:H$551,7,0))=0,"",VLOOKUP(O38,deuda!A$1:H$551,7,0))</f>
        <v/>
      </c>
      <c r="T38" s="115" t="str">
        <f>IF((VLOOKUP(O38,deuda!A$1:H$551,8,0))=0,"",VLOOKUP(O38,deuda!A$1:H$551,8,0))</f>
        <v/>
      </c>
    </row>
    <row r="39" spans="1:20" ht="25.5" customHeight="1" thickBot="1">
      <c r="A39" s="310">
        <v>16</v>
      </c>
      <c r="B39" s="27">
        <v>1252</v>
      </c>
      <c r="C39" s="448">
        <v>73</v>
      </c>
      <c r="D39" s="448">
        <v>2</v>
      </c>
      <c r="E39" s="449">
        <v>5.9671000000000003</v>
      </c>
      <c r="F39" s="85" t="str">
        <f t="shared" si="0"/>
        <v>NO</v>
      </c>
      <c r="G39" s="450" t="s">
        <v>332</v>
      </c>
      <c r="H39" s="125">
        <f>IF(Hijuelas!$G$5="fracción",IF(F39="NO",0,IF(Hijuelas!$G$6="si",IF(D39=1,E39,E39*0.8),E39)),IF(F39="NO",0,IF(Hijuelas!$G$6="si",IF(D39=1,ROUNDUP(E39,0),ROUNDUP(E39*0.8,0)),ROUNDUP(E39,0))))</f>
        <v>0</v>
      </c>
      <c r="I39" s="484">
        <v>0</v>
      </c>
      <c r="J39" s="269">
        <f t="shared" si="1"/>
        <v>0</v>
      </c>
      <c r="K39" s="95">
        <f t="shared" si="3"/>
        <v>42753.538194444445</v>
      </c>
      <c r="L39" s="95">
        <f t="shared" si="4"/>
        <v>42753.538194444445</v>
      </c>
      <c r="M39" s="27"/>
      <c r="N39" s="27"/>
      <c r="O39" s="5" t="str">
        <f t="shared" si="2"/>
        <v>125273</v>
      </c>
      <c r="P39" s="6">
        <f>VLOOKUP(O39,deuda!A$1:H$551,4,0)</f>
        <v>0</v>
      </c>
      <c r="Q39" s="6">
        <f>VLOOKUP(O39,deuda!A$1:H$551,5,0)</f>
        <v>145</v>
      </c>
      <c r="R39" s="6" t="str">
        <f>IF(VLOOKUP(O39,deuda!A$1:H$551,6,0)=0,"",VLOOKUP(O39,deuda!A$1:H$551,6,0))</f>
        <v/>
      </c>
      <c r="S39" s="111" t="str">
        <f>IF((VLOOKUP(O39,deuda!A$1:H$551,7,0))=0,"",VLOOKUP(O39,deuda!A$1:H$551,7,0))</f>
        <v/>
      </c>
      <c r="T39" s="115" t="str">
        <f>IF((VLOOKUP(O39,deuda!A$1:H$551,8,0))=0,"",VLOOKUP(O39,deuda!A$1:H$551,8,0))</f>
        <v/>
      </c>
    </row>
    <row r="40" spans="1:20">
      <c r="A40" s="10"/>
      <c r="B40" s="10"/>
      <c r="C40" s="10"/>
      <c r="D40" s="10"/>
      <c r="E40" s="284">
        <f>SUM(E13:E39)</f>
        <v>219.73530000000005</v>
      </c>
      <c r="F40" s="284"/>
      <c r="G40" s="300"/>
      <c r="H40" s="482">
        <f>SUM(H13:H39)</f>
        <v>140.09815999999998</v>
      </c>
      <c r="I40" s="483">
        <f>SUM(I13:I39)</f>
        <v>0.14583333333333331</v>
      </c>
      <c r="J40" s="483">
        <f>SUM(J13:J39)</f>
        <v>3.6423611111111116</v>
      </c>
      <c r="K40" s="273"/>
      <c r="L40" s="273"/>
      <c r="M40" s="10"/>
      <c r="N40" s="10"/>
      <c r="O40" s="10"/>
      <c r="P40" s="13"/>
      <c r="Q40" s="13"/>
      <c r="R40" s="13"/>
      <c r="S40" s="255"/>
      <c r="T40" s="255"/>
    </row>
    <row r="41" spans="1:20">
      <c r="A41" s="10"/>
      <c r="B41" s="10"/>
      <c r="C41" s="10"/>
      <c r="D41" s="10"/>
      <c r="E41" s="10"/>
      <c r="F41" s="17"/>
      <c r="G41" s="274"/>
      <c r="H41" s="19"/>
      <c r="I41" s="19"/>
      <c r="J41" s="81"/>
      <c r="K41" s="273"/>
      <c r="L41" s="273"/>
      <c r="M41" s="10"/>
      <c r="N41" s="10"/>
      <c r="O41" s="10"/>
      <c r="P41" s="13"/>
      <c r="Q41" s="13"/>
      <c r="R41" s="13"/>
      <c r="S41" s="255"/>
      <c r="T41" s="255"/>
    </row>
    <row r="42" spans="1:20">
      <c r="A42" s="10"/>
      <c r="B42" s="10"/>
      <c r="C42" s="10"/>
      <c r="D42" s="10"/>
      <c r="E42" s="10"/>
      <c r="F42" s="17"/>
      <c r="G42" s="274"/>
      <c r="H42" s="19"/>
      <c r="I42" s="19"/>
      <c r="J42" s="81"/>
      <c r="K42" s="273"/>
      <c r="L42" s="273"/>
      <c r="M42" s="10"/>
      <c r="N42" s="10"/>
      <c r="O42" s="10"/>
      <c r="P42" s="13"/>
      <c r="Q42" s="13"/>
      <c r="R42" s="13"/>
      <c r="S42" s="255"/>
      <c r="T42" s="255"/>
    </row>
    <row r="44" spans="1:20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57" spans="19:19">
      <c r="S57" t="s">
        <v>333</v>
      </c>
    </row>
  </sheetData>
  <mergeCells count="7">
    <mergeCell ref="H2:J2"/>
    <mergeCell ref="C2:G2"/>
    <mergeCell ref="A9:B9"/>
    <mergeCell ref="A5:B5"/>
    <mergeCell ref="C5:E5"/>
    <mergeCell ref="A6:B6"/>
    <mergeCell ref="C6:E6"/>
  </mergeCells>
  <phoneticPr fontId="0" type="noConversion"/>
  <dataValidations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39" xr:uid="{00000000-0002-0000-1200-000000000000}">
      <formula1>2</formula1>
      <formula2>2</formula2>
    </dataValidation>
  </dataValidations>
  <pageMargins left="3.937007874015748E-2" right="0.75" top="0.62992125984251968" bottom="0.98425196850393704" header="0" footer="0"/>
  <pageSetup paperSize="9"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0"/>
  <dimension ref="B2:K40"/>
  <sheetViews>
    <sheetView zoomScale="75" workbookViewId="0" xr3:uid="{958C4451-9541-5A59-BF78-D2F731DF1C81}">
      <selection activeCell="C5" sqref="C5:E13"/>
    </sheetView>
  </sheetViews>
  <sheetFormatPr defaultRowHeight="12.75"/>
  <cols>
    <col min="1" max="1" width="5.5703125" customWidth="1"/>
    <col min="2" max="2" width="22.5703125" bestFit="1" customWidth="1"/>
    <col min="3" max="3" width="14.28515625" customWidth="1"/>
    <col min="4" max="4" width="10.7109375" customWidth="1"/>
    <col min="5" max="5" width="13" customWidth="1"/>
    <col min="6" max="6" width="11" customWidth="1"/>
    <col min="7" max="7" width="11" bestFit="1" customWidth="1"/>
    <col min="8" max="8" width="10" bestFit="1" customWidth="1"/>
    <col min="9" max="9" width="12.140625" customWidth="1"/>
    <col min="10" max="10" width="11.28515625" bestFit="1" customWidth="1"/>
    <col min="11" max="11" width="15.85546875" customWidth="1"/>
    <col min="12" max="256" width="11.42578125" customWidth="1"/>
  </cols>
  <sheetData>
    <row r="2" spans="2:11" ht="13.5" thickBot="1">
      <c r="C2" s="650" t="s">
        <v>11</v>
      </c>
      <c r="D2" s="650"/>
      <c r="E2" s="650"/>
    </row>
    <row r="3" spans="2:11">
      <c r="B3" s="644" t="s">
        <v>12</v>
      </c>
      <c r="C3" s="645"/>
      <c r="D3" s="645"/>
      <c r="E3" s="645"/>
      <c r="F3" s="645"/>
      <c r="G3" s="645"/>
      <c r="H3" s="645"/>
      <c r="I3" s="645"/>
      <c r="J3" s="646"/>
      <c r="K3" s="647"/>
    </row>
    <row r="4" spans="2:11" ht="26.25" thickBot="1">
      <c r="B4" s="140" t="s">
        <v>13</v>
      </c>
      <c r="C4" s="141" t="s">
        <v>14</v>
      </c>
      <c r="D4" s="141" t="s">
        <v>15</v>
      </c>
      <c r="E4" s="141" t="s">
        <v>16</v>
      </c>
      <c r="F4" s="142" t="s">
        <v>17</v>
      </c>
      <c r="G4" s="142" t="s">
        <v>18</v>
      </c>
      <c r="H4" s="142" t="s">
        <v>19</v>
      </c>
      <c r="I4" s="143" t="s">
        <v>20</v>
      </c>
      <c r="J4" s="173" t="s">
        <v>21</v>
      </c>
      <c r="K4" s="144" t="s">
        <v>22</v>
      </c>
    </row>
    <row r="5" spans="2:11" ht="13.5" thickTop="1">
      <c r="B5" s="159" t="s">
        <v>23</v>
      </c>
      <c r="C5" s="112">
        <v>1620</v>
      </c>
      <c r="D5" s="112">
        <v>2.8119999999999998E-3</v>
      </c>
      <c r="E5" s="112">
        <v>1.605</v>
      </c>
      <c r="F5" s="47"/>
      <c r="G5" s="47">
        <v>28.67</v>
      </c>
      <c r="H5" s="160" t="e">
        <f>+G5*$B$37</f>
        <v>#VALUE!</v>
      </c>
      <c r="I5" s="47" t="e">
        <f>(H5/C5)^(1/E5)-D5</f>
        <v>#VALUE!</v>
      </c>
      <c r="J5" s="170">
        <v>0.2</v>
      </c>
      <c r="K5" s="174" t="e">
        <f>+I5+J5</f>
        <v>#VALUE!</v>
      </c>
    </row>
    <row r="6" spans="2:11">
      <c r="B6" s="152" t="s">
        <v>24</v>
      </c>
      <c r="C6" s="6">
        <v>1.447E-2</v>
      </c>
      <c r="D6" s="6">
        <v>5.6660000000000004</v>
      </c>
      <c r="E6" s="6">
        <v>1.641</v>
      </c>
      <c r="F6" s="5"/>
      <c r="G6" s="5"/>
      <c r="H6" s="160" t="e">
        <f t="shared" ref="H6:H13" si="0">+G6*$B$37</f>
        <v>#VALUE!</v>
      </c>
      <c r="I6" s="5"/>
      <c r="J6" s="7"/>
      <c r="K6" s="175"/>
    </row>
    <row r="7" spans="2:11">
      <c r="B7" s="152" t="s">
        <v>25</v>
      </c>
      <c r="C7" s="6">
        <v>272.39999999999998</v>
      </c>
      <c r="D7" s="6">
        <v>0</v>
      </c>
      <c r="E7" s="6">
        <v>1.528</v>
      </c>
      <c r="F7" s="5"/>
      <c r="G7" s="6">
        <v>120</v>
      </c>
      <c r="H7" s="160" t="e">
        <f t="shared" si="0"/>
        <v>#VALUE!</v>
      </c>
      <c r="I7" s="153" t="e">
        <f>((H7/C7)^(1/E7)-D7)</f>
        <v>#VALUE!</v>
      </c>
      <c r="J7" s="171"/>
      <c r="K7" s="154" t="e">
        <f>+(I7+[1]aforadores!L18)/100</f>
        <v>#VALUE!</v>
      </c>
    </row>
    <row r="8" spans="2:11">
      <c r="B8" s="152" t="s">
        <v>26</v>
      </c>
      <c r="C8" s="6">
        <v>0.19650000000000001</v>
      </c>
      <c r="D8" s="6">
        <v>0</v>
      </c>
      <c r="E8" s="6">
        <v>1.518</v>
      </c>
      <c r="F8" s="5"/>
      <c r="G8" s="6">
        <v>80</v>
      </c>
      <c r="H8" s="160" t="e">
        <f t="shared" si="0"/>
        <v>#VALUE!</v>
      </c>
      <c r="I8" s="153" t="e">
        <f>((H8/[1]aforadores!I19)^(1/[1]aforadores!K19)-[1]aforadores!J19)*100</f>
        <v>#VALUE!</v>
      </c>
      <c r="J8" s="171"/>
      <c r="K8" s="154" t="e">
        <f>+(I8+[1]aforadores!L19)/100</f>
        <v>#VALUE!</v>
      </c>
    </row>
    <row r="9" spans="2:11">
      <c r="B9" s="155" t="s">
        <v>27</v>
      </c>
      <c r="C9" s="131">
        <v>0.27400000000000002</v>
      </c>
      <c r="D9" s="131">
        <v>0</v>
      </c>
      <c r="E9" s="131">
        <v>1.528</v>
      </c>
      <c r="F9" s="5"/>
      <c r="G9" s="6">
        <v>160</v>
      </c>
      <c r="H9" s="160" t="e">
        <f t="shared" si="0"/>
        <v>#VALUE!</v>
      </c>
      <c r="I9" s="153" t="e">
        <f>((H9/[1]aforadores!I20)^(1/[1]aforadores!K20)-[1]aforadores!J20)</f>
        <v>#VALUE!</v>
      </c>
      <c r="J9" s="171"/>
      <c r="K9" s="154" t="e">
        <f>+(I9+[1]aforadores!L20)/100</f>
        <v>#VALUE!</v>
      </c>
    </row>
    <row r="10" spans="2:11">
      <c r="B10" s="157" t="s">
        <v>28</v>
      </c>
      <c r="C10" s="145">
        <v>902.1</v>
      </c>
      <c r="D10" s="145">
        <v>0</v>
      </c>
      <c r="E10" s="145">
        <v>1.5580000000000001</v>
      </c>
      <c r="F10" s="161"/>
      <c r="G10" s="5"/>
      <c r="H10" s="160" t="e">
        <f t="shared" si="0"/>
        <v>#VALUE!</v>
      </c>
      <c r="I10" s="5"/>
      <c r="J10" s="7"/>
      <c r="K10" s="175"/>
    </row>
    <row r="11" spans="2:11">
      <c r="B11" s="157" t="s">
        <v>29</v>
      </c>
      <c r="C11" s="145">
        <v>1378</v>
      </c>
      <c r="D11" s="145">
        <v>5.3629999999999997E-3</v>
      </c>
      <c r="E11" s="145">
        <v>1.641</v>
      </c>
      <c r="F11" s="161"/>
      <c r="G11" s="5"/>
      <c r="H11" s="160" t="e">
        <f t="shared" si="0"/>
        <v>#VALUE!</v>
      </c>
      <c r="I11" s="5"/>
      <c r="J11" s="7"/>
      <c r="K11" s="175"/>
    </row>
    <row r="12" spans="2:11">
      <c r="B12" s="157" t="s">
        <v>30</v>
      </c>
      <c r="C12" s="145"/>
      <c r="D12" s="145"/>
      <c r="E12" s="145"/>
      <c r="F12" s="161"/>
      <c r="G12" s="5"/>
      <c r="H12" s="160" t="e">
        <f t="shared" si="0"/>
        <v>#VALUE!</v>
      </c>
      <c r="I12" s="5"/>
      <c r="J12" s="7"/>
      <c r="K12" s="175"/>
    </row>
    <row r="13" spans="2:11" ht="13.5" thickBot="1">
      <c r="B13" s="158" t="s">
        <v>31</v>
      </c>
      <c r="C13" s="146">
        <v>1476</v>
      </c>
      <c r="D13" s="146">
        <v>4.5620000000000001E-3</v>
      </c>
      <c r="E13" s="146">
        <v>1.6419999999999999</v>
      </c>
      <c r="F13" s="162"/>
      <c r="G13" s="27"/>
      <c r="H13" s="169" t="e">
        <f t="shared" si="0"/>
        <v>#VALUE!</v>
      </c>
      <c r="I13" s="27"/>
      <c r="J13" s="37"/>
      <c r="K13" s="176"/>
    </row>
    <row r="14" spans="2:11" ht="13.5" thickBot="1">
      <c r="B14" s="648" t="s">
        <v>32</v>
      </c>
      <c r="C14" s="649"/>
      <c r="D14" s="649"/>
      <c r="E14" s="649"/>
      <c r="F14" s="649"/>
      <c r="G14" s="649"/>
      <c r="H14" s="649"/>
      <c r="I14" s="649"/>
      <c r="J14" s="649"/>
      <c r="K14" s="649"/>
    </row>
    <row r="15" spans="2:11" ht="26.25" thickBot="1">
      <c r="B15" s="147" t="s">
        <v>13</v>
      </c>
      <c r="C15" s="148" t="s">
        <v>14</v>
      </c>
      <c r="D15" s="148" t="s">
        <v>15</v>
      </c>
      <c r="E15" s="148" t="s">
        <v>16</v>
      </c>
      <c r="F15" s="149" t="s">
        <v>17</v>
      </c>
      <c r="G15" s="149" t="s">
        <v>33</v>
      </c>
      <c r="H15" s="150" t="s">
        <v>20</v>
      </c>
      <c r="I15" s="172" t="s">
        <v>34</v>
      </c>
      <c r="J15" s="149" t="s">
        <v>19</v>
      </c>
      <c r="K15" s="151" t="s">
        <v>35</v>
      </c>
    </row>
    <row r="16" spans="2:11" ht="16.5" thickTop="1">
      <c r="B16" s="183" t="s">
        <v>12</v>
      </c>
      <c r="C16" s="184">
        <v>1</v>
      </c>
      <c r="D16" s="185">
        <v>1</v>
      </c>
      <c r="E16" s="186">
        <v>1</v>
      </c>
      <c r="F16" s="164">
        <v>69.968299999999999</v>
      </c>
      <c r="G16" s="164">
        <v>68.075599999999994</v>
      </c>
      <c r="H16" s="153">
        <f>(J16/C16)^(1/E16)-D16</f>
        <v>77.286939999999987</v>
      </c>
      <c r="I16" s="223">
        <v>0</v>
      </c>
      <c r="J16" s="210">
        <f>+G16*$C$37</f>
        <v>78.286939999999987</v>
      </c>
      <c r="K16" s="209">
        <f>+H16+I16</f>
        <v>77.286939999999987</v>
      </c>
    </row>
    <row r="17" spans="2:11" ht="15.75">
      <c r="B17" s="187" t="s">
        <v>36</v>
      </c>
      <c r="C17" s="188">
        <v>980.1</v>
      </c>
      <c r="D17" s="188">
        <v>3.656E-3</v>
      </c>
      <c r="E17" s="188">
        <v>1.611</v>
      </c>
      <c r="F17" s="189">
        <v>31.849700000000002</v>
      </c>
      <c r="G17" s="189" t="e">
        <f>+'2_1'!#REF!</f>
        <v>#REF!</v>
      </c>
      <c r="H17" s="190" t="e">
        <f>((J17/C17)^(1/E17)-D17)*100</f>
        <v>#REF!</v>
      </c>
      <c r="I17" s="224">
        <v>0</v>
      </c>
      <c r="J17" s="210" t="e">
        <f t="shared" ref="J17:J33" si="1">+G17*$C$37</f>
        <v>#REF!</v>
      </c>
      <c r="K17" s="209" t="e">
        <f t="shared" ref="K17:K33" si="2">+H17+I17</f>
        <v>#REF!</v>
      </c>
    </row>
    <row r="18" spans="2:11" ht="15.75">
      <c r="B18" s="217" t="s">
        <v>37</v>
      </c>
      <c r="C18" s="232">
        <v>1953</v>
      </c>
      <c r="D18" s="232">
        <v>4.5979999999999997E-3</v>
      </c>
      <c r="E18" s="202">
        <v>1.641</v>
      </c>
      <c r="F18" s="196">
        <v>176.74199999999999</v>
      </c>
      <c r="G18" s="197" t="e">
        <f>+'3_1'!#REF!</f>
        <v>#REF!</v>
      </c>
      <c r="H18" s="198" t="e">
        <f>((J18/C18)^(1/E18)-D18)*100</f>
        <v>#REF!</v>
      </c>
      <c r="I18" s="225">
        <v>0</v>
      </c>
      <c r="J18" s="218" t="e">
        <f t="shared" si="1"/>
        <v>#REF!</v>
      </c>
      <c r="K18" s="219" t="e">
        <f t="shared" si="2"/>
        <v>#REF!</v>
      </c>
    </row>
    <row r="19" spans="2:11" ht="15.75">
      <c r="B19" s="227" t="s">
        <v>38</v>
      </c>
      <c r="C19" s="202">
        <v>1069</v>
      </c>
      <c r="D19" s="202">
        <v>4.0289999999999996E-3</v>
      </c>
      <c r="E19" s="202">
        <v>1.635</v>
      </c>
      <c r="F19" s="196" t="e">
        <f>+'4_1'!#REF!</f>
        <v>#REF!</v>
      </c>
      <c r="G19" s="196">
        <f>+'4_1'!H23</f>
        <v>0</v>
      </c>
      <c r="H19" s="198">
        <f>((J19/C19)^(1/E19)-D19)*100</f>
        <v>-0.40289999999999998</v>
      </c>
      <c r="I19" s="225">
        <v>0</v>
      </c>
      <c r="J19" s="218">
        <f t="shared" si="1"/>
        <v>0</v>
      </c>
      <c r="K19" s="219">
        <f t="shared" si="2"/>
        <v>-0.40289999999999998</v>
      </c>
    </row>
    <row r="20" spans="2:11" ht="15.75">
      <c r="B20" s="195" t="s">
        <v>39</v>
      </c>
      <c r="C20" s="202">
        <v>1231</v>
      </c>
      <c r="D20" s="202">
        <v>5.2700000000000004E-3</v>
      </c>
      <c r="E20" s="202">
        <v>1.635</v>
      </c>
      <c r="F20" s="196">
        <v>84.469099999999997</v>
      </c>
      <c r="G20" s="196">
        <f>+'5_1'!H24</f>
        <v>0</v>
      </c>
      <c r="H20" s="198">
        <f>((J20/C20)^(1/E20)-D20)*100</f>
        <v>-0.52700000000000002</v>
      </c>
      <c r="I20" s="225">
        <v>0</v>
      </c>
      <c r="J20" s="218">
        <f t="shared" si="1"/>
        <v>0</v>
      </c>
      <c r="K20" s="219">
        <f t="shared" si="2"/>
        <v>-0.52700000000000002</v>
      </c>
    </row>
    <row r="21" spans="2:11" ht="15.75">
      <c r="B21" s="194" t="s">
        <v>40</v>
      </c>
      <c r="C21" s="6">
        <v>0.54820000000000002</v>
      </c>
      <c r="D21" s="6">
        <v>0</v>
      </c>
      <c r="E21" s="6">
        <v>1.5249999999999999</v>
      </c>
      <c r="F21" s="165">
        <v>107.57830000000001</v>
      </c>
      <c r="G21" s="165" t="e">
        <f>+'6_1'!#REF!</f>
        <v>#REF!</v>
      </c>
      <c r="H21" s="179" t="e">
        <f>(J21/C21)^(1/E21)-D21</f>
        <v>#REF!</v>
      </c>
      <c r="I21" s="223">
        <v>0</v>
      </c>
      <c r="J21" s="210" t="e">
        <f t="shared" si="1"/>
        <v>#REF!</v>
      </c>
      <c r="K21" s="209" t="e">
        <f t="shared" si="2"/>
        <v>#REF!</v>
      </c>
    </row>
    <row r="22" spans="2:11" ht="15.75">
      <c r="B22" s="193" t="s">
        <v>41</v>
      </c>
      <c r="C22" s="191">
        <v>1.1439999999999999</v>
      </c>
      <c r="D22" s="191">
        <v>0</v>
      </c>
      <c r="E22" s="191">
        <v>1.5569999999999999</v>
      </c>
      <c r="F22" s="189">
        <v>530.51369999999997</v>
      </c>
      <c r="G22" s="192">
        <f>+'15_1'!H74</f>
        <v>0</v>
      </c>
      <c r="H22" s="190">
        <f>((J22/C22)^(1/E22)-D22)*100</f>
        <v>0</v>
      </c>
      <c r="I22" s="224">
        <v>17</v>
      </c>
      <c r="J22" s="215">
        <f t="shared" si="1"/>
        <v>0</v>
      </c>
      <c r="K22" s="216">
        <f t="shared" si="2"/>
        <v>17</v>
      </c>
    </row>
    <row r="23" spans="2:11" ht="15.75">
      <c r="B23" s="199" t="s">
        <v>42</v>
      </c>
      <c r="C23" s="6">
        <v>1</v>
      </c>
      <c r="D23" s="6">
        <v>1</v>
      </c>
      <c r="E23" s="6">
        <v>1</v>
      </c>
      <c r="F23" s="165">
        <v>26.537100000000002</v>
      </c>
      <c r="G23" s="166">
        <f>+'8_1'!H15</f>
        <v>0</v>
      </c>
      <c r="H23" s="153">
        <f>(J23/C23)^(1/E23)-D23</f>
        <v>-1</v>
      </c>
      <c r="I23" s="223">
        <v>0</v>
      </c>
      <c r="J23" s="210">
        <f t="shared" si="1"/>
        <v>0</v>
      </c>
      <c r="K23" s="209">
        <f t="shared" si="2"/>
        <v>-1</v>
      </c>
    </row>
    <row r="24" spans="2:11" ht="15.75">
      <c r="B24" s="217" t="s">
        <v>43</v>
      </c>
      <c r="C24" s="202">
        <v>2075</v>
      </c>
      <c r="D24" s="202">
        <v>3.8400000000000001E-3</v>
      </c>
      <c r="E24" s="202">
        <v>1.621</v>
      </c>
      <c r="F24" s="196" t="str">
        <f>+'9_1'!F43</f>
        <v>SI</v>
      </c>
      <c r="G24" s="197">
        <f>+'9_1'!H43</f>
        <v>4.1391200000000001</v>
      </c>
      <c r="H24" s="198">
        <f t="shared" ref="H24:H29" si="3">((J24/C24)^(1/E24)-D24)*100</f>
        <v>1.9696304985288742</v>
      </c>
      <c r="I24" s="225">
        <v>19</v>
      </c>
      <c r="J24" s="218">
        <f t="shared" si="1"/>
        <v>4.7599879999999999</v>
      </c>
      <c r="K24" s="219">
        <f t="shared" si="2"/>
        <v>20.969630498528876</v>
      </c>
    </row>
    <row r="25" spans="2:11" ht="15.75">
      <c r="B25" s="217" t="s">
        <v>44</v>
      </c>
      <c r="C25" s="202">
        <v>1684</v>
      </c>
      <c r="D25" s="202">
        <v>3.8249999999999998E-3</v>
      </c>
      <c r="E25" s="202">
        <v>1.63</v>
      </c>
      <c r="F25" s="196">
        <f>+'10_1'!E21</f>
        <v>4</v>
      </c>
      <c r="G25" s="196">
        <f>+'10_1'!H21</f>
        <v>3.2</v>
      </c>
      <c r="H25" s="198">
        <f t="shared" si="3"/>
        <v>1.9498564697272105</v>
      </c>
      <c r="I25" s="225">
        <v>15</v>
      </c>
      <c r="J25" s="218">
        <f t="shared" si="1"/>
        <v>3.6799999999999997</v>
      </c>
      <c r="K25" s="219">
        <f t="shared" si="2"/>
        <v>16.949856469727209</v>
      </c>
    </row>
    <row r="26" spans="2:11" ht="15.75">
      <c r="B26" s="200" t="s">
        <v>45</v>
      </c>
      <c r="C26" s="6">
        <v>1</v>
      </c>
      <c r="D26" s="6">
        <v>1</v>
      </c>
      <c r="E26" s="6">
        <v>1</v>
      </c>
      <c r="F26" s="165">
        <v>23.4102</v>
      </c>
      <c r="G26" s="165">
        <f>+'12_1'!H86</f>
        <v>0.54010000000000002</v>
      </c>
      <c r="H26" s="201">
        <f t="shared" si="3"/>
        <v>-37.888500000000001</v>
      </c>
      <c r="I26" s="223">
        <v>0</v>
      </c>
      <c r="J26" s="210">
        <f t="shared" si="1"/>
        <v>0.62111499999999997</v>
      </c>
      <c r="K26" s="209">
        <f t="shared" si="2"/>
        <v>-37.888500000000001</v>
      </c>
    </row>
    <row r="27" spans="2:11" ht="15.75">
      <c r="B27" s="195" t="s">
        <v>46</v>
      </c>
      <c r="C27" s="202">
        <v>1425</v>
      </c>
      <c r="D27" s="202">
        <v>2.9550000000000002E-3</v>
      </c>
      <c r="E27" s="202">
        <v>1.603</v>
      </c>
      <c r="F27" s="196">
        <f>+'12_1'!E16</f>
        <v>22.534500000000001</v>
      </c>
      <c r="G27" s="196">
        <f>+'12_1'!H16</f>
        <v>18.027600000000003</v>
      </c>
      <c r="H27" s="198">
        <f t="shared" si="3"/>
        <v>6.8480151622916781</v>
      </c>
      <c r="I27" s="225">
        <v>21</v>
      </c>
      <c r="J27" s="213">
        <f t="shared" si="1"/>
        <v>20.731740000000002</v>
      </c>
      <c r="K27" s="214">
        <f t="shared" si="2"/>
        <v>27.848015162291677</v>
      </c>
    </row>
    <row r="28" spans="2:11" ht="15.75">
      <c r="B28" s="195" t="s">
        <v>47</v>
      </c>
      <c r="C28" s="202">
        <v>1703</v>
      </c>
      <c r="D28" s="202">
        <v>2.3600000000000001E-3</v>
      </c>
      <c r="E28" s="202">
        <v>1.6020000000000001</v>
      </c>
      <c r="F28" s="196">
        <v>78.634599999999978</v>
      </c>
      <c r="G28" s="196" t="e">
        <f>+'13_1'!#REF!</f>
        <v>#REF!</v>
      </c>
      <c r="H28" s="198" t="e">
        <f t="shared" si="3"/>
        <v>#REF!</v>
      </c>
      <c r="I28" s="225">
        <v>18</v>
      </c>
      <c r="J28" s="213" t="e">
        <f t="shared" si="1"/>
        <v>#REF!</v>
      </c>
      <c r="K28" s="214" t="e">
        <f t="shared" si="2"/>
        <v>#REF!</v>
      </c>
    </row>
    <row r="29" spans="2:11" ht="15.75">
      <c r="B29" s="195" t="s">
        <v>48</v>
      </c>
      <c r="C29" s="202">
        <v>1484</v>
      </c>
      <c r="D29" s="202">
        <v>0</v>
      </c>
      <c r="E29" s="202">
        <v>1.623</v>
      </c>
      <c r="F29" s="196">
        <v>238.11770000000004</v>
      </c>
      <c r="G29" s="196" t="e">
        <f>+#REF!</f>
        <v>#REF!</v>
      </c>
      <c r="H29" s="198" t="e">
        <f t="shared" si="3"/>
        <v>#REF!</v>
      </c>
      <c r="I29" s="225">
        <v>15</v>
      </c>
      <c r="J29" s="213" t="e">
        <f t="shared" si="1"/>
        <v>#REF!</v>
      </c>
      <c r="K29" s="214" t="e">
        <f t="shared" si="2"/>
        <v>#REF!</v>
      </c>
    </row>
    <row r="30" spans="2:11" ht="15.75">
      <c r="B30" s="200" t="s">
        <v>49</v>
      </c>
      <c r="C30" s="6">
        <v>1336</v>
      </c>
      <c r="D30" s="6">
        <v>4.8820000000000001E-3</v>
      </c>
      <c r="E30" s="6">
        <v>1.64</v>
      </c>
      <c r="F30" s="165">
        <v>111.22059999999999</v>
      </c>
      <c r="G30" s="165" t="e">
        <f>+#REF!</f>
        <v>#REF!</v>
      </c>
      <c r="H30" s="153" t="e">
        <f>(J30/C30)^(1/E30)-D30</f>
        <v>#REF!</v>
      </c>
      <c r="I30" s="223">
        <v>0</v>
      </c>
      <c r="J30" s="210" t="e">
        <f t="shared" si="1"/>
        <v>#REF!</v>
      </c>
      <c r="K30" s="209" t="e">
        <f t="shared" si="2"/>
        <v>#REF!</v>
      </c>
    </row>
    <row r="31" spans="2:11" ht="15.75">
      <c r="B31" s="200" t="s">
        <v>50</v>
      </c>
      <c r="C31" s="6">
        <v>1336</v>
      </c>
      <c r="D31" s="6">
        <v>4.8820000000000001E-3</v>
      </c>
      <c r="E31" s="6">
        <v>1.64</v>
      </c>
      <c r="F31" s="165">
        <v>94.426500000000019</v>
      </c>
      <c r="G31" s="165" t="e">
        <f>+Hijuelas!#REF!</f>
        <v>#REF!</v>
      </c>
      <c r="H31" s="153" t="e">
        <f>(J31/C31)^(1/E31)-D31</f>
        <v>#REF!</v>
      </c>
      <c r="I31" s="223">
        <v>0</v>
      </c>
      <c r="J31" s="210" t="e">
        <f t="shared" si="1"/>
        <v>#REF!</v>
      </c>
      <c r="K31" s="209" t="e">
        <f t="shared" si="2"/>
        <v>#REF!</v>
      </c>
    </row>
    <row r="32" spans="2:11" ht="15.75">
      <c r="B32" s="200" t="s">
        <v>51</v>
      </c>
      <c r="C32" s="6">
        <v>1336</v>
      </c>
      <c r="D32" s="6">
        <v>4.8820000000000001E-3</v>
      </c>
      <c r="E32" s="6">
        <v>1.64</v>
      </c>
      <c r="F32" s="165">
        <v>473.12740000000014</v>
      </c>
      <c r="G32" s="165">
        <v>362.48690000000011</v>
      </c>
      <c r="H32" s="153">
        <f>(J32/C32)^(1/E32)-D32</f>
        <v>0.4866767439330496</v>
      </c>
      <c r="I32" s="223">
        <v>0</v>
      </c>
      <c r="J32" s="210">
        <f t="shared" si="1"/>
        <v>416.85993500000006</v>
      </c>
      <c r="K32" s="209">
        <f t="shared" si="2"/>
        <v>0.4866767439330496</v>
      </c>
    </row>
    <row r="33" spans="2:11" ht="16.5" thickBot="1">
      <c r="B33" s="203" t="s">
        <v>52</v>
      </c>
      <c r="C33" s="29">
        <v>1336</v>
      </c>
      <c r="D33" s="29">
        <v>4.8820000000000001E-3</v>
      </c>
      <c r="E33" s="29">
        <v>1.64</v>
      </c>
      <c r="F33" s="167">
        <v>700.2571200000001</v>
      </c>
      <c r="G33" s="167">
        <v>555.87221999999997</v>
      </c>
      <c r="H33" s="168">
        <f>(J33/C33)^(1/E33)-D33</f>
        <v>0.63308256429251408</v>
      </c>
      <c r="I33" s="226">
        <v>0</v>
      </c>
      <c r="J33" s="211">
        <f t="shared" si="1"/>
        <v>639.25305299999991</v>
      </c>
      <c r="K33" s="212">
        <f t="shared" si="2"/>
        <v>0.63308256429251408</v>
      </c>
    </row>
    <row r="34" spans="2:11" ht="16.5" thickBot="1">
      <c r="C34" s="156"/>
      <c r="G34" s="178" t="e">
        <f>SUM(G16:G33)</f>
        <v>#REF!</v>
      </c>
    </row>
    <row r="35" spans="2:11">
      <c r="B35" s="22" t="s">
        <v>53</v>
      </c>
      <c r="C35" s="235" t="e">
        <f>+G34</f>
        <v>#REF!</v>
      </c>
    </row>
    <row r="36" spans="2:11">
      <c r="B36" s="24" t="s">
        <v>54</v>
      </c>
      <c r="C36" s="26">
        <v>2500</v>
      </c>
    </row>
    <row r="37" spans="2:11" ht="13.5" thickBot="1">
      <c r="B37" s="97" t="s">
        <v>55</v>
      </c>
      <c r="C37" s="28">
        <v>1.1499999999999999</v>
      </c>
    </row>
    <row r="38" spans="2:11" ht="15.75">
      <c r="C38" s="156"/>
    </row>
    <row r="39" spans="2:11" ht="15.75">
      <c r="C39" s="156"/>
    </row>
    <row r="40" spans="2:11" ht="15.75">
      <c r="C40" s="156"/>
    </row>
  </sheetData>
  <mergeCells count="3">
    <mergeCell ref="B3:K3"/>
    <mergeCell ref="B14:K14"/>
    <mergeCell ref="C2:E2"/>
  </mergeCells>
  <phoneticPr fontId="0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32"/>
  <dimension ref="A1:H271"/>
  <sheetViews>
    <sheetView view="pageBreakPreview" zoomScale="60" zoomScaleNormal="75" workbookViewId="0" xr3:uid="{34904945-5288-588E-9F07-34343C13E9F2}">
      <selection activeCell="K24" sqref="K24"/>
    </sheetView>
  </sheetViews>
  <sheetFormatPr defaultRowHeight="12.75"/>
  <cols>
    <col min="1" max="2" width="11.42578125" customWidth="1"/>
    <col min="3" max="3" width="11.7109375" bestFit="1" customWidth="1"/>
    <col min="4" max="4" width="22.28515625" bestFit="1" customWidth="1"/>
    <col min="5" max="5" width="11.42578125" customWidth="1"/>
    <col min="6" max="6" width="11.7109375" bestFit="1" customWidth="1"/>
    <col min="7" max="7" width="34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VLOOKUP(G5,'7_1'!$A$12:$G$40,7,0)</f>
        <v>SERRESONE DE MASSO, ROSA ANTONIA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+'7_1'!$H$2</f>
        <v>Hijuela 2da. El carmen Ramo 1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VLOOKUP(G5,'7_1'!$A$12:$B$40,2,0)</f>
        <v>1252</v>
      </c>
      <c r="D7" s="76"/>
      <c r="E7" s="635" t="s">
        <v>184</v>
      </c>
      <c r="F7" s="347">
        <f>DSUM('7_1'!A$12:J$39,'7_1'!$J$12,G4:G5)</f>
        <v>0.60356770170603569</v>
      </c>
      <c r="G7" s="382"/>
      <c r="H7" s="76"/>
    </row>
    <row r="8" spans="1:8">
      <c r="A8" s="381"/>
      <c r="B8" s="635" t="s">
        <v>185</v>
      </c>
      <c r="C8" s="374">
        <v>61</v>
      </c>
      <c r="D8" s="76"/>
      <c r="E8" s="635" t="s">
        <v>186</v>
      </c>
      <c r="F8" s="368" t="str">
        <f>IF(VLOOKUP(G5,'7_1'!$A$12:$D$40,4,0)=2,"Eventual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DSUM('7_1'!$A$12:$H$39,'7_1'!$H$12,G4:G5)</f>
        <v>23.215360000000004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DMIN('7_1'!A$12:K$39,'7_1'!$K$12,G4:G5)</f>
        <v>42749.75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 t="s">
        <v>70</v>
      </c>
      <c r="H10" s="76"/>
    </row>
    <row r="11" spans="1:8" ht="15.75">
      <c r="A11" s="381"/>
      <c r="B11" s="76"/>
      <c r="C11" s="635" t="s">
        <v>190</v>
      </c>
      <c r="D11" s="107">
        <f>DMAX('7_1'!A$12:L$39,'7_1'!$L$12,G4:G5)</f>
        <v>42750.353567701706</v>
      </c>
      <c r="E11" s="127" t="str">
        <f>IF(F11=1,"Domingo",IF(F11=2,"Lunes",IF(F11=3,"Martes",IF(F11=4,"Miercoles",IF(F11=5,"Jueves",IF(F11=6,"Viernes",IF(F11=7,"Sábado",0)))))))</f>
        <v>Domingo</v>
      </c>
      <c r="F11" s="128">
        <f>WEEKDAY(D11)</f>
        <v>1</v>
      </c>
      <c r="G11" s="385">
        <f>WEEKDAY(D11)</f>
        <v>1</v>
      </c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377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377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IF(DSUM('7_1'!$A$12:$P$63,16,G4:G5)=COUNTIF('7_1'!$A$40:$A$63,G5),"","Regularice su Deuda")</f>
        <v>Regularice su Deuda</v>
      </c>
      <c r="C16" s="326"/>
      <c r="D16" s="326"/>
      <c r="E16" s="326"/>
      <c r="F16" s="326"/>
      <c r="G16" s="388"/>
      <c r="H16" s="76">
        <f>12*17</f>
        <v>204</v>
      </c>
    </row>
    <row r="17" spans="2:7" ht="13.5" thickBot="1"/>
    <row r="18" spans="2:7">
      <c r="B18" s="379"/>
      <c r="C18" s="379"/>
      <c r="D18" s="379"/>
      <c r="E18" s="379"/>
      <c r="F18" s="379"/>
      <c r="G18" s="380"/>
    </row>
    <row r="19" spans="2:7">
      <c r="B19" s="109" t="s">
        <v>82</v>
      </c>
      <c r="C19" s="76"/>
      <c r="D19" s="76"/>
      <c r="E19" s="76"/>
      <c r="F19" s="76"/>
      <c r="G19" s="382"/>
    </row>
    <row r="20" spans="2:7">
      <c r="B20" s="76"/>
      <c r="C20" s="76"/>
      <c r="D20" s="76"/>
      <c r="E20" s="76"/>
      <c r="F20" s="76"/>
      <c r="G20" s="382"/>
    </row>
    <row r="21" spans="2:7">
      <c r="B21" s="76" t="s">
        <v>182</v>
      </c>
      <c r="C21" s="76" t="str">
        <f>VLOOKUP(G22,'7_1'!$A$12:$G$40,7,0)</f>
        <v>SERRESONE DE MASSO, ROSA ANTONIA</v>
      </c>
      <c r="D21" s="76"/>
      <c r="E21" s="76"/>
      <c r="F21" s="76"/>
      <c r="G21" s="383" t="s">
        <v>134</v>
      </c>
    </row>
    <row r="22" spans="2:7">
      <c r="B22" s="76" t="s">
        <v>91</v>
      </c>
      <c r="C22" s="76" t="str">
        <f>+'7_1'!$H$2</f>
        <v>Hijuela 2da. El carmen Ramo 1</v>
      </c>
      <c r="D22" s="76"/>
      <c r="E22" s="76"/>
      <c r="F22" s="76"/>
      <c r="G22" s="383">
        <v>2</v>
      </c>
    </row>
    <row r="23" spans="2:7">
      <c r="B23" s="76"/>
      <c r="C23" s="76"/>
      <c r="D23" s="76"/>
      <c r="E23" s="76"/>
      <c r="F23" s="76"/>
      <c r="G23" s="382"/>
    </row>
    <row r="24" spans="2:7">
      <c r="B24" s="635" t="s">
        <v>183</v>
      </c>
      <c r="C24" s="331">
        <f>VLOOKUP(G22,'7_1'!$A$12:$B$40,2,0)</f>
        <v>1252</v>
      </c>
      <c r="D24" s="76"/>
      <c r="E24" s="635" t="s">
        <v>184</v>
      </c>
      <c r="F24" s="347">
        <f>DSUM('7_1'!A$12:J$39,'7_1'!$J$12,G21:G22)</f>
        <v>0.36980460303293389</v>
      </c>
      <c r="G24" s="382"/>
    </row>
    <row r="25" spans="2:7">
      <c r="B25" s="635" t="s">
        <v>185</v>
      </c>
      <c r="C25" s="374">
        <v>34</v>
      </c>
      <c r="D25" s="76"/>
      <c r="E25" s="635" t="s">
        <v>186</v>
      </c>
      <c r="F25" s="368" t="str">
        <f>IF(VLOOKUP(G22,'7_1'!$A$12:$D$40,4,0)=2,"Eventual 80%","Definitivo 100%")</f>
        <v>Eventual 80%</v>
      </c>
      <c r="G25" s="382"/>
    </row>
    <row r="26" spans="2:7">
      <c r="B26" s="635" t="s">
        <v>187</v>
      </c>
      <c r="C26" s="375">
        <f>DSUM('7_1'!$A$12:$H$39,'7_1'!$H$12,G21:G22)</f>
        <v>14.224000000000002</v>
      </c>
      <c r="D26" s="76"/>
      <c r="E26" s="635" t="s">
        <v>188</v>
      </c>
      <c r="F26" s="369" t="str">
        <f>+Hijuelas!$G$5</f>
        <v>fracción</v>
      </c>
      <c r="G26" s="384"/>
    </row>
    <row r="27" spans="2:7" ht="15.75">
      <c r="B27" s="76"/>
      <c r="C27" s="635" t="s">
        <v>189</v>
      </c>
      <c r="D27" s="107">
        <f>DMIN('7_1'!A$12:K$39,'7_1'!$K$12,G21:G22)</f>
        <v>42750.353567701706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385" t="s">
        <v>70</v>
      </c>
    </row>
    <row r="28" spans="2:7" ht="15.75">
      <c r="B28" s="76"/>
      <c r="C28" s="635" t="s">
        <v>190</v>
      </c>
      <c r="D28" s="107">
        <f>DMAX('7_1'!A$12:L$39,'7_1'!$L$12,G21:G22)</f>
        <v>42750.723372304739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385">
        <f>WEEKDAY(D28)</f>
        <v>1</v>
      </c>
    </row>
    <row r="29" spans="2:7">
      <c r="B29" s="76"/>
      <c r="C29" s="76"/>
      <c r="D29" s="76"/>
      <c r="E29" s="76"/>
      <c r="F29" s="106"/>
      <c r="G29" s="384"/>
    </row>
    <row r="30" spans="2:7">
      <c r="B30" s="377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2:7">
      <c r="B31" s="377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2:7">
      <c r="B32" s="108"/>
      <c r="C32" s="76"/>
      <c r="D32" s="76"/>
      <c r="E32" s="76"/>
      <c r="F32" s="76"/>
      <c r="G32" s="382"/>
    </row>
    <row r="33" spans="2:7" ht="13.5" thickBot="1">
      <c r="B33" s="387" t="str">
        <f>IF(DSUM('7_1'!$A$12:$P$63,16,G21:G22)=COUNTIF('7_1'!$A$40:$A$63,G22),"","Regularice su Deuda")</f>
        <v>Regularice su Deuda</v>
      </c>
      <c r="C33" s="326"/>
      <c r="D33" s="326"/>
      <c r="E33" s="326"/>
      <c r="F33" s="326"/>
      <c r="G33" s="388"/>
    </row>
    <row r="34" spans="2:7" ht="13.5" thickBot="1"/>
    <row r="35" spans="2:7">
      <c r="B35" s="379"/>
      <c r="C35" s="379"/>
      <c r="D35" s="379"/>
      <c r="E35" s="379"/>
      <c r="F35" s="379"/>
      <c r="G35" s="380"/>
    </row>
    <row r="36" spans="2:7">
      <c r="B36" s="109" t="s">
        <v>82</v>
      </c>
      <c r="C36" s="76"/>
      <c r="D36" s="76"/>
      <c r="E36" s="76"/>
      <c r="F36" s="76"/>
      <c r="G36" s="382"/>
    </row>
    <row r="37" spans="2:7">
      <c r="B37" s="76"/>
      <c r="C37" s="76"/>
      <c r="D37" s="76"/>
      <c r="E37" s="76"/>
      <c r="F37" s="76"/>
      <c r="G37" s="382"/>
    </row>
    <row r="38" spans="2:7">
      <c r="B38" s="76" t="s">
        <v>182</v>
      </c>
      <c r="C38" s="76" t="str">
        <f>VLOOKUP(G39,'7_1'!$A$12:$G$40,7,0)</f>
        <v>LAMANTIA, SALVADOR CARLOS Y LAMANTIA, JOSE</v>
      </c>
      <c r="D38" s="76"/>
      <c r="E38" s="76"/>
      <c r="F38" s="76"/>
      <c r="G38" s="383" t="s">
        <v>134</v>
      </c>
    </row>
    <row r="39" spans="2:7">
      <c r="B39" s="76" t="s">
        <v>91</v>
      </c>
      <c r="C39" s="76" t="str">
        <f>+'7_1'!$H$2</f>
        <v>Hijuela 2da. El carmen Ramo 1</v>
      </c>
      <c r="D39" s="76"/>
      <c r="E39" s="76"/>
      <c r="F39" s="76"/>
      <c r="G39" s="383">
        <v>3</v>
      </c>
    </row>
    <row r="40" spans="2:7">
      <c r="B40" s="76"/>
      <c r="C40" s="76"/>
      <c r="D40" s="76"/>
      <c r="E40" s="76"/>
      <c r="F40" s="76"/>
      <c r="G40" s="382"/>
    </row>
    <row r="41" spans="2:7">
      <c r="B41" s="635" t="s">
        <v>183</v>
      </c>
      <c r="C41" s="331">
        <f>VLOOKUP(G39,'7_1'!$A$12:$B$40,2,0)</f>
        <v>1252</v>
      </c>
      <c r="D41" s="76"/>
      <c r="E41" s="635" t="s">
        <v>184</v>
      </c>
      <c r="F41" s="347">
        <f>DSUM('7_1'!A$12:J$39,'7_1'!$J$12,G38:G39)</f>
        <v>1.0325348015515219</v>
      </c>
      <c r="G41" s="382"/>
    </row>
    <row r="42" spans="2:7">
      <c r="B42" s="635" t="s">
        <v>185</v>
      </c>
      <c r="C42" s="374" t="s">
        <v>334</v>
      </c>
      <c r="D42" s="76"/>
      <c r="E42" s="635" t="s">
        <v>186</v>
      </c>
      <c r="F42" s="368" t="str">
        <f>IF(VLOOKUP(G39,'7_1'!$A$12:$D$40,4,0)=2,"Eventual 80%","Definitivo 100%")</f>
        <v>Eventual 80%</v>
      </c>
      <c r="G42" s="382"/>
    </row>
    <row r="43" spans="2:7">
      <c r="B43" s="635" t="s">
        <v>187</v>
      </c>
      <c r="C43" s="375">
        <f>DSUM('7_1'!$A$12:$H$39,'7_1'!$H$12,G38:G39)</f>
        <v>39.714960000000005</v>
      </c>
      <c r="D43" s="76"/>
      <c r="E43" s="635" t="s">
        <v>188</v>
      </c>
      <c r="F43" s="369" t="str">
        <f>+Hijuelas!$G$5</f>
        <v>fracción</v>
      </c>
      <c r="G43" s="384"/>
    </row>
    <row r="44" spans="2:7" ht="15.75">
      <c r="B44" s="76"/>
      <c r="C44" s="635" t="s">
        <v>189</v>
      </c>
      <c r="D44" s="107">
        <f>DMIN('7_1'!A$12:K$39,'7_1'!$K$12,G38:G39)</f>
        <v>42750.723372304739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385" t="s">
        <v>70</v>
      </c>
    </row>
    <row r="45" spans="2:7" ht="15.75">
      <c r="B45" s="76"/>
      <c r="C45" s="635" t="s">
        <v>190</v>
      </c>
      <c r="D45" s="107">
        <f>DMAX('7_1'!A$12:L$39,'7_1'!$L$12,G38:G39)</f>
        <v>42751.755907106293</v>
      </c>
      <c r="E45" s="127" t="str">
        <f>IF(F45=1,"Domingo",IF(F45=2,"Lunes",IF(F45=3,"Martes",IF(F45=4,"Miercoles",IF(F45=5,"Jueves",IF(F45=6,"Viernes",IF(F45=7,"Sábado",0)))))))</f>
        <v>Lunes</v>
      </c>
      <c r="F45" s="128">
        <f>WEEKDAY(D45)</f>
        <v>2</v>
      </c>
      <c r="G45" s="385">
        <f>WEEKDAY(D45)</f>
        <v>2</v>
      </c>
    </row>
    <row r="46" spans="2:7">
      <c r="B46" s="76"/>
      <c r="C46" s="76"/>
      <c r="D46" s="76"/>
      <c r="E46" s="76"/>
      <c r="F46" s="106"/>
      <c r="G46" s="384"/>
    </row>
    <row r="47" spans="2:7">
      <c r="B47" s="377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2:7">
      <c r="B48" s="377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2:7">
      <c r="B49" s="108"/>
      <c r="C49" s="76"/>
      <c r="D49" s="76"/>
      <c r="E49" s="76"/>
      <c r="F49" s="76"/>
      <c r="G49" s="382"/>
    </row>
    <row r="50" spans="2:7" ht="13.5" thickBot="1">
      <c r="B50" s="387" t="str">
        <f>IF(DSUM('7_1'!$A$12:$P$63,16,G38:G39)=COUNTIF('7_1'!$A$40:$A$63,G39),"","Regularice su Deuda")</f>
        <v>Regularice su Deuda</v>
      </c>
      <c r="C50" s="326"/>
      <c r="D50" s="326"/>
      <c r="E50" s="326"/>
      <c r="F50" s="326"/>
      <c r="G50" s="388"/>
    </row>
    <row r="51" spans="2:7" ht="13.5" thickBot="1"/>
    <row r="52" spans="2:7">
      <c r="B52" s="379"/>
      <c r="C52" s="379"/>
      <c r="D52" s="379"/>
      <c r="E52" s="379"/>
      <c r="F52" s="379"/>
      <c r="G52" s="380"/>
    </row>
    <row r="53" spans="2:7">
      <c r="B53" s="109" t="s">
        <v>82</v>
      </c>
      <c r="C53" s="76"/>
      <c r="D53" s="76"/>
      <c r="E53" s="76"/>
      <c r="F53" s="76"/>
      <c r="G53" s="382"/>
    </row>
    <row r="54" spans="2:7">
      <c r="B54" s="76"/>
      <c r="C54" s="76"/>
      <c r="D54" s="76"/>
      <c r="E54" s="76"/>
      <c r="F54" s="76"/>
      <c r="G54" s="382"/>
    </row>
    <row r="55" spans="2:7">
      <c r="B55" s="76" t="s">
        <v>182</v>
      </c>
      <c r="C55" s="76" t="str">
        <f>VLOOKUP(G56,'7_1'!$A$12:$G$40,7,0)</f>
        <v>BARELLO, ANTONIO; BARELLO, MARCIANO Y BARELLO, JUAN</v>
      </c>
      <c r="D55" s="76"/>
      <c r="E55" s="76"/>
      <c r="F55" s="76"/>
      <c r="G55" s="383" t="s">
        <v>134</v>
      </c>
    </row>
    <row r="56" spans="2:7">
      <c r="B56" s="76" t="s">
        <v>91</v>
      </c>
      <c r="C56" s="76" t="str">
        <f>+'7_1'!$H$2</f>
        <v>Hijuela 2da. El carmen Ramo 1</v>
      </c>
      <c r="D56" s="76"/>
      <c r="E56" s="76"/>
      <c r="F56" s="76"/>
      <c r="G56" s="383">
        <v>4</v>
      </c>
    </row>
    <row r="57" spans="2:7">
      <c r="B57" s="76"/>
      <c r="C57" s="76"/>
      <c r="D57" s="76"/>
      <c r="E57" s="76"/>
      <c r="F57" s="76"/>
      <c r="G57" s="382"/>
    </row>
    <row r="58" spans="2:7">
      <c r="B58" s="635" t="s">
        <v>183</v>
      </c>
      <c r="C58" s="331">
        <f>VLOOKUP(G56,'7_1'!$A$12:$B$40,2,0)</f>
        <v>1252</v>
      </c>
      <c r="D58" s="76"/>
      <c r="E58" s="635" t="s">
        <v>184</v>
      </c>
      <c r="F58" s="347">
        <f>DSUM('7_1'!A$12:J$39,'7_1'!$J$12,G55:G56)</f>
        <v>0.38265416904833016</v>
      </c>
      <c r="G58" s="382"/>
    </row>
    <row r="59" spans="2:7">
      <c r="B59" s="635" t="s">
        <v>185</v>
      </c>
      <c r="C59" s="374" t="s">
        <v>335</v>
      </c>
      <c r="D59" s="76"/>
      <c r="E59" s="635" t="s">
        <v>186</v>
      </c>
      <c r="F59" s="368" t="str">
        <f>IF(VLOOKUP(G56,'7_1'!$A$12:$D$40,4,0)=2,"Eventual 80%","Definitivo 100%")</f>
        <v>Eventual 80%</v>
      </c>
      <c r="G59" s="382"/>
    </row>
    <row r="60" spans="2:7">
      <c r="B60" s="635" t="s">
        <v>187</v>
      </c>
      <c r="C60" s="375">
        <f>DSUM('7_1'!$A$12:$H$39,'7_1'!$H$12,G55:G56)</f>
        <v>14.718240000000002</v>
      </c>
      <c r="D60" s="76"/>
      <c r="E60" s="635" t="s">
        <v>188</v>
      </c>
      <c r="F60" s="369" t="str">
        <f>+Hijuelas!$G$5</f>
        <v>fracción</v>
      </c>
      <c r="G60" s="384"/>
    </row>
    <row r="61" spans="2:7" ht="15.75">
      <c r="B61" s="76"/>
      <c r="C61" s="635" t="s">
        <v>189</v>
      </c>
      <c r="D61" s="107">
        <f>DMIN('7_1'!A$12:K$39,'7_1'!$K$12,G55:G56)</f>
        <v>42751.755907106293</v>
      </c>
      <c r="E61" s="127" t="str">
        <f>IF(F61=1,"Domingo",IF(F61=2,"Lunes",IF(F61=3,"Martes",IF(F61=4,"Miercoles",IF(F61=5,"Jueves",IF(F61=6,"Viernes",IF(F61=7,"Sábado",0)))))))</f>
        <v>Lunes</v>
      </c>
      <c r="F61" s="128">
        <f>WEEKDAY(D61)</f>
        <v>2</v>
      </c>
      <c r="G61" s="385" t="s">
        <v>70</v>
      </c>
    </row>
    <row r="62" spans="2:7" ht="15.75">
      <c r="B62" s="76"/>
      <c r="C62" s="635" t="s">
        <v>190</v>
      </c>
      <c r="D62" s="107">
        <f>DMAX('7_1'!A$12:L$39,'7_1'!$L$12,G55:G56)</f>
        <v>42752.138561275337</v>
      </c>
      <c r="E62" s="127" t="str">
        <f>IF(F62=1,"Domingo",IF(F62=2,"Lunes",IF(F62=3,"Martes",IF(F62=4,"Miercoles",IF(F62=5,"Jueves",IF(F62=6,"Viernes",IF(F62=7,"Sábado",0)))))))</f>
        <v>Martes</v>
      </c>
      <c r="F62" s="128">
        <f>WEEKDAY(D62)</f>
        <v>3</v>
      </c>
      <c r="G62" s="385">
        <f>WEEKDAY(D62)</f>
        <v>3</v>
      </c>
    </row>
    <row r="63" spans="2:7">
      <c r="B63" s="76"/>
      <c r="C63" s="76"/>
      <c r="D63" s="76"/>
      <c r="E63" s="76"/>
      <c r="F63" s="106"/>
      <c r="G63" s="384"/>
    </row>
    <row r="64" spans="2:7">
      <c r="B64" s="377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2:7">
      <c r="B65" s="377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2:7">
      <c r="B66" s="108"/>
      <c r="C66" s="76"/>
      <c r="D66" s="76"/>
      <c r="E66" s="76"/>
      <c r="F66" s="76"/>
      <c r="G66" s="382"/>
    </row>
    <row r="67" spans="2:7" ht="13.5" thickBot="1">
      <c r="B67" s="387" t="str">
        <f>IF(DSUM('7_1'!$A$12:$P$63,16,G55:G56)=COUNTIF('7_1'!$A$40:$A$63,G56),"","Regularice su Deuda")</f>
        <v>Regularice su Deuda</v>
      </c>
      <c r="C67" s="326"/>
      <c r="D67" s="326"/>
      <c r="E67" s="326"/>
      <c r="F67" s="326"/>
      <c r="G67" s="388"/>
    </row>
    <row r="68" spans="2:7" ht="13.5" thickBot="1"/>
    <row r="69" spans="2:7">
      <c r="B69" s="379"/>
      <c r="C69" s="379"/>
      <c r="D69" s="379"/>
      <c r="E69" s="379"/>
      <c r="F69" s="379"/>
      <c r="G69" s="380"/>
    </row>
    <row r="70" spans="2:7">
      <c r="B70" s="109" t="s">
        <v>82</v>
      </c>
      <c r="C70" s="76"/>
      <c r="D70" s="76"/>
      <c r="E70" s="76"/>
      <c r="F70" s="76"/>
      <c r="G70" s="382"/>
    </row>
    <row r="71" spans="2:7">
      <c r="B71" s="76"/>
      <c r="C71" s="76"/>
      <c r="D71" s="76"/>
      <c r="E71" s="76"/>
      <c r="F71" s="76"/>
      <c r="G71" s="382"/>
    </row>
    <row r="72" spans="2:7">
      <c r="B72" s="76" t="s">
        <v>182</v>
      </c>
      <c r="C72" s="76" t="str">
        <f>VLOOKUP(G73,'7_1'!$A$12:$G$40,7,0)</f>
        <v>YAMIN, ELIAS Y CRUZ DE YAMIN, JOSEFA</v>
      </c>
      <c r="D72" s="76"/>
      <c r="E72" s="76"/>
      <c r="F72" s="76"/>
      <c r="G72" s="383" t="s">
        <v>134</v>
      </c>
    </row>
    <row r="73" spans="2:7">
      <c r="B73" s="76" t="s">
        <v>91</v>
      </c>
      <c r="C73" s="76" t="str">
        <f>+'7_1'!$H$2</f>
        <v>Hijuela 2da. El carmen Ramo 1</v>
      </c>
      <c r="D73" s="76"/>
      <c r="E73" s="76"/>
      <c r="F73" s="76"/>
      <c r="G73" s="383">
        <v>5</v>
      </c>
    </row>
    <row r="74" spans="2:7">
      <c r="B74" s="76"/>
      <c r="C74" s="76"/>
      <c r="D74" s="76"/>
      <c r="E74" s="76"/>
      <c r="F74" s="76"/>
      <c r="G74" s="382"/>
    </row>
    <row r="75" spans="2:7">
      <c r="B75" s="635" t="s">
        <v>183</v>
      </c>
      <c r="C75" s="331">
        <f>VLOOKUP(G73,'7_1'!$A$12:$B$40,2,0)</f>
        <v>1252</v>
      </c>
      <c r="D75" s="76"/>
      <c r="E75" s="635" t="s">
        <v>184</v>
      </c>
      <c r="F75" s="347">
        <f>DSUM('7_1'!A$12:J$39,'7_1'!$J$12,G72:G73)</f>
        <v>0.20798909056970408</v>
      </c>
      <c r="G75" s="382"/>
    </row>
    <row r="76" spans="2:7">
      <c r="B76" s="635" t="s">
        <v>185</v>
      </c>
      <c r="C76" s="374">
        <v>74</v>
      </c>
      <c r="D76" s="76"/>
      <c r="E76" s="635" t="s">
        <v>186</v>
      </c>
      <c r="F76" s="368" t="str">
        <f>IF(VLOOKUP(G73,'7_1'!$A$12:$D$40,4,0)=2,"Eventual 80%","Definitivo 100%")</f>
        <v>Eventual 80%</v>
      </c>
      <c r="G76" s="382"/>
    </row>
    <row r="77" spans="2:7">
      <c r="B77" s="635" t="s">
        <v>187</v>
      </c>
      <c r="C77" s="375">
        <f>DSUM('7_1'!$A$12:$H$39,'7_1'!$H$12,G72:G73)</f>
        <v>8</v>
      </c>
      <c r="D77" s="76"/>
      <c r="E77" s="635" t="s">
        <v>188</v>
      </c>
      <c r="F77" s="369" t="str">
        <f>+Hijuelas!$G$5</f>
        <v>fracción</v>
      </c>
      <c r="G77" s="384"/>
    </row>
    <row r="78" spans="2:7" ht="15.75">
      <c r="B78" s="76"/>
      <c r="C78" s="635" t="s">
        <v>189</v>
      </c>
      <c r="D78" s="107">
        <f>DMIN('7_1'!A$12:K$39,'7_1'!$K$12,G72:G73)</f>
        <v>42752.138561275337</v>
      </c>
      <c r="E78" s="127" t="str">
        <f>IF(F78=1,"Domingo",IF(F78=2,"Lunes",IF(F78=3,"Martes",IF(F78=4,"Miercoles",IF(F78=5,"Jueves",IF(F78=6,"Viernes",IF(F78=7,"Sábado",0)))))))</f>
        <v>Martes</v>
      </c>
      <c r="F78" s="128">
        <f>WEEKDAY(D78)</f>
        <v>3</v>
      </c>
      <c r="G78" s="385" t="s">
        <v>70</v>
      </c>
    </row>
    <row r="79" spans="2:7" ht="15.75">
      <c r="B79" s="76"/>
      <c r="C79" s="635" t="s">
        <v>190</v>
      </c>
      <c r="D79" s="107">
        <f>DMAX('7_1'!A$12:L$39,'7_1'!$L$12,G72:G73)</f>
        <v>42752.346550365903</v>
      </c>
      <c r="E79" s="127" t="str">
        <f>IF(F79=1,"Domingo",IF(F79=2,"Lunes",IF(F79=3,"Martes",IF(F79=4,"Miercoles",IF(F79=5,"Jueves",IF(F79=6,"Viernes",IF(F79=7,"Sábado",0)))))))</f>
        <v>Martes</v>
      </c>
      <c r="F79" s="128">
        <f>WEEKDAY(D79)</f>
        <v>3</v>
      </c>
      <c r="G79" s="385">
        <f>WEEKDAY(D79)</f>
        <v>3</v>
      </c>
    </row>
    <row r="80" spans="2:7">
      <c r="B80" s="76"/>
      <c r="C80" s="76"/>
      <c r="D80" s="76"/>
      <c r="E80" s="76"/>
      <c r="F80" s="106"/>
      <c r="G80" s="384"/>
    </row>
    <row r="81" spans="2:7">
      <c r="B81" s="377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2:7">
      <c r="B82" s="377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2:7">
      <c r="B83" s="108"/>
      <c r="C83" s="76"/>
      <c r="D83" s="76"/>
      <c r="E83" s="76"/>
      <c r="F83" s="76"/>
      <c r="G83" s="382"/>
    </row>
    <row r="84" spans="2:7" ht="13.5" thickBot="1">
      <c r="B84" s="387" t="str">
        <f>IF(DSUM('7_1'!$A$12:$P$63,16,G72:G73)=COUNTIF('7_1'!$A$40:$A$63,G73),"","Regularice su Deuda")</f>
        <v>Regularice su Deuda</v>
      </c>
      <c r="C84" s="326"/>
      <c r="D84" s="326"/>
      <c r="E84" s="326"/>
      <c r="F84" s="326"/>
      <c r="G84" s="388"/>
    </row>
    <row r="85" spans="2:7" ht="13.5" thickBot="1"/>
    <row r="86" spans="2:7">
      <c r="B86" s="379"/>
      <c r="C86" s="379"/>
      <c r="D86" s="379"/>
      <c r="E86" s="379"/>
      <c r="F86" s="379"/>
      <c r="G86" s="380"/>
    </row>
    <row r="87" spans="2:7">
      <c r="B87" s="109" t="s">
        <v>82</v>
      </c>
      <c r="C87" s="76"/>
      <c r="D87" s="76"/>
      <c r="E87" s="76"/>
      <c r="F87" s="76"/>
      <c r="G87" s="382"/>
    </row>
    <row r="88" spans="2:7">
      <c r="B88" s="76"/>
      <c r="C88" s="76"/>
      <c r="D88" s="76"/>
      <c r="E88" s="76"/>
      <c r="F88" s="76"/>
      <c r="G88" s="382"/>
    </row>
    <row r="89" spans="2:7">
      <c r="B89" s="76" t="s">
        <v>182</v>
      </c>
      <c r="C89" s="76" t="str">
        <f>VLOOKUP(G90,'7_1'!$A$12:$G$40,7,0)</f>
        <v>ANDRADA, MIGUEL</v>
      </c>
      <c r="D89" s="76"/>
      <c r="E89" s="76"/>
      <c r="F89" s="76"/>
      <c r="G89" s="383" t="s">
        <v>134</v>
      </c>
    </row>
    <row r="90" spans="2:7">
      <c r="B90" s="76" t="s">
        <v>91</v>
      </c>
      <c r="C90" s="76" t="str">
        <f>+'7_1'!$H$2</f>
        <v>Hijuela 2da. El carmen Ramo 1</v>
      </c>
      <c r="D90" s="76"/>
      <c r="E90" s="76"/>
      <c r="F90" s="76"/>
      <c r="G90" s="383">
        <v>6</v>
      </c>
    </row>
    <row r="91" spans="2:7">
      <c r="B91" s="76"/>
      <c r="C91" s="76"/>
      <c r="D91" s="76"/>
      <c r="E91" s="76"/>
      <c r="F91" s="76"/>
      <c r="G91" s="382"/>
    </row>
    <row r="92" spans="2:7">
      <c r="B92" s="635" t="s">
        <v>183</v>
      </c>
      <c r="C92" s="331">
        <f>VLOOKUP(G90,'7_1'!$A$12:$B$40,2,0)</f>
        <v>1252</v>
      </c>
      <c r="D92" s="76"/>
      <c r="E92" s="635" t="s">
        <v>184</v>
      </c>
      <c r="F92" s="347">
        <f>DSUM('7_1'!A$12:J$39,'7_1'!$J$12,G89:G90)</f>
        <v>8.7544688111694149E-2</v>
      </c>
      <c r="G92" s="382"/>
    </row>
    <row r="93" spans="2:7">
      <c r="B93" s="635" t="s">
        <v>185</v>
      </c>
      <c r="C93" s="374">
        <v>80</v>
      </c>
      <c r="D93" s="76"/>
      <c r="E93" s="635" t="s">
        <v>186</v>
      </c>
      <c r="F93" s="368" t="str">
        <f>IF(VLOOKUP(G90,'7_1'!$A$12:$D$40,4,0)=2,"Eventual 80%","Definitivo 100%")</f>
        <v>Eventual 80%</v>
      </c>
      <c r="G93" s="382"/>
    </row>
    <row r="94" spans="2:7">
      <c r="B94" s="635" t="s">
        <v>187</v>
      </c>
      <c r="C94" s="375">
        <f>DSUM('7_1'!$A$12:$H$39,'7_1'!$H$12,G89:G90)</f>
        <v>3.3672800000000005</v>
      </c>
      <c r="D94" s="76"/>
      <c r="E94" s="635" t="s">
        <v>188</v>
      </c>
      <c r="F94" s="369" t="str">
        <f>+Hijuelas!$G$5</f>
        <v>fracción</v>
      </c>
      <c r="G94" s="384"/>
    </row>
    <row r="95" spans="2:7" ht="15.75">
      <c r="B95" s="76"/>
      <c r="C95" s="635" t="s">
        <v>189</v>
      </c>
      <c r="D95" s="107">
        <f>DMIN('7_1'!A$12:K$39,'7_1'!$K$12,G89:G90)</f>
        <v>42752.346550365903</v>
      </c>
      <c r="E95" s="127" t="str">
        <f>IF(F95=1,"Domingo",IF(F95=2,"Lunes",IF(F95=3,"Martes",IF(F95=4,"Miercoles",IF(F95=5,"Jueves",IF(F95=6,"Viernes",IF(F95=7,"Sábado",0)))))))</f>
        <v>Martes</v>
      </c>
      <c r="F95" s="128">
        <f>WEEKDAY(D95)</f>
        <v>3</v>
      </c>
      <c r="G95" s="385" t="s">
        <v>70</v>
      </c>
    </row>
    <row r="96" spans="2:7" ht="15.75">
      <c r="B96" s="76"/>
      <c r="C96" s="635" t="s">
        <v>190</v>
      </c>
      <c r="D96" s="107">
        <f>DMAX('7_1'!A$12:L$39,'7_1'!$L$12,G89:G90)</f>
        <v>42752.454928387349</v>
      </c>
      <c r="E96" s="127" t="str">
        <f>IF(F96=1,"Domingo",IF(F96=2,"Lunes",IF(F96=3,"Martes",IF(F96=4,"Miercoles",IF(F96=5,"Jueves",IF(F96=6,"Viernes",IF(F96=7,"Sábado",0)))))))</f>
        <v>Martes</v>
      </c>
      <c r="F96" s="128">
        <f>WEEKDAY(D96)</f>
        <v>3</v>
      </c>
      <c r="G96" s="385">
        <f>WEEKDAY(D96)</f>
        <v>3</v>
      </c>
    </row>
    <row r="97" spans="2:7">
      <c r="B97" s="76"/>
      <c r="C97" s="76"/>
      <c r="D97" s="76"/>
      <c r="E97" s="76"/>
      <c r="F97" s="106"/>
      <c r="G97" s="384"/>
    </row>
    <row r="98" spans="2:7">
      <c r="B98" s="377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2:7">
      <c r="B99" s="377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2:7">
      <c r="B100" s="108"/>
      <c r="C100" s="76"/>
      <c r="D100" s="76"/>
      <c r="E100" s="76"/>
      <c r="F100" s="76"/>
      <c r="G100" s="382"/>
    </row>
    <row r="101" spans="2:7" ht="13.5" thickBot="1">
      <c r="B101" s="387" t="str">
        <f>IF(DSUM('7_1'!$A$12:$P$63,16,G89:G90)=COUNTIF('7_1'!$A$40:$A$63,G90),"","Regularice su Deuda")</f>
        <v>Regularice su Deuda</v>
      </c>
      <c r="C101" s="326"/>
      <c r="D101" s="326"/>
      <c r="E101" s="326"/>
      <c r="F101" s="326"/>
      <c r="G101" s="388"/>
    </row>
    <row r="102" spans="2:7" ht="13.5" thickBot="1"/>
    <row r="103" spans="2:7">
      <c r="B103" s="379"/>
      <c r="C103" s="379"/>
      <c r="D103" s="379"/>
      <c r="E103" s="379"/>
      <c r="F103" s="379"/>
      <c r="G103" s="380"/>
    </row>
    <row r="104" spans="2:7">
      <c r="B104" s="109" t="s">
        <v>82</v>
      </c>
      <c r="C104" s="76"/>
      <c r="D104" s="76"/>
      <c r="E104" s="76"/>
      <c r="F104" s="76"/>
      <c r="G104" s="382"/>
    </row>
    <row r="105" spans="2:7">
      <c r="B105" s="76"/>
      <c r="C105" s="76"/>
      <c r="D105" s="76"/>
      <c r="E105" s="76"/>
      <c r="F105" s="76"/>
      <c r="G105" s="382"/>
    </row>
    <row r="106" spans="2:7">
      <c r="B106" s="76" t="s">
        <v>182</v>
      </c>
      <c r="C106" s="76" t="str">
        <f>VLOOKUP(G107,'7_1'!$A$12:$G$40,7,0)</f>
        <v>PALIZA, MANUEL ENRIQUE Y CRUZ DE PALIZA, DOLORES</v>
      </c>
      <c r="D106" s="76"/>
      <c r="E106" s="76"/>
      <c r="F106" s="76"/>
      <c r="G106" s="383" t="s">
        <v>134</v>
      </c>
    </row>
    <row r="107" spans="2:7">
      <c r="B107" s="76" t="s">
        <v>91</v>
      </c>
      <c r="C107" s="76" t="str">
        <f>+'7_1'!$H$2</f>
        <v>Hijuela 2da. El carmen Ramo 1</v>
      </c>
      <c r="D107" s="76"/>
      <c r="E107" s="76"/>
      <c r="F107" s="76"/>
      <c r="G107" s="383">
        <v>7</v>
      </c>
    </row>
    <row r="108" spans="2:7">
      <c r="B108" s="76"/>
      <c r="C108" s="76"/>
      <c r="D108" s="76"/>
      <c r="E108" s="76"/>
      <c r="F108" s="76"/>
      <c r="G108" s="382"/>
    </row>
    <row r="109" spans="2:7">
      <c r="B109" s="635" t="s">
        <v>183</v>
      </c>
      <c r="C109" s="331">
        <f>VLOOKUP(G107,'7_1'!$A$12:$B$40,2,0)</f>
        <v>1252</v>
      </c>
      <c r="D109" s="76"/>
      <c r="E109" s="635" t="s">
        <v>184</v>
      </c>
      <c r="F109" s="347">
        <f>DSUM('7_1'!A$12:J$39,'7_1'!$J$12,G106:G107)</f>
        <v>0.18833204161996134</v>
      </c>
      <c r="G109" s="382"/>
    </row>
    <row r="110" spans="2:7">
      <c r="B110" s="635" t="s">
        <v>185</v>
      </c>
      <c r="C110" s="374">
        <v>72</v>
      </c>
      <c r="D110" s="76"/>
      <c r="E110" s="635" t="s">
        <v>186</v>
      </c>
      <c r="F110" s="368" t="str">
        <f>IF(VLOOKUP(G107,'7_1'!$A$12:$D$40,4,0)=2,"Eventual 80%","Definitivo 100%")</f>
        <v>Eventual 80%</v>
      </c>
      <c r="G110" s="382"/>
    </row>
    <row r="111" spans="2:7">
      <c r="B111" s="635" t="s">
        <v>187</v>
      </c>
      <c r="C111" s="375">
        <f>DSUM('7_1'!$A$12:$H$39,'7_1'!$H$12,G106:G107)</f>
        <v>7.2439200000000001</v>
      </c>
      <c r="D111" s="76"/>
      <c r="E111" s="635" t="s">
        <v>188</v>
      </c>
      <c r="F111" s="369" t="str">
        <f>+Hijuelas!$G$5</f>
        <v>fracción</v>
      </c>
      <c r="G111" s="384"/>
    </row>
    <row r="112" spans="2:7" ht="15.75">
      <c r="B112" s="76"/>
      <c r="C112" s="635" t="s">
        <v>189</v>
      </c>
      <c r="D112" s="107">
        <f>DMIN('7_1'!A$12:K$39,'7_1'!$K$12,G106:G107)</f>
        <v>42752.454928387349</v>
      </c>
      <c r="E112" s="127" t="str">
        <f>IF(F112=1,"Domingo",IF(F112=2,"Lunes",IF(F112=3,"Martes",IF(F112=4,"Miercoles",IF(F112=5,"Jueves",IF(F112=6,"Viernes",IF(F112=7,"Sábado",0)))))))</f>
        <v>Martes</v>
      </c>
      <c r="F112" s="128">
        <f>WEEKDAY(D112)</f>
        <v>3</v>
      </c>
      <c r="G112" s="385" t="s">
        <v>70</v>
      </c>
    </row>
    <row r="113" spans="2:7" ht="15.75">
      <c r="B113" s="76"/>
      <c r="C113" s="635" t="s">
        <v>190</v>
      </c>
      <c r="D113" s="107">
        <f>DMAX('7_1'!A$12:L$39,'7_1'!$L$12,G106:G107)</f>
        <v>42752.643260428966</v>
      </c>
      <c r="E113" s="127" t="str">
        <f>IF(F113=1,"Domingo",IF(F113=2,"Lunes",IF(F113=3,"Martes",IF(F113=4,"Miercoles",IF(F113=5,"Jueves",IF(F113=6,"Viernes",IF(F113=7,"Sábado",0)))))))</f>
        <v>Martes</v>
      </c>
      <c r="F113" s="128">
        <f>WEEKDAY(D113)</f>
        <v>3</v>
      </c>
      <c r="G113" s="385">
        <f>WEEKDAY(D113)</f>
        <v>3</v>
      </c>
    </row>
    <row r="114" spans="2:7">
      <c r="B114" s="76"/>
      <c r="C114" s="76"/>
      <c r="D114" s="76"/>
      <c r="E114" s="76"/>
      <c r="F114" s="106"/>
      <c r="G114" s="384"/>
    </row>
    <row r="115" spans="2:7">
      <c r="B115" s="377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2:7">
      <c r="B116" s="377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2:7">
      <c r="B117" s="108"/>
      <c r="C117" s="76"/>
      <c r="D117" s="76"/>
      <c r="E117" s="76"/>
      <c r="F117" s="76"/>
      <c r="G117" s="382"/>
    </row>
    <row r="118" spans="2:7" ht="13.5" thickBot="1">
      <c r="B118" s="387" t="str">
        <f>IF(DSUM('7_1'!$A$12:$P$63,16,G106:G107)=COUNTIF('7_1'!$A$40:$A$63,G107),"","Regularice su Deuda")</f>
        <v>Regularice su Deuda</v>
      </c>
      <c r="C118" s="326"/>
      <c r="D118" s="326"/>
      <c r="E118" s="326"/>
      <c r="F118" s="326"/>
      <c r="G118" s="388"/>
    </row>
    <row r="119" spans="2:7" ht="13.5" thickBot="1"/>
    <row r="120" spans="2:7">
      <c r="B120" s="379"/>
      <c r="C120" s="379"/>
      <c r="D120" s="379"/>
      <c r="E120" s="379"/>
      <c r="F120" s="379"/>
      <c r="G120" s="380"/>
    </row>
    <row r="121" spans="2:7">
      <c r="B121" s="109" t="s">
        <v>82</v>
      </c>
      <c r="C121" s="76"/>
      <c r="D121" s="76"/>
      <c r="E121" s="76"/>
      <c r="F121" s="76"/>
      <c r="G121" s="382"/>
    </row>
    <row r="122" spans="2:7">
      <c r="B122" s="76"/>
      <c r="C122" s="76"/>
      <c r="D122" s="76"/>
      <c r="E122" s="76"/>
      <c r="F122" s="76"/>
      <c r="G122" s="382"/>
    </row>
    <row r="123" spans="2:7">
      <c r="B123" s="76" t="s">
        <v>182</v>
      </c>
      <c r="C123" s="76" t="str">
        <f>VLOOKUP(G124,'7_1'!$A$12:$G$40,7,0)</f>
        <v>ROMERO, FRANCISCO HUMBERTO</v>
      </c>
      <c r="D123" s="76"/>
      <c r="E123" s="76"/>
      <c r="F123" s="76"/>
      <c r="G123" s="383" t="s">
        <v>134</v>
      </c>
    </row>
    <row r="124" spans="2:7">
      <c r="B124" s="76" t="s">
        <v>91</v>
      </c>
      <c r="C124" s="76" t="str">
        <f>+'7_1'!$H$2</f>
        <v>Hijuela 2da. El carmen Ramo 1</v>
      </c>
      <c r="D124" s="76"/>
      <c r="E124" s="76"/>
      <c r="F124" s="76"/>
      <c r="G124" s="383">
        <v>8</v>
      </c>
    </row>
    <row r="125" spans="2:7">
      <c r="B125" s="76"/>
      <c r="C125" s="76"/>
      <c r="D125" s="76"/>
      <c r="E125" s="76"/>
      <c r="F125" s="76"/>
      <c r="G125" s="382"/>
    </row>
    <row r="126" spans="2:7">
      <c r="B126" s="635" t="s">
        <v>183</v>
      </c>
      <c r="C126" s="331">
        <f>VLOOKUP(G124,'7_1'!$A$12:$B$40,2,0)</f>
        <v>1252</v>
      </c>
      <c r="D126" s="76"/>
      <c r="E126" s="635" t="s">
        <v>184</v>
      </c>
      <c r="F126" s="347">
        <f>DSUM('7_1'!A$12:J$39,'7_1'!$J$12,G123:G124)</f>
        <v>0</v>
      </c>
      <c r="G126" s="382"/>
    </row>
    <row r="127" spans="2:7">
      <c r="B127" s="635" t="s">
        <v>185</v>
      </c>
      <c r="C127" s="374">
        <v>75</v>
      </c>
      <c r="D127" s="76"/>
      <c r="E127" s="635" t="s">
        <v>186</v>
      </c>
      <c r="F127" s="368" t="str">
        <f>IF(VLOOKUP(G124,'7_1'!$A$12:$D$40,4,0)=2,"Eventual 80%","Definitivo 100%")</f>
        <v>Eventual 80%</v>
      </c>
      <c r="G127" s="382"/>
    </row>
    <row r="128" spans="2:7">
      <c r="B128" s="635" t="s">
        <v>187</v>
      </c>
      <c r="C128" s="375">
        <f>DSUM('7_1'!$A$12:$H$39,'7_1'!$H$12,G123:G124)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2:7" ht="15.75">
      <c r="B129" s="76"/>
      <c r="C129" s="635" t="s">
        <v>189</v>
      </c>
      <c r="D129" s="107">
        <f>DMIN('7_1'!A$12:K$39,'7_1'!$K$12,G123:G124)</f>
        <v>42752.643260428966</v>
      </c>
      <c r="E129" s="127" t="str">
        <f>IF(F129=1,"Domingo",IF(F129=2,"Lunes",IF(F129=3,"Martes",IF(F129=4,"Miercoles",IF(F129=5,"Jueves",IF(F129=6,"Viernes",IF(F129=7,"Sábado",0)))))))</f>
        <v>Martes</v>
      </c>
      <c r="F129" s="128">
        <f>WEEKDAY(D129)</f>
        <v>3</v>
      </c>
      <c r="G129" s="385" t="s">
        <v>70</v>
      </c>
    </row>
    <row r="130" spans="2:7" ht="15.75">
      <c r="B130" s="76"/>
      <c r="C130" s="635" t="s">
        <v>190</v>
      </c>
      <c r="D130" s="107">
        <f>DMAX('7_1'!A$12:L$39,'7_1'!$L$12,G123:G124)</f>
        <v>42752.643260428966</v>
      </c>
      <c r="E130" s="127" t="str">
        <f>IF(F130=1,"Domingo",IF(F130=2,"Lunes",IF(F130=3,"Martes",IF(F130=4,"Miercoles",IF(F130=5,"Jueves",IF(F130=6,"Viernes",IF(F130=7,"Sábado",0)))))))</f>
        <v>Martes</v>
      </c>
      <c r="F130" s="128">
        <f>WEEKDAY(D130)</f>
        <v>3</v>
      </c>
      <c r="G130" s="385">
        <f>WEEKDAY(D130)</f>
        <v>3</v>
      </c>
    </row>
    <row r="131" spans="2:7">
      <c r="B131" s="76"/>
      <c r="C131" s="76"/>
      <c r="D131" s="76"/>
      <c r="E131" s="76"/>
      <c r="F131" s="106"/>
      <c r="G131" s="384"/>
    </row>
    <row r="132" spans="2:7">
      <c r="B132" s="377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2:7">
      <c r="B133" s="377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2:7">
      <c r="B134" s="108"/>
      <c r="C134" s="76"/>
      <c r="D134" s="76"/>
      <c r="E134" s="76"/>
      <c r="F134" s="76"/>
      <c r="G134" s="382"/>
    </row>
    <row r="135" spans="2:7" ht="13.5" thickBot="1">
      <c r="B135" s="387" t="str">
        <f>IF(DSUM('7_1'!$A$12:$P$63,16,G123:G124)=COUNTIF('7_1'!$A$40:$A$63,G124),"","Regularice su Deuda")</f>
        <v/>
      </c>
      <c r="C135" s="326"/>
      <c r="D135" s="326"/>
      <c r="E135" s="326"/>
      <c r="F135" s="326"/>
      <c r="G135" s="388"/>
    </row>
    <row r="136" spans="2:7" ht="13.5" thickBot="1"/>
    <row r="137" spans="2:7">
      <c r="B137" s="379"/>
      <c r="C137" s="379"/>
      <c r="D137" s="379"/>
      <c r="E137" s="379"/>
      <c r="F137" s="379"/>
      <c r="G137" s="380"/>
    </row>
    <row r="138" spans="2:7">
      <c r="B138" s="109" t="s">
        <v>82</v>
      </c>
      <c r="C138" s="76"/>
      <c r="D138" s="76"/>
      <c r="E138" s="76"/>
      <c r="F138" s="76"/>
      <c r="G138" s="382"/>
    </row>
    <row r="139" spans="2:7">
      <c r="B139" s="76"/>
      <c r="C139" s="76"/>
      <c r="D139" s="76"/>
      <c r="E139" s="76"/>
      <c r="F139" s="76"/>
      <c r="G139" s="382"/>
    </row>
    <row r="140" spans="2:7">
      <c r="B140" s="76" t="s">
        <v>182</v>
      </c>
      <c r="C140" s="76" t="str">
        <f>VLOOKUP(G141,'7_1'!$A$12:$G$40,7,0)</f>
        <v>SOTO, FRANCISCO</v>
      </c>
      <c r="D140" s="76"/>
      <c r="E140" s="76"/>
      <c r="F140" s="76"/>
      <c r="G140" s="383" t="s">
        <v>134</v>
      </c>
    </row>
    <row r="141" spans="2:7">
      <c r="B141" s="76" t="s">
        <v>91</v>
      </c>
      <c r="C141" s="76" t="str">
        <f>+'7_1'!$H$2</f>
        <v>Hijuela 2da. El carmen Ramo 1</v>
      </c>
      <c r="D141" s="76"/>
      <c r="E141" s="76"/>
      <c r="F141" s="76"/>
      <c r="G141" s="383">
        <v>9</v>
      </c>
    </row>
    <row r="142" spans="2:7">
      <c r="B142" s="76"/>
      <c r="C142" s="76"/>
      <c r="D142" s="76"/>
      <c r="E142" s="76"/>
      <c r="F142" s="76"/>
      <c r="G142" s="382"/>
    </row>
    <row r="143" spans="2:7">
      <c r="B143" s="635" t="s">
        <v>183</v>
      </c>
      <c r="C143" s="331">
        <f>VLOOKUP(G141,'7_1'!$A$12:$B$40,2,0)</f>
        <v>1252</v>
      </c>
      <c r="D143" s="76"/>
      <c r="E143" s="635" t="s">
        <v>184</v>
      </c>
      <c r="F143" s="347">
        <f>DSUM('7_1'!A$12:J$39,'7_1'!$J$12,G140:G141)</f>
        <v>0.15599389781818376</v>
      </c>
      <c r="G143" s="382"/>
    </row>
    <row r="144" spans="2:7">
      <c r="B144" s="635" t="s">
        <v>185</v>
      </c>
      <c r="C144" s="374">
        <v>41</v>
      </c>
      <c r="D144" s="76"/>
      <c r="E144" s="635" t="s">
        <v>186</v>
      </c>
      <c r="F144" s="368" t="str">
        <f>IF(VLOOKUP(G141,'7_1'!$A$12:$D$40,4,0)=2,"Eventual 80%","Definitivo 100%")</f>
        <v>Eventual 80%</v>
      </c>
      <c r="G144" s="382"/>
    </row>
    <row r="145" spans="2:7">
      <c r="B145" s="635" t="s">
        <v>187</v>
      </c>
      <c r="C145" s="375">
        <f>DSUM('7_1'!$A$12:$H$39,'7_1'!$H$12,G140:G141)</f>
        <v>6.0000800000000005</v>
      </c>
      <c r="D145" s="76"/>
      <c r="E145" s="635" t="s">
        <v>188</v>
      </c>
      <c r="F145" s="369" t="str">
        <f>+Hijuelas!$G$5</f>
        <v>fracción</v>
      </c>
      <c r="G145" s="384"/>
    </row>
    <row r="146" spans="2:7" ht="15.75">
      <c r="B146" s="76"/>
      <c r="C146" s="635" t="s">
        <v>189</v>
      </c>
      <c r="D146" s="107">
        <f>DMIN('7_1'!A$12:K$39,'7_1'!$K$12,G140:G141)</f>
        <v>42752.643260428966</v>
      </c>
      <c r="E146" s="127" t="str">
        <f>IF(F146=1,"Domingo",IF(F146=2,"Lunes",IF(F146=3,"Martes",IF(F146=4,"Miercoles",IF(F146=5,"Jueves",IF(F146=6,"Viernes",IF(F146=7,"Sábado",0)))))))</f>
        <v>Martes</v>
      </c>
      <c r="F146" s="128">
        <f>WEEKDAY(D146)</f>
        <v>3</v>
      </c>
      <c r="G146" s="385" t="s">
        <v>70</v>
      </c>
    </row>
    <row r="147" spans="2:7" ht="15.75">
      <c r="B147" s="76"/>
      <c r="C147" s="635" t="s">
        <v>190</v>
      </c>
      <c r="D147" s="107">
        <f>DMAX('7_1'!A$12:L$39,'7_1'!$L$12,G140:G141)</f>
        <v>42752.799254326783</v>
      </c>
      <c r="E147" s="127" t="str">
        <f>IF(F147=1,"Domingo",IF(F147=2,"Lunes",IF(F147=3,"Martes",IF(F147=4,"Miercoles",IF(F147=5,"Jueves",IF(F147=6,"Viernes",IF(F147=7,"Sábado",0)))))))</f>
        <v>Martes</v>
      </c>
      <c r="F147" s="128">
        <f>WEEKDAY(D147)</f>
        <v>3</v>
      </c>
      <c r="G147" s="385">
        <f>WEEKDAY(D147)</f>
        <v>3</v>
      </c>
    </row>
    <row r="148" spans="2:7">
      <c r="B148" s="76"/>
      <c r="C148" s="76"/>
      <c r="D148" s="76"/>
      <c r="E148" s="76"/>
      <c r="F148" s="106"/>
      <c r="G148" s="384"/>
    </row>
    <row r="149" spans="2:7">
      <c r="B149" s="377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2:7">
      <c r="B150" s="377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2:7">
      <c r="B151" s="108"/>
      <c r="C151" s="76"/>
      <c r="D151" s="76"/>
      <c r="E151" s="76"/>
      <c r="F151" s="76"/>
      <c r="G151" s="382"/>
    </row>
    <row r="152" spans="2:7" ht="13.5" thickBot="1">
      <c r="B152" s="387" t="str">
        <f>IF(DSUM('7_1'!$A$12:$P$63,16,G140:G141)=COUNTIF('7_1'!$A$40:$A$63,G141),"","Regularice su Deuda")</f>
        <v>Regularice su Deuda</v>
      </c>
      <c r="C152" s="326"/>
      <c r="D152" s="326"/>
      <c r="E152" s="326"/>
      <c r="F152" s="326"/>
      <c r="G152" s="388"/>
    </row>
    <row r="153" spans="2:7" ht="13.5" thickBot="1"/>
    <row r="154" spans="2:7">
      <c r="B154" s="379"/>
      <c r="C154" s="379"/>
      <c r="D154" s="379"/>
      <c r="E154" s="379"/>
      <c r="F154" s="379"/>
      <c r="G154" s="380"/>
    </row>
    <row r="155" spans="2:7">
      <c r="B155" s="109" t="s">
        <v>82</v>
      </c>
      <c r="C155" s="76"/>
      <c r="D155" s="76"/>
      <c r="E155" s="76"/>
      <c r="F155" s="76"/>
      <c r="G155" s="382"/>
    </row>
    <row r="156" spans="2:7">
      <c r="B156" s="76"/>
      <c r="C156" s="76"/>
      <c r="D156" s="76"/>
      <c r="E156" s="76"/>
      <c r="F156" s="76"/>
      <c r="G156" s="382"/>
    </row>
    <row r="157" spans="2:7">
      <c r="B157" s="76" t="s">
        <v>182</v>
      </c>
      <c r="C157" s="76" t="str">
        <f>VLOOKUP(G158,'7_1'!$A$12:$G$40,7,0)</f>
        <v>NESCI, ENRIQUE- FUSTER</v>
      </c>
      <c r="D157" s="76"/>
      <c r="E157" s="76"/>
      <c r="F157" s="76"/>
      <c r="G157" s="383" t="s">
        <v>134</v>
      </c>
    </row>
    <row r="158" spans="2:7">
      <c r="B158" s="76" t="s">
        <v>91</v>
      </c>
      <c r="C158" s="76" t="str">
        <f>+'7_1'!$H$2</f>
        <v>Hijuela 2da. El carmen Ramo 1</v>
      </c>
      <c r="D158" s="76"/>
      <c r="E158" s="76"/>
      <c r="F158" s="76"/>
      <c r="G158" s="383">
        <v>10</v>
      </c>
    </row>
    <row r="159" spans="2:7">
      <c r="B159" s="76"/>
      <c r="C159" s="76"/>
      <c r="D159" s="76"/>
      <c r="E159" s="76"/>
      <c r="F159" s="76"/>
      <c r="G159" s="382"/>
    </row>
    <row r="160" spans="2:7">
      <c r="B160" s="635" t="s">
        <v>183</v>
      </c>
      <c r="C160" s="331">
        <f>VLOOKUP(G158,'7_1'!$A$12:$B$40,2,0)</f>
        <v>1252</v>
      </c>
      <c r="D160" s="76"/>
      <c r="E160" s="635" t="s">
        <v>184</v>
      </c>
      <c r="F160" s="347">
        <f>DSUM('7_1'!A$12:J$39,'7_1'!$J$12,G157:G158)</f>
        <v>1.2435667725162606E-2</v>
      </c>
      <c r="G160" s="382"/>
    </row>
    <row r="161" spans="2:7">
      <c r="B161" s="635" t="s">
        <v>185</v>
      </c>
      <c r="C161" s="374">
        <v>66</v>
      </c>
      <c r="D161" s="76"/>
      <c r="E161" s="635" t="s">
        <v>186</v>
      </c>
      <c r="F161" s="368" t="str">
        <f>IF(VLOOKUP(G158,'7_1'!$A$12:$D$40,4,0)=2,"Eventual 80%","Definitivo 100%")</f>
        <v>Eventual 80%</v>
      </c>
      <c r="G161" s="382"/>
    </row>
    <row r="162" spans="2:7">
      <c r="B162" s="635" t="s">
        <v>187</v>
      </c>
      <c r="C162" s="375">
        <f>DSUM('7_1'!$A$12:$H$39,'7_1'!$H$12,G157:G158)</f>
        <v>0.47832000000000002</v>
      </c>
      <c r="D162" s="76"/>
      <c r="E162" s="635" t="s">
        <v>188</v>
      </c>
      <c r="F162" s="369" t="str">
        <f>+Hijuelas!$G$5</f>
        <v>fracción</v>
      </c>
      <c r="G162" s="384"/>
    </row>
    <row r="163" spans="2:7" ht="15.75">
      <c r="B163" s="76"/>
      <c r="C163" s="635" t="s">
        <v>189</v>
      </c>
      <c r="D163" s="107">
        <f>DMIN('7_1'!A$12:K$39,'7_1'!$K$12,G157:G158)</f>
        <v>42752.799254326783</v>
      </c>
      <c r="E163" s="127" t="str">
        <f>IF(F163=1,"Domingo",IF(F163=2,"Lunes",IF(F163=3,"Martes",IF(F163=4,"Miercoles",IF(F163=5,"Jueves",IF(F163=6,"Viernes",IF(F163=7,"Sábado",0)))))))</f>
        <v>Martes</v>
      </c>
      <c r="F163" s="128">
        <f>WEEKDAY(D163)</f>
        <v>3</v>
      </c>
      <c r="G163" s="385" t="s">
        <v>70</v>
      </c>
    </row>
    <row r="164" spans="2:7" ht="15.75">
      <c r="B164" s="76"/>
      <c r="C164" s="635" t="s">
        <v>190</v>
      </c>
      <c r="D164" s="107">
        <f>DMAX('7_1'!A$12:L$39,'7_1'!$L$12,G157:G158)</f>
        <v>42752.853356661173</v>
      </c>
      <c r="E164" s="127" t="str">
        <f>IF(F164=1,"Domingo",IF(F164=2,"Lunes",IF(F164=3,"Martes",IF(F164=4,"Miercoles",IF(F164=5,"Jueves",IF(F164=6,"Viernes",IF(F164=7,"Sábado",0)))))))</f>
        <v>Martes</v>
      </c>
      <c r="F164" s="128">
        <f>WEEKDAY(D164)</f>
        <v>3</v>
      </c>
      <c r="G164" s="385">
        <f>WEEKDAY(D164)</f>
        <v>3</v>
      </c>
    </row>
    <row r="165" spans="2:7">
      <c r="B165" s="76"/>
      <c r="C165" s="76"/>
      <c r="D165" s="76"/>
      <c r="E165" s="76"/>
      <c r="F165" s="106"/>
      <c r="G165" s="384"/>
    </row>
    <row r="166" spans="2:7">
      <c r="B166" s="377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2:7">
      <c r="B167" s="377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2:7">
      <c r="B168" s="108"/>
      <c r="C168" s="76"/>
      <c r="D168" s="76"/>
      <c r="E168" s="76"/>
      <c r="F168" s="76"/>
      <c r="G168" s="382"/>
    </row>
    <row r="169" spans="2:7" ht="13.5" thickBot="1">
      <c r="B169" s="387" t="str">
        <f>IF(DSUM('7_1'!$A$12:$P$63,16,G157:G158)=COUNTIF('7_1'!$A$40:$A$63,G158),"","Regularice su Deuda")</f>
        <v>Regularice su Deuda</v>
      </c>
      <c r="C169" s="326"/>
      <c r="D169" s="326"/>
      <c r="E169" s="326"/>
      <c r="F169" s="326"/>
      <c r="G169" s="388"/>
    </row>
    <row r="170" spans="2:7" ht="13.5" thickBot="1"/>
    <row r="171" spans="2:7">
      <c r="B171" s="379"/>
      <c r="C171" s="379"/>
      <c r="D171" s="379"/>
      <c r="E171" s="379"/>
      <c r="F171" s="379"/>
      <c r="G171" s="380"/>
    </row>
    <row r="172" spans="2:7">
      <c r="B172" s="109" t="s">
        <v>82</v>
      </c>
      <c r="C172" s="76"/>
      <c r="D172" s="76"/>
      <c r="E172" s="76"/>
      <c r="F172" s="76"/>
      <c r="G172" s="382"/>
    </row>
    <row r="173" spans="2:7">
      <c r="B173" s="76"/>
      <c r="C173" s="76"/>
      <c r="D173" s="76"/>
      <c r="E173" s="76"/>
      <c r="F173" s="76"/>
      <c r="G173" s="382"/>
    </row>
    <row r="174" spans="2:7">
      <c r="B174" s="76" t="s">
        <v>182</v>
      </c>
      <c r="C174" s="76" t="str">
        <f>VLOOKUP(G175,'7_1'!$A$12:$G$40,7,0)</f>
        <v>ROMERO PI±A, DIEGO-ORTUBIA</v>
      </c>
      <c r="D174" s="76"/>
      <c r="E174" s="76"/>
      <c r="F174" s="76"/>
      <c r="G174" s="383" t="s">
        <v>134</v>
      </c>
    </row>
    <row r="175" spans="2:7">
      <c r="B175" s="76" t="s">
        <v>91</v>
      </c>
      <c r="C175" s="76" t="str">
        <f>+'7_1'!$H$2</f>
        <v>Hijuela 2da. El carmen Ramo 1</v>
      </c>
      <c r="D175" s="76"/>
      <c r="E175" s="76"/>
      <c r="F175" s="76"/>
      <c r="G175" s="383">
        <v>11</v>
      </c>
    </row>
    <row r="176" spans="2:7">
      <c r="B176" s="76"/>
      <c r="C176" s="76"/>
      <c r="D176" s="76"/>
      <c r="E176" s="76"/>
      <c r="F176" s="76"/>
      <c r="G176" s="382"/>
    </row>
    <row r="177" spans="2:7">
      <c r="B177" s="635" t="s">
        <v>183</v>
      </c>
      <c r="C177" s="331">
        <f>VLOOKUP(G175,'7_1'!$A$12:$B$40,2,0)</f>
        <v>1252</v>
      </c>
      <c r="D177" s="76"/>
      <c r="E177" s="635" t="s">
        <v>184</v>
      </c>
      <c r="F177" s="347">
        <f>DSUM('7_1'!A$12:J$39,'7_1'!$J$12,G174:G175)</f>
        <v>1.53911927021581E-2</v>
      </c>
      <c r="G177" s="382"/>
    </row>
    <row r="178" spans="2:7">
      <c r="B178" s="635" t="s">
        <v>185</v>
      </c>
      <c r="C178" s="374">
        <v>64</v>
      </c>
      <c r="D178" s="76"/>
      <c r="E178" s="635" t="s">
        <v>186</v>
      </c>
      <c r="F178" s="368" t="str">
        <f>IF(VLOOKUP(G175,'7_1'!$A$12:$D$40,4,0)=2,"Eventual 80%","Definitivo 100%")</f>
        <v>Eventual 80%</v>
      </c>
      <c r="G178" s="382"/>
    </row>
    <row r="179" spans="2:7">
      <c r="B179" s="635" t="s">
        <v>187</v>
      </c>
      <c r="C179" s="375">
        <f>DSUM('7_1'!$A$12:$H$39,'7_1'!$H$12,G174:G175)</f>
        <v>0.59199999999999997</v>
      </c>
      <c r="D179" s="76"/>
      <c r="E179" s="635" t="s">
        <v>188</v>
      </c>
      <c r="F179" s="369" t="str">
        <f>+Hijuelas!$G$5</f>
        <v>fracción</v>
      </c>
      <c r="G179" s="384"/>
    </row>
    <row r="180" spans="2:7" ht="15.75">
      <c r="B180" s="76"/>
      <c r="C180" s="635" t="s">
        <v>189</v>
      </c>
      <c r="D180" s="107">
        <f>DMIN('7_1'!A$12:K$39,'7_1'!$K$12,G174:G175)</f>
        <v>42752.853356661173</v>
      </c>
      <c r="E180" s="127" t="str">
        <f>IF(F180=1,"Domingo",IF(F180=2,"Lunes",IF(F180=3,"Martes",IF(F180=4,"Miercoles",IF(F180=5,"Jueves",IF(F180=6,"Viernes",IF(F180=7,"Sábado",0)))))))</f>
        <v>Martes</v>
      </c>
      <c r="F180" s="128">
        <f>WEEKDAY(D180)</f>
        <v>3</v>
      </c>
      <c r="G180" s="385" t="s">
        <v>70</v>
      </c>
    </row>
    <row r="181" spans="2:7" ht="15.75">
      <c r="B181" s="76"/>
      <c r="C181" s="635" t="s">
        <v>190</v>
      </c>
      <c r="D181" s="107">
        <f>DMAX('7_1'!A$12:L$39,'7_1'!$L$12,G174:G175)</f>
        <v>42752.889581187213</v>
      </c>
      <c r="E181" s="127" t="str">
        <f>IF(F181=1,"Domingo",IF(F181=2,"Lunes",IF(F181=3,"Martes",IF(F181=4,"Miercoles",IF(F181=5,"Jueves",IF(F181=6,"Viernes",IF(F181=7,"Sábado",0)))))))</f>
        <v>Martes</v>
      </c>
      <c r="F181" s="128">
        <f>WEEKDAY(D181)</f>
        <v>3</v>
      </c>
      <c r="G181" s="385">
        <f>WEEKDAY(D181)</f>
        <v>3</v>
      </c>
    </row>
    <row r="182" spans="2:7">
      <c r="B182" s="76"/>
      <c r="C182" s="76"/>
      <c r="D182" s="76"/>
      <c r="E182" s="76"/>
      <c r="F182" s="106"/>
      <c r="G182" s="384"/>
    </row>
    <row r="183" spans="2:7">
      <c r="B183" s="377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2:7">
      <c r="B184" s="377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2:7">
      <c r="B185" s="108"/>
      <c r="C185" s="76"/>
      <c r="D185" s="76"/>
      <c r="E185" s="76"/>
      <c r="F185" s="76"/>
      <c r="G185" s="382"/>
    </row>
    <row r="186" spans="2:7" ht="13.5" thickBot="1">
      <c r="B186" s="387" t="str">
        <f>IF(DSUM('7_1'!$A$12:$P$63,16,G174:G175)=COUNTIF('7_1'!$A$40:$A$63,G175),"","Regularice su Deuda")</f>
        <v>Regularice su Deuda</v>
      </c>
      <c r="C186" s="326"/>
      <c r="D186" s="326"/>
      <c r="E186" s="326"/>
      <c r="F186" s="326"/>
      <c r="G186" s="388"/>
    </row>
    <row r="187" spans="2:7" ht="13.5" thickBot="1"/>
    <row r="188" spans="2:7">
      <c r="B188" s="379"/>
      <c r="C188" s="379"/>
      <c r="D188" s="379"/>
      <c r="E188" s="379"/>
      <c r="F188" s="379"/>
      <c r="G188" s="380"/>
    </row>
    <row r="189" spans="2:7">
      <c r="B189" s="109" t="s">
        <v>82</v>
      </c>
      <c r="C189" s="76"/>
      <c r="D189" s="76"/>
      <c r="E189" s="76"/>
      <c r="F189" s="76"/>
      <c r="G189" s="382"/>
    </row>
    <row r="190" spans="2:7">
      <c r="B190" s="76"/>
      <c r="C190" s="76"/>
      <c r="D190" s="76"/>
      <c r="E190" s="76"/>
      <c r="F190" s="76"/>
      <c r="G190" s="382"/>
    </row>
    <row r="191" spans="2:7">
      <c r="B191" s="76" t="s">
        <v>182</v>
      </c>
      <c r="C191" s="76" t="str">
        <f>VLOOKUP(G192,'7_1'!$A$12:$G$40,7,0)</f>
        <v>ROMERO PI±A, DIEGO- MORALES</v>
      </c>
      <c r="D191" s="76"/>
      <c r="E191" s="76"/>
      <c r="F191" s="76"/>
      <c r="G191" s="383" t="s">
        <v>134</v>
      </c>
    </row>
    <row r="192" spans="2:7">
      <c r="B192" s="76" t="s">
        <v>91</v>
      </c>
      <c r="C192" s="76" t="str">
        <f>+'7_1'!$H$2</f>
        <v>Hijuela 2da. El carmen Ramo 1</v>
      </c>
      <c r="D192" s="76"/>
      <c r="E192" s="76"/>
      <c r="F192" s="76"/>
      <c r="G192" s="383">
        <v>12</v>
      </c>
    </row>
    <row r="193" spans="2:7">
      <c r="B193" s="76"/>
      <c r="C193" s="76"/>
      <c r="D193" s="76"/>
      <c r="E193" s="76"/>
      <c r="F193" s="76"/>
      <c r="G193" s="382"/>
    </row>
    <row r="194" spans="2:7">
      <c r="B194" s="635" t="s">
        <v>183</v>
      </c>
      <c r="C194" s="331">
        <f>VLOOKUP(G192,'7_1'!$A$12:$B$40,2,0)</f>
        <v>1252</v>
      </c>
      <c r="D194" s="76"/>
      <c r="E194" s="635" t="s">
        <v>184</v>
      </c>
      <c r="F194" s="347">
        <f>DSUM('7_1'!A$12:J$39,'7_1'!$J$12,G191:G192)</f>
        <v>3.2922593146278462E-2</v>
      </c>
      <c r="G194" s="382"/>
    </row>
    <row r="195" spans="2:7">
      <c r="B195" s="635" t="s">
        <v>185</v>
      </c>
      <c r="C195" s="374">
        <v>63</v>
      </c>
      <c r="D195" s="76"/>
      <c r="E195" s="635" t="s">
        <v>186</v>
      </c>
      <c r="F195" s="368" t="str">
        <f>IF(VLOOKUP(G192,'7_1'!$A$12:$D$40,4,0)=2,"Eventual 80%","Definitivo 100%")</f>
        <v>Eventual 80%</v>
      </c>
      <c r="G195" s="382"/>
    </row>
    <row r="196" spans="2:7">
      <c r="B196" s="635" t="s">
        <v>187</v>
      </c>
      <c r="C196" s="375">
        <f>DSUM('7_1'!$A$12:$H$39,'7_1'!$H$12,G191:G192)</f>
        <v>1.2663200000000001</v>
      </c>
      <c r="D196" s="76"/>
      <c r="E196" s="635" t="s">
        <v>188</v>
      </c>
      <c r="F196" s="369" t="str">
        <f>+Hijuelas!$G$5</f>
        <v>fracción</v>
      </c>
      <c r="G196" s="384"/>
    </row>
    <row r="197" spans="2:7" ht="15.75">
      <c r="B197" s="76"/>
      <c r="C197" s="635" t="s">
        <v>189</v>
      </c>
      <c r="D197" s="107">
        <f>DMIN('7_1'!A$12:K$39,'7_1'!$K$12,G191:G192)</f>
        <v>42752.889581187213</v>
      </c>
      <c r="E197" s="127" t="str">
        <f>IF(F197=1,"Domingo",IF(F197=2,"Lunes",IF(F197=3,"Martes",IF(F197=4,"Miercoles",IF(F197=5,"Jueves",IF(F197=6,"Viernes",IF(F197=7,"Sábado",0)))))))</f>
        <v>Martes</v>
      </c>
      <c r="F197" s="128">
        <f>WEEKDAY(D197)</f>
        <v>3</v>
      </c>
      <c r="G197" s="385" t="s">
        <v>70</v>
      </c>
    </row>
    <row r="198" spans="2:7" ht="15.75">
      <c r="B198" s="76"/>
      <c r="C198" s="635" t="s">
        <v>190</v>
      </c>
      <c r="D198" s="107">
        <f>DMAX('7_1'!A$12:L$39,'7_1'!$L$12,G191:G192)</f>
        <v>42752.922503780363</v>
      </c>
      <c r="E198" s="127" t="str">
        <f>IF(F198=1,"Domingo",IF(F198=2,"Lunes",IF(F198=3,"Martes",IF(F198=4,"Miercoles",IF(F198=5,"Jueves",IF(F198=6,"Viernes",IF(F198=7,"Sábado",0)))))))</f>
        <v>Martes</v>
      </c>
      <c r="F198" s="128">
        <f>WEEKDAY(D198)</f>
        <v>3</v>
      </c>
      <c r="G198" s="385">
        <f>WEEKDAY(D198)</f>
        <v>3</v>
      </c>
    </row>
    <row r="199" spans="2:7">
      <c r="B199" s="76"/>
      <c r="C199" s="76"/>
      <c r="D199" s="76"/>
      <c r="E199" s="76"/>
      <c r="F199" s="106"/>
      <c r="G199" s="384"/>
    </row>
    <row r="200" spans="2:7">
      <c r="B200" s="377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2:7">
      <c r="B201" s="377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2:7">
      <c r="B202" s="108"/>
      <c r="C202" s="76"/>
      <c r="D202" s="76"/>
      <c r="E202" s="76"/>
      <c r="F202" s="76"/>
      <c r="G202" s="382"/>
    </row>
    <row r="203" spans="2:7" ht="13.5" thickBot="1">
      <c r="B203" s="387" t="str">
        <f>IF(DSUM('7_1'!$A$12:$P$63,16,G191:G192)=COUNTIF('7_1'!$A$40:$A$63,G192),"","Regularice su Deuda")</f>
        <v>Regularice su Deuda</v>
      </c>
      <c r="C203" s="326"/>
      <c r="D203" s="326"/>
      <c r="E203" s="326"/>
      <c r="F203" s="326"/>
      <c r="G203" s="388"/>
    </row>
    <row r="204" spans="2:7" ht="13.5" thickBot="1"/>
    <row r="205" spans="2:7">
      <c r="B205" s="379"/>
      <c r="C205" s="379"/>
      <c r="D205" s="379"/>
      <c r="E205" s="379"/>
      <c r="F205" s="379"/>
      <c r="G205" s="380"/>
    </row>
    <row r="206" spans="2:7">
      <c r="B206" s="109" t="s">
        <v>82</v>
      </c>
      <c r="C206" s="76"/>
      <c r="D206" s="76"/>
      <c r="E206" s="76"/>
      <c r="F206" s="76"/>
      <c r="G206" s="382"/>
    </row>
    <row r="207" spans="2:7">
      <c r="B207" s="76"/>
      <c r="C207" s="76"/>
      <c r="D207" s="76"/>
      <c r="E207" s="76"/>
      <c r="F207" s="76"/>
      <c r="G207" s="382"/>
    </row>
    <row r="208" spans="2:7">
      <c r="B208" s="76" t="s">
        <v>182</v>
      </c>
      <c r="C208" s="76" t="str">
        <f>VLOOKUP(G209,'7_1'!$A$12:$G$40,7,0)</f>
        <v>ROMERO PI±A, DIEGO-(ARCHERITO, CAYETANO)</v>
      </c>
      <c r="D208" s="76"/>
      <c r="E208" s="76"/>
      <c r="F208" s="76"/>
      <c r="G208" s="383" t="s">
        <v>134</v>
      </c>
    </row>
    <row r="209" spans="2:7">
      <c r="B209" s="76" t="s">
        <v>91</v>
      </c>
      <c r="C209" s="76" t="str">
        <f>+'7_1'!$H$2</f>
        <v>Hijuela 2da. El carmen Ramo 1</v>
      </c>
      <c r="D209" s="76"/>
      <c r="E209" s="76"/>
      <c r="F209" s="76"/>
      <c r="G209" s="383">
        <v>13</v>
      </c>
    </row>
    <row r="210" spans="2:7">
      <c r="B210" s="76"/>
      <c r="C210" s="76"/>
      <c r="D210" s="76"/>
      <c r="E210" s="76"/>
      <c r="F210" s="76"/>
      <c r="G210" s="382"/>
    </row>
    <row r="211" spans="2:7">
      <c r="B211" s="635" t="s">
        <v>183</v>
      </c>
      <c r="C211" s="331">
        <f>VLOOKUP(G209,'7_1'!$A$12:$B$40,2,0)</f>
        <v>1252</v>
      </c>
      <c r="D211" s="76"/>
      <c r="E211" s="635" t="s">
        <v>184</v>
      </c>
      <c r="F211" s="347">
        <f>DSUM('7_1'!A$12:J$39,'7_1'!$J$12,G208:G209)</f>
        <v>8.6253075859256297E-3</v>
      </c>
      <c r="G211" s="382"/>
    </row>
    <row r="212" spans="2:7">
      <c r="B212" s="635" t="s">
        <v>185</v>
      </c>
      <c r="C212" s="374">
        <v>36</v>
      </c>
      <c r="D212" s="76"/>
      <c r="E212" s="635" t="s">
        <v>186</v>
      </c>
      <c r="F212" s="368" t="str">
        <f>IF(VLOOKUP(G209,'7_1'!$A$12:$D$40,4,0)=2,"Eventual 80%","Definitivo 100%")</f>
        <v>Eventual 80%</v>
      </c>
      <c r="G212" s="382"/>
    </row>
    <row r="213" spans="2:7">
      <c r="B213" s="635" t="s">
        <v>187</v>
      </c>
      <c r="C213" s="375">
        <f>DSUM('7_1'!$A$12:$H$39,'7_1'!$H$12,G208:G209)</f>
        <v>0.33176000000000005</v>
      </c>
      <c r="D213" s="76"/>
      <c r="E213" s="635" t="s">
        <v>188</v>
      </c>
      <c r="F213" s="369" t="str">
        <f>+Hijuelas!$G$5</f>
        <v>fracción</v>
      </c>
      <c r="G213" s="384"/>
    </row>
    <row r="214" spans="2:7" ht="15.75">
      <c r="B214" s="76"/>
      <c r="C214" s="635" t="s">
        <v>189</v>
      </c>
      <c r="D214" s="107">
        <f>DMIN('7_1'!A$12:K$39,'7_1'!$K$12,G208:G209)</f>
        <v>42752.922503780363</v>
      </c>
      <c r="E214" s="127" t="str">
        <f>IF(F214=1,"Domingo",IF(F214=2,"Lunes",IF(F214=3,"Martes",IF(F214=4,"Miercoles",IF(F214=5,"Jueves",IF(F214=6,"Viernes",IF(F214=7,"Sábado",0)))))))</f>
        <v>Martes</v>
      </c>
      <c r="F214" s="128">
        <f>WEEKDAY(D214)</f>
        <v>3</v>
      </c>
      <c r="G214" s="385" t="s">
        <v>70</v>
      </c>
    </row>
    <row r="215" spans="2:7" ht="15.75">
      <c r="B215" s="76"/>
      <c r="C215" s="635" t="s">
        <v>190</v>
      </c>
      <c r="D215" s="107">
        <f>DMAX('7_1'!A$12:L$39,'7_1'!$L$12,G208:G209)</f>
        <v>42752.951962421284</v>
      </c>
      <c r="E215" s="127" t="str">
        <f>IF(F215=1,"Domingo",IF(F215=2,"Lunes",IF(F215=3,"Martes",IF(F215=4,"Miercoles",IF(F215=5,"Jueves",IF(F215=6,"Viernes",IF(F215=7,"Sábado",0)))))))</f>
        <v>Martes</v>
      </c>
      <c r="F215" s="128">
        <f>WEEKDAY(D215)</f>
        <v>3</v>
      </c>
      <c r="G215" s="385">
        <f>WEEKDAY(D215)</f>
        <v>3</v>
      </c>
    </row>
    <row r="216" spans="2:7">
      <c r="B216" s="76"/>
      <c r="C216" s="76"/>
      <c r="D216" s="76"/>
      <c r="E216" s="76"/>
      <c r="F216" s="106"/>
      <c r="G216" s="384"/>
    </row>
    <row r="217" spans="2:7">
      <c r="B217" s="377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2:7">
      <c r="B218" s="377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2:7">
      <c r="B219" s="108"/>
      <c r="C219" s="76"/>
      <c r="D219" s="76"/>
      <c r="E219" s="76"/>
      <c r="F219" s="76"/>
      <c r="G219" s="382"/>
    </row>
    <row r="220" spans="2:7" ht="13.5" thickBot="1">
      <c r="B220" s="387" t="str">
        <f>IF(DSUM('7_1'!$A$12:$P$63,16,G208:G209)=COUNTIF('7_1'!$A$40:$A$63,G209),"","Regularice su Deuda")</f>
        <v>Regularice su Deuda</v>
      </c>
      <c r="C220" s="326"/>
      <c r="D220" s="326"/>
      <c r="E220" s="326"/>
      <c r="F220" s="326"/>
      <c r="G220" s="388"/>
    </row>
    <row r="221" spans="2:7" ht="13.5" thickBot="1"/>
    <row r="222" spans="2:7">
      <c r="B222" s="379"/>
      <c r="C222" s="379"/>
      <c r="D222" s="379"/>
      <c r="E222" s="379"/>
      <c r="F222" s="379"/>
      <c r="G222" s="380"/>
    </row>
    <row r="223" spans="2:7">
      <c r="B223" s="109" t="s">
        <v>82</v>
      </c>
      <c r="C223" s="76"/>
      <c r="D223" s="76"/>
      <c r="E223" s="76"/>
      <c r="F223" s="76"/>
      <c r="G223" s="382"/>
    </row>
    <row r="224" spans="2:7">
      <c r="B224" s="76"/>
      <c r="C224" s="76"/>
      <c r="D224" s="76"/>
      <c r="E224" s="76"/>
      <c r="F224" s="76"/>
      <c r="G224" s="382"/>
    </row>
    <row r="225" spans="2:7">
      <c r="B225" s="76" t="s">
        <v>182</v>
      </c>
      <c r="C225" s="76" t="str">
        <f>VLOOKUP(G226,'7_1'!$A$12:$G$40,7,0)</f>
        <v>NESCI, VICENTE</v>
      </c>
      <c r="D225" s="76"/>
      <c r="E225" s="76"/>
      <c r="F225" s="76"/>
      <c r="G225" s="383" t="s">
        <v>134</v>
      </c>
    </row>
    <row r="226" spans="2:7">
      <c r="B226" s="76" t="s">
        <v>91</v>
      </c>
      <c r="C226" s="76" t="str">
        <f>+'7_1'!$H$2</f>
        <v>Hijuela 2da. El carmen Ramo 1</v>
      </c>
      <c r="D226" s="76"/>
      <c r="E226" s="76"/>
      <c r="F226" s="76"/>
      <c r="G226" s="383">
        <v>14</v>
      </c>
    </row>
    <row r="227" spans="2:7">
      <c r="B227" s="76"/>
      <c r="C227" s="76"/>
      <c r="D227" s="76"/>
      <c r="E227" s="76"/>
      <c r="F227" s="76"/>
      <c r="G227" s="382"/>
    </row>
    <row r="228" spans="2:7">
      <c r="B228" s="635" t="s">
        <v>183</v>
      </c>
      <c r="C228" s="331">
        <f>VLOOKUP(G226,'7_1'!$A$12:$B$40,2,0)</f>
        <v>1252</v>
      </c>
      <c r="D228" s="76"/>
      <c r="E228" s="635" t="s">
        <v>184</v>
      </c>
      <c r="F228" s="347">
        <f>DSUM('7_1'!A$12:J$39,'7_1'!$J$12,G225:G226)</f>
        <v>0.37371687782654994</v>
      </c>
      <c r="G228" s="382"/>
    </row>
    <row r="229" spans="2:7">
      <c r="B229" s="635" t="s">
        <v>185</v>
      </c>
      <c r="C229" s="374" t="s">
        <v>336</v>
      </c>
      <c r="D229" s="76"/>
      <c r="E229" s="635" t="s">
        <v>186</v>
      </c>
      <c r="F229" s="368" t="str">
        <f>IF(VLOOKUP(G226,'7_1'!$A$12:$D$40,4,0)=2,"Eventual 80%","Definitivo 100%")</f>
        <v>Eventual 80%</v>
      </c>
      <c r="G229" s="382"/>
    </row>
    <row r="230" spans="2:7">
      <c r="B230" s="635" t="s">
        <v>187</v>
      </c>
      <c r="C230" s="375">
        <f>DSUM('7_1'!$A$12:$H$39,'7_1'!$H$12,G225:G226)</f>
        <v>14.374480000000002</v>
      </c>
      <c r="D230" s="76"/>
      <c r="E230" s="635" t="s">
        <v>188</v>
      </c>
      <c r="F230" s="369" t="str">
        <f>+Hijuelas!$G$5</f>
        <v>fracción</v>
      </c>
      <c r="G230" s="384"/>
    </row>
    <row r="231" spans="2:7" ht="15.75">
      <c r="B231" s="76"/>
      <c r="C231" s="635" t="s">
        <v>189</v>
      </c>
      <c r="D231" s="107">
        <f>DMIN('7_1'!A$12:K$39,'7_1'!$K$12,G225:G226)</f>
        <v>42752.951962421284</v>
      </c>
      <c r="E231" s="127" t="str">
        <f>IF(F231=1,"Domingo",IF(F231=2,"Lunes",IF(F231=3,"Martes",IF(F231=4,"Miercoles",IF(F231=5,"Jueves",IF(F231=6,"Viernes",IF(F231=7,"Sábado",0)))))))</f>
        <v>Martes</v>
      </c>
      <c r="F231" s="128">
        <f>WEEKDAY(D231)</f>
        <v>3</v>
      </c>
      <c r="G231" s="385" t="s">
        <v>70</v>
      </c>
    </row>
    <row r="232" spans="2:7" ht="15.75">
      <c r="B232" s="76"/>
      <c r="C232" s="635" t="s">
        <v>190</v>
      </c>
      <c r="D232" s="107">
        <f>DMAX('7_1'!A$12:L$39,'7_1'!$L$12,G225:G226)</f>
        <v>42753.36734596578</v>
      </c>
      <c r="E232" s="127" t="str">
        <f>IF(F232=1,"Domingo",IF(F232=2,"Lunes",IF(F232=3,"Martes",IF(F232=4,"Miercoles",IF(F232=5,"Jueves",IF(F232=6,"Viernes",IF(F232=7,"Sábado",0)))))))</f>
        <v>Miercoles</v>
      </c>
      <c r="F232" s="128">
        <f>WEEKDAY(D232)</f>
        <v>4</v>
      </c>
      <c r="G232" s="385">
        <f>WEEKDAY(D232)</f>
        <v>4</v>
      </c>
    </row>
    <row r="233" spans="2:7">
      <c r="B233" s="76"/>
      <c r="C233" s="76"/>
      <c r="D233" s="76"/>
      <c r="E233" s="76"/>
      <c r="F233" s="106"/>
      <c r="G233" s="384"/>
    </row>
    <row r="234" spans="2:7">
      <c r="B234" s="377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2:7">
      <c r="B235" s="377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2:7">
      <c r="B236" s="108"/>
      <c r="C236" s="76"/>
      <c r="D236" s="76"/>
      <c r="E236" s="76"/>
      <c r="F236" s="76"/>
      <c r="G236" s="382"/>
    </row>
    <row r="237" spans="2:7" ht="13.5" thickBot="1">
      <c r="B237" s="387" t="str">
        <f>IF(DSUM('7_1'!$A$12:$P$63,16,G225:G226)=COUNTIF('7_1'!$A$40:$A$63,G226),"","Regularice su Deuda")</f>
        <v>Regularice su Deuda</v>
      </c>
      <c r="C237" s="326"/>
      <c r="D237" s="326"/>
      <c r="E237" s="326"/>
      <c r="F237" s="326"/>
      <c r="G237" s="388"/>
    </row>
    <row r="238" spans="2:7" ht="13.5" thickBot="1"/>
    <row r="239" spans="2:7">
      <c r="B239" s="379"/>
      <c r="C239" s="379"/>
      <c r="D239" s="379"/>
      <c r="E239" s="379"/>
      <c r="F239" s="379"/>
      <c r="G239" s="380"/>
    </row>
    <row r="240" spans="2:7">
      <c r="B240" s="109" t="s">
        <v>82</v>
      </c>
      <c r="C240" s="76"/>
      <c r="D240" s="76"/>
      <c r="E240" s="76"/>
      <c r="F240" s="76"/>
      <c r="G240" s="382"/>
    </row>
    <row r="241" spans="2:7">
      <c r="B241" s="76"/>
      <c r="C241" s="76"/>
      <c r="D241" s="76"/>
      <c r="E241" s="76"/>
      <c r="F241" s="76"/>
      <c r="G241" s="382"/>
    </row>
    <row r="242" spans="2:7">
      <c r="B242" s="76" t="s">
        <v>182</v>
      </c>
      <c r="C242" s="76" t="str">
        <f>VLOOKUP(G243,'7_1'!$A$12:$G$40,7,0)</f>
        <v>SIMIONATO, JOSE</v>
      </c>
      <c r="D242" s="76"/>
      <c r="E242" s="76"/>
      <c r="F242" s="76"/>
      <c r="G242" s="383" t="s">
        <v>134</v>
      </c>
    </row>
    <row r="243" spans="2:7">
      <c r="B243" s="76" t="s">
        <v>91</v>
      </c>
      <c r="C243" s="76" t="str">
        <f>+'7_1'!$H$2</f>
        <v>Hijuela 2da. El carmen Ramo 1</v>
      </c>
      <c r="D243" s="76"/>
      <c r="E243" s="76"/>
      <c r="F243" s="76"/>
      <c r="G243" s="383">
        <v>15</v>
      </c>
    </row>
    <row r="244" spans="2:7">
      <c r="B244" s="76"/>
      <c r="C244" s="76"/>
      <c r="D244" s="76"/>
      <c r="E244" s="76"/>
      <c r="F244" s="76"/>
      <c r="G244" s="382"/>
    </row>
    <row r="245" spans="2:7">
      <c r="B245" s="635" t="s">
        <v>183</v>
      </c>
      <c r="C245" s="331">
        <f>VLOOKUP(G243,'7_1'!$A$12:$B$40,2,0)</f>
        <v>1252</v>
      </c>
      <c r="D245" s="76"/>
      <c r="E245" s="635" t="s">
        <v>184</v>
      </c>
      <c r="F245" s="347">
        <f>DSUM('7_1'!A$12:J$39,'7_1'!$J$12,G242:G243)</f>
        <v>0.17084847866667202</v>
      </c>
      <c r="G245" s="382"/>
    </row>
    <row r="246" spans="2:7">
      <c r="B246" s="635" t="s">
        <v>185</v>
      </c>
      <c r="C246" s="374" t="s">
        <v>337</v>
      </c>
      <c r="D246" s="76"/>
      <c r="E246" s="635" t="s">
        <v>186</v>
      </c>
      <c r="F246" s="368" t="str">
        <f>IF(VLOOKUP(G243,'7_1'!$A$12:$D$40,4,0)=2,"Eventual 80%","Definitivo 100%")</f>
        <v>Eventual 80%</v>
      </c>
      <c r="G246" s="382"/>
    </row>
    <row r="247" spans="2:7">
      <c r="B247" s="635" t="s">
        <v>187</v>
      </c>
      <c r="C247" s="375">
        <f>DSUM('7_1'!$A$12:$H$39,'7_1'!$H$12,G242:G243)</f>
        <v>6.5714399999999999</v>
      </c>
      <c r="D247" s="76"/>
      <c r="E247" s="635" t="s">
        <v>188</v>
      </c>
      <c r="F247" s="369" t="str">
        <f>+Hijuelas!$G$5</f>
        <v>fracción</v>
      </c>
      <c r="G247" s="384"/>
    </row>
    <row r="248" spans="2:7" ht="15.75">
      <c r="B248" s="76"/>
      <c r="C248" s="635" t="s">
        <v>189</v>
      </c>
      <c r="D248" s="107">
        <f>DMIN('7_1'!A$12:K$39,'7_1'!$K$12,G242:G243)</f>
        <v>42753.36734596578</v>
      </c>
      <c r="E248" s="127" t="str">
        <f>IF(F248=1,"Domingo",IF(F248=2,"Lunes",IF(F248=3,"Martes",IF(F248=4,"Miercoles",IF(F248=5,"Jueves",IF(F248=6,"Viernes",IF(F248=7,"Sábado",0)))))))</f>
        <v>Miercoles</v>
      </c>
      <c r="F248" s="128">
        <f>WEEKDAY(D248)</f>
        <v>4</v>
      </c>
      <c r="G248" s="385" t="s">
        <v>70</v>
      </c>
    </row>
    <row r="249" spans="2:7" ht="15.75">
      <c r="B249" s="76"/>
      <c r="C249" s="635" t="s">
        <v>190</v>
      </c>
      <c r="D249" s="107">
        <f>DMAX('7_1'!A$12:L$39,'7_1'!$L$12,G242:G243)</f>
        <v>42753.538194444445</v>
      </c>
      <c r="E249" s="127" t="str">
        <f>IF(F249=1,"Domingo",IF(F249=2,"Lunes",IF(F249=3,"Martes",IF(F249=4,"Miercoles",IF(F249=5,"Jueves",IF(F249=6,"Viernes",IF(F249=7,"Sábado",0)))))))</f>
        <v>Miercoles</v>
      </c>
      <c r="F249" s="128">
        <f>WEEKDAY(D249)</f>
        <v>4</v>
      </c>
      <c r="G249" s="385">
        <f>WEEKDAY(D249)</f>
        <v>4</v>
      </c>
    </row>
    <row r="250" spans="2:7">
      <c r="B250" s="76"/>
      <c r="C250" s="76"/>
      <c r="D250" s="76"/>
      <c r="E250" s="76"/>
      <c r="F250" s="106"/>
      <c r="G250" s="384"/>
    </row>
    <row r="251" spans="2:7">
      <c r="B251" s="377" t="str">
        <f>+Mensajes!$B$7</f>
        <v>PARA CUALQUIER MODIFICACION EN EL CUADRO DE TURNO COMUNIQUESE CON SU TOMERO</v>
      </c>
      <c r="C251" s="76"/>
      <c r="D251" s="76"/>
      <c r="E251" s="76"/>
      <c r="F251" s="76"/>
      <c r="G251" s="382"/>
    </row>
    <row r="252" spans="2:7">
      <c r="B252" s="377" t="str">
        <f>+Mensajes!$B$12</f>
        <v>Recuerde que con 1 (una) cuotas vigentes impagas se restringirá el servicio.</v>
      </c>
      <c r="C252" s="76"/>
      <c r="D252" s="76"/>
      <c r="E252" s="76"/>
      <c r="F252" s="76"/>
      <c r="G252" s="382"/>
    </row>
    <row r="253" spans="2:7">
      <c r="B253" s="108"/>
      <c r="C253" s="76"/>
      <c r="D253" s="76"/>
      <c r="E253" s="76"/>
      <c r="F253" s="76"/>
      <c r="G253" s="382"/>
    </row>
    <row r="254" spans="2:7" ht="13.5" thickBot="1">
      <c r="B254" s="387" t="str">
        <f>IF(DSUM('7_1'!$A$12:$P$63,16,G242:G243)=COUNTIF('7_1'!$A$40:$A$63,G243),"","Regularice su Deuda")</f>
        <v>Regularice su Deuda</v>
      </c>
      <c r="C254" s="326"/>
      <c r="D254" s="326"/>
      <c r="E254" s="326"/>
      <c r="F254" s="326"/>
      <c r="G254" s="388"/>
    </row>
    <row r="255" spans="2:7" ht="13.5" thickBot="1"/>
    <row r="256" spans="2:7">
      <c r="B256" s="379"/>
      <c r="C256" s="379"/>
      <c r="D256" s="379"/>
      <c r="E256" s="379"/>
      <c r="F256" s="379"/>
      <c r="G256" s="380"/>
    </row>
    <row r="257" spans="2:7">
      <c r="B257" s="109" t="s">
        <v>82</v>
      </c>
      <c r="C257" s="76"/>
      <c r="D257" s="76"/>
      <c r="E257" s="76"/>
      <c r="F257" s="76"/>
      <c r="G257" s="382"/>
    </row>
    <row r="258" spans="2:7">
      <c r="B258" s="76"/>
      <c r="C258" s="76"/>
      <c r="D258" s="76"/>
      <c r="E258" s="76"/>
      <c r="F258" s="76"/>
      <c r="G258" s="382"/>
    </row>
    <row r="259" spans="2:7">
      <c r="B259" s="76" t="s">
        <v>182</v>
      </c>
      <c r="C259" s="76" t="str">
        <f>VLOOKUP(G260,'7_1'!$A$12:$G$40,7,0)</f>
        <v>COLOMBI, LUIS ( CHIAPA)</v>
      </c>
      <c r="D259" s="76"/>
      <c r="E259" s="76"/>
      <c r="F259" s="76"/>
      <c r="G259" s="383" t="s">
        <v>134</v>
      </c>
    </row>
    <row r="260" spans="2:7">
      <c r="B260" s="76" t="s">
        <v>91</v>
      </c>
      <c r="C260" s="76" t="str">
        <f>+'7_1'!$H$2</f>
        <v>Hijuela 2da. El carmen Ramo 1</v>
      </c>
      <c r="D260" s="76"/>
      <c r="E260" s="76"/>
      <c r="F260" s="76"/>
      <c r="G260" s="383">
        <v>16</v>
      </c>
    </row>
    <row r="261" spans="2:7">
      <c r="B261" s="76"/>
      <c r="C261" s="76"/>
      <c r="D261" s="76"/>
      <c r="E261" s="76"/>
      <c r="F261" s="76"/>
      <c r="G261" s="382"/>
    </row>
    <row r="262" spans="2:7">
      <c r="B262" s="635" t="s">
        <v>183</v>
      </c>
      <c r="C262" s="331">
        <f>VLOOKUP(G260,'7_1'!$A$12:$B$40,2,0)</f>
        <v>1252</v>
      </c>
      <c r="D262" s="76"/>
      <c r="E262" s="635" t="s">
        <v>184</v>
      </c>
      <c r="F262" s="347">
        <f>DSUM('7_1'!A$12:J$39,'7_1'!$J$12,G259:G260)</f>
        <v>0</v>
      </c>
      <c r="G262" s="382"/>
    </row>
    <row r="263" spans="2:7">
      <c r="B263" s="635" t="s">
        <v>185</v>
      </c>
      <c r="C263" s="374" t="s">
        <v>338</v>
      </c>
      <c r="D263" s="76"/>
      <c r="E263" s="635" t="s">
        <v>186</v>
      </c>
      <c r="F263" s="368" t="str">
        <f>IF(VLOOKUP(G260,'7_1'!$A$12:$D$40,4,0)=2,"Eventual 80%","Definitivo 100%")</f>
        <v>Eventual 80%</v>
      </c>
      <c r="G263" s="382"/>
    </row>
    <row r="264" spans="2:7">
      <c r="B264" s="635" t="s">
        <v>187</v>
      </c>
      <c r="C264" s="375">
        <f>DSUM('7_1'!$A$12:$H$39,'7_1'!$H$12,G259:G260)</f>
        <v>0</v>
      </c>
      <c r="D264" s="76"/>
      <c r="E264" s="635" t="s">
        <v>188</v>
      </c>
      <c r="F264" s="369" t="str">
        <f>+Hijuelas!$G$5</f>
        <v>fracción</v>
      </c>
      <c r="G264" s="384"/>
    </row>
    <row r="265" spans="2:7" ht="15.75">
      <c r="B265" s="76"/>
      <c r="C265" s="635" t="s">
        <v>189</v>
      </c>
      <c r="D265" s="107">
        <f>DMIN('7_1'!A$12:K$39,'7_1'!$K$12,G259:G260)</f>
        <v>42753.538194444445</v>
      </c>
      <c r="E265" s="127" t="str">
        <f>IF(F265=1,"Domingo",IF(F265=2,"Lunes",IF(F265=3,"Martes",IF(F265=4,"Miercoles",IF(F265=5,"Jueves",IF(F265=6,"Viernes",IF(F265=7,"Sábado",0)))))))</f>
        <v>Miercoles</v>
      </c>
      <c r="F265" s="128">
        <f>WEEKDAY(D265)</f>
        <v>4</v>
      </c>
      <c r="G265" s="385" t="s">
        <v>70</v>
      </c>
    </row>
    <row r="266" spans="2:7" ht="15.75">
      <c r="B266" s="76"/>
      <c r="C266" s="635" t="s">
        <v>190</v>
      </c>
      <c r="D266" s="107">
        <f>DMAX('7_1'!A$12:L$39,'7_1'!$L$12,G259:G260)</f>
        <v>42753.538194444445</v>
      </c>
      <c r="E266" s="127" t="str">
        <f>IF(F266=1,"Domingo",IF(F266=2,"Lunes",IF(F266=3,"Martes",IF(F266=4,"Miercoles",IF(F266=5,"Jueves",IF(F266=6,"Viernes",IF(F266=7,"Sábado",0)))))))</f>
        <v>Miercoles</v>
      </c>
      <c r="F266" s="128">
        <f>WEEKDAY(D266)</f>
        <v>4</v>
      </c>
      <c r="G266" s="385">
        <f>WEEKDAY(D266)</f>
        <v>4</v>
      </c>
    </row>
    <row r="267" spans="2:7">
      <c r="B267" s="76"/>
      <c r="C267" s="76"/>
      <c r="D267" s="76"/>
      <c r="E267" s="76"/>
      <c r="F267" s="106"/>
      <c r="G267" s="384"/>
    </row>
    <row r="268" spans="2:7">
      <c r="B268" s="377" t="str">
        <f>+Mensajes!$B$7</f>
        <v>PARA CUALQUIER MODIFICACION EN EL CUADRO DE TURNO COMUNIQUESE CON SU TOMERO</v>
      </c>
      <c r="C268" s="76"/>
      <c r="D268" s="76"/>
      <c r="E268" s="76"/>
      <c r="F268" s="76"/>
      <c r="G268" s="382"/>
    </row>
    <row r="269" spans="2:7">
      <c r="B269" s="377" t="str">
        <f>+Mensajes!$B$12</f>
        <v>Recuerde que con 1 (una) cuotas vigentes impagas se restringirá el servicio.</v>
      </c>
      <c r="C269" s="76"/>
      <c r="D269" s="76"/>
      <c r="E269" s="76"/>
      <c r="F269" s="76"/>
      <c r="G269" s="382"/>
    </row>
    <row r="270" spans="2:7">
      <c r="B270" s="108"/>
      <c r="C270" s="76"/>
      <c r="D270" s="76"/>
      <c r="E270" s="76"/>
      <c r="F270" s="76"/>
      <c r="G270" s="382"/>
    </row>
    <row r="271" spans="2:7" ht="13.5" thickBot="1">
      <c r="B271" s="387" t="str">
        <f>IF(DSUM('7_1'!$A$12:$P$63,16,G259:G260)=COUNTIF('7_1'!$A$40:$A$63,G260),"","Regularice su Deuda")</f>
        <v/>
      </c>
      <c r="C271" s="326"/>
      <c r="D271" s="326"/>
      <c r="E271" s="326"/>
      <c r="F271" s="326"/>
      <c r="G271" s="388"/>
    </row>
  </sheetData>
  <phoneticPr fontId="0" type="noConversion"/>
  <pageMargins left="0.19685039370078741" right="0.39370078740157483" top="0.15748031496062992" bottom="0.19685039370078741" header="0" footer="0"/>
  <pageSetup paperSize="9" scale="70" orientation="portrait" horizontalDpi="300" verticalDpi="300" r:id="rId1"/>
  <headerFooter alignWithMargins="0"/>
  <rowBreaks count="3" manualBreakCount="3">
    <brk id="85" min="1" max="6" man="1"/>
    <brk id="170" min="1" max="6" man="1"/>
    <brk id="255" min="1" max="6" man="1"/>
  </rowBreaks>
  <colBreaks count="1" manualBreakCount="1">
    <brk id="8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3"/>
  <dimension ref="A1:T38"/>
  <sheetViews>
    <sheetView topLeftCell="A7" zoomScale="75" zoomScaleNormal="75" zoomScaleSheetLayoutView="100" workbookViewId="0" xr3:uid="{731C365F-4EDE-5636-9D2D-917179ED8537}">
      <selection activeCell="K25" sqref="K10:L25"/>
    </sheetView>
  </sheetViews>
  <sheetFormatPr defaultRowHeight="12.75"/>
  <cols>
    <col min="1" max="1" width="7.7109375" style="11" bestFit="1" customWidth="1"/>
    <col min="2" max="2" width="6" customWidth="1"/>
    <col min="3" max="3" width="8" bestFit="1" customWidth="1"/>
    <col min="4" max="4" width="8.85546875" bestFit="1" customWidth="1"/>
    <col min="5" max="5" width="10.85546875" bestFit="1" customWidth="1"/>
    <col min="6" max="6" width="14.5703125" customWidth="1"/>
    <col min="7" max="7" width="27.85546875" customWidth="1"/>
    <col min="8" max="8" width="11.28515625" customWidth="1"/>
    <col min="9" max="9" width="9.42578125" bestFit="1" customWidth="1"/>
    <col min="10" max="10" width="7.7109375" bestFit="1" customWidth="1"/>
    <col min="11" max="12" width="15.42578125" bestFit="1" customWidth="1"/>
    <col min="13" max="13" width="25.140625" customWidth="1"/>
    <col min="14" max="14" width="26.42578125" customWidth="1"/>
    <col min="15" max="15" width="12.28515625" bestFit="1" customWidth="1"/>
    <col min="16" max="18" width="11.5703125" bestFit="1" customWidth="1"/>
    <col min="19" max="19" width="12" bestFit="1" customWidth="1"/>
    <col min="20" max="256" width="11.42578125" customWidth="1"/>
  </cols>
  <sheetData>
    <row r="1" spans="1:20">
      <c r="A1" s="637"/>
      <c r="B1" s="105" t="s">
        <v>123</v>
      </c>
      <c r="C1" s="99"/>
      <c r="D1" s="99"/>
      <c r="E1" s="99"/>
      <c r="F1" s="99"/>
      <c r="G1" s="637" t="s">
        <v>339</v>
      </c>
      <c r="H1" s="99"/>
      <c r="I1" s="99"/>
      <c r="J1" s="99"/>
      <c r="K1" s="99"/>
      <c r="L1" s="99"/>
      <c r="M1" s="99"/>
    </row>
    <row r="2" spans="1:20" ht="13.5" thickBot="1">
      <c r="A2" s="637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0">
      <c r="A3" s="662" t="s">
        <v>124</v>
      </c>
      <c r="B3" s="663"/>
      <c r="C3" s="659">
        <f>+Hijuelas!D17</f>
        <v>42973.541666666664</v>
      </c>
      <c r="D3" s="667"/>
      <c r="E3" s="660"/>
      <c r="F3" s="305"/>
      <c r="G3" s="306" t="s">
        <v>125</v>
      </c>
      <c r="H3" s="307">
        <f>+Hijuelas!G4</f>
        <v>3.9895833333333335</v>
      </c>
      <c r="I3" s="99"/>
      <c r="J3" s="99"/>
      <c r="K3" s="99"/>
      <c r="L3" s="99"/>
      <c r="M3" s="99"/>
    </row>
    <row r="4" spans="1:20" ht="13.5" thickBot="1">
      <c r="A4" s="664" t="s">
        <v>126</v>
      </c>
      <c r="B4" s="665"/>
      <c r="C4" s="668">
        <f>+C3+H3</f>
        <v>42977.53125</v>
      </c>
      <c r="D4" s="669"/>
      <c r="E4" s="670"/>
      <c r="F4" s="305"/>
      <c r="G4" s="265" t="s">
        <v>127</v>
      </c>
      <c r="H4" s="308">
        <v>0.1875</v>
      </c>
      <c r="I4" s="305"/>
      <c r="J4" s="99"/>
      <c r="K4" s="309"/>
      <c r="L4" s="99"/>
      <c r="M4" s="99"/>
    </row>
    <row r="5" spans="1:20">
      <c r="A5" s="637"/>
      <c r="B5" s="99"/>
      <c r="C5" s="99"/>
      <c r="D5" s="99"/>
      <c r="E5" s="99"/>
      <c r="F5" s="99"/>
      <c r="G5" s="265" t="s">
        <v>128</v>
      </c>
      <c r="H5" s="308">
        <v>0</v>
      </c>
      <c r="I5" s="99"/>
      <c r="J5" s="99"/>
      <c r="K5" s="99"/>
      <c r="L5" s="99"/>
      <c r="M5" s="99"/>
    </row>
    <row r="6" spans="1:20" ht="13.5" thickBot="1">
      <c r="A6" s="637"/>
      <c r="B6" s="99"/>
      <c r="C6" s="99"/>
      <c r="D6" s="99"/>
      <c r="E6" s="99"/>
      <c r="F6" s="99"/>
      <c r="G6" s="310" t="s">
        <v>340</v>
      </c>
      <c r="H6" s="311">
        <f>+I27</f>
        <v>4.1666666666666664E-2</v>
      </c>
      <c r="I6" s="99"/>
      <c r="J6" s="99"/>
      <c r="K6" s="99"/>
      <c r="L6" s="99"/>
      <c r="M6" s="99"/>
    </row>
    <row r="7" spans="1:20">
      <c r="A7" s="666" t="s">
        <v>129</v>
      </c>
      <c r="B7" s="666"/>
      <c r="C7" s="312">
        <f>H3-(H4+H5+H6)</f>
        <v>3.760416666666667</v>
      </c>
      <c r="D7" s="636" t="s">
        <v>130</v>
      </c>
      <c r="E7" s="317">
        <f>+C7*60</f>
        <v>225.62500000000003</v>
      </c>
      <c r="F7" s="636" t="s">
        <v>131</v>
      </c>
      <c r="G7" s="325">
        <f>+H27</f>
        <v>126.97208000000002</v>
      </c>
      <c r="H7" s="636" t="s">
        <v>132</v>
      </c>
      <c r="I7" s="314">
        <f>+E7/G7</f>
        <v>1.7769654557127834</v>
      </c>
      <c r="J7" s="99"/>
      <c r="K7" s="99"/>
      <c r="L7" s="99"/>
      <c r="M7" s="99"/>
    </row>
    <row r="8" spans="1:20" ht="13.5" thickBot="1">
      <c r="A8" s="637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0" ht="13.5" thickBot="1">
      <c r="A9" s="297" t="s">
        <v>134</v>
      </c>
      <c r="B9" s="295" t="s">
        <v>135</v>
      </c>
      <c r="C9" s="291" t="s">
        <v>136</v>
      </c>
      <c r="D9" s="292" t="s">
        <v>341</v>
      </c>
      <c r="E9" s="292" t="s">
        <v>138</v>
      </c>
      <c r="F9" s="292" t="s">
        <v>141</v>
      </c>
      <c r="G9" s="292" t="s">
        <v>140</v>
      </c>
      <c r="H9" s="293" t="s">
        <v>342</v>
      </c>
      <c r="I9" s="292" t="s">
        <v>142</v>
      </c>
      <c r="J9" s="292" t="s">
        <v>143</v>
      </c>
      <c r="K9" s="292" t="s">
        <v>193</v>
      </c>
      <c r="L9" s="292" t="s">
        <v>194</v>
      </c>
      <c r="M9" s="294" t="s">
        <v>146</v>
      </c>
      <c r="N9" s="292" t="s">
        <v>204</v>
      </c>
      <c r="O9" s="396" t="s">
        <v>148</v>
      </c>
      <c r="P9" s="297" t="s">
        <v>149</v>
      </c>
      <c r="Q9" s="297" t="s">
        <v>150</v>
      </c>
      <c r="R9" s="297" t="s">
        <v>151</v>
      </c>
      <c r="S9" s="297" t="s">
        <v>152</v>
      </c>
      <c r="T9" s="297" t="s">
        <v>153</v>
      </c>
    </row>
    <row r="10" spans="1:20" ht="24" customHeight="1" thickTop="1">
      <c r="A10" s="258">
        <v>1</v>
      </c>
      <c r="B10" s="47">
        <v>1243</v>
      </c>
      <c r="C10" s="243">
        <v>23</v>
      </c>
      <c r="D10" s="244">
        <v>2</v>
      </c>
      <c r="E10" s="245">
        <v>4.9185999999999996</v>
      </c>
      <c r="F10" s="245" t="str">
        <f t="shared" ref="F10:F26" si="0">IF(P10=0,"NO",IF(P10=1,"SI","CONDICIONAL"))</f>
        <v>SI</v>
      </c>
      <c r="G10" s="391" t="s">
        <v>154</v>
      </c>
      <c r="H10" s="125">
        <f>IF(Hijuelas!$G$5="fracción",IF(F10="NO",0,IF(Hijuelas!$G$6="si",IF(D10=1,E10,E10*0.8),E10)),IF(F10="NO",0,IF(Hijuelas!$G$6="si",IF(D10=1,ROUNDUP(E10,0),ROUNDUP(E10*0.8,0)),ROUNDUP(E10,0))))</f>
        <v>3.9348799999999997</v>
      </c>
      <c r="I10" s="123">
        <v>0</v>
      </c>
      <c r="J10" s="123">
        <f t="shared" ref="J10:J26" si="1">+$I$7/60*H10</f>
        <v>0.11653576387291861</v>
      </c>
      <c r="K10" s="262">
        <f t="shared" ref="K10:K24" si="2">+L11</f>
        <v>42977.414714236111</v>
      </c>
      <c r="L10" s="262">
        <f t="shared" ref="L10:L24" si="3">+K10+J10+I10</f>
        <v>42977.531249999985</v>
      </c>
      <c r="M10" s="133"/>
      <c r="N10" s="47"/>
      <c r="O10" s="132" t="str">
        <f>+CONCATENATE(B10,C10)</f>
        <v>124323</v>
      </c>
      <c r="P10" s="112">
        <f>VLOOKUP(O10,deuda!A$1:H$551,4,0)</f>
        <v>1</v>
      </c>
      <c r="Q10" s="112">
        <f>VLOOKUP(O10,deuda!A$1:H$551,5,0)</f>
        <v>1</v>
      </c>
      <c r="R10" s="112" t="str">
        <f>IF(VLOOKUP(O10,deuda!A$1:H$551,6,0)=0,"",VLOOKUP(O10,deuda!A$1:H$551,6,0))</f>
        <v/>
      </c>
      <c r="S10" s="113" t="str">
        <f>IF((VLOOKUP(O10,deuda!A$1:H$551,7,0))=0,"",VLOOKUP(O10,deuda!A$1:H$551,7,0))</f>
        <v/>
      </c>
      <c r="T10" s="114" t="str">
        <f>IF((VLOOKUP(O10,deuda!A$1:H$551,8,0))=0,"",VLOOKUP(O10,deuda!A$1:H$551,8,0))</f>
        <v/>
      </c>
    </row>
    <row r="11" spans="1:20" ht="24" customHeight="1">
      <c r="A11" s="258">
        <v>1</v>
      </c>
      <c r="B11" s="47">
        <v>1243</v>
      </c>
      <c r="C11" s="243">
        <v>35</v>
      </c>
      <c r="D11" s="244">
        <v>2</v>
      </c>
      <c r="E11" s="245">
        <v>0.1613</v>
      </c>
      <c r="F11" s="245" t="str">
        <f t="shared" si="0"/>
        <v>SI</v>
      </c>
      <c r="G11" s="391" t="s">
        <v>343</v>
      </c>
      <c r="H11" s="125">
        <f>IF(Hijuelas!$G$5="fracción",IF(F11="NO",0,IF(Hijuelas!$G$6="si",IF(D11=1,E11,E11*0.8),E11)),IF(F11="NO",0,IF(Hijuelas!$G$6="si",IF(D11=1,ROUNDUP(E11,0),ROUNDUP(E11*0.8,0)),ROUNDUP(E11,0))))</f>
        <v>0.12904000000000002</v>
      </c>
      <c r="I11" s="123">
        <v>0</v>
      </c>
      <c r="J11" s="123">
        <f t="shared" si="1"/>
        <v>3.8216603734196265E-3</v>
      </c>
      <c r="K11" s="262">
        <f t="shared" si="2"/>
        <v>42977.410892575739</v>
      </c>
      <c r="L11" s="262">
        <f t="shared" si="3"/>
        <v>42977.414714236111</v>
      </c>
      <c r="M11" s="133"/>
      <c r="N11" s="47"/>
      <c r="O11" s="132" t="str">
        <f t="shared" ref="O11:O26" si="4">+CONCATENATE(B11,C11)</f>
        <v>124335</v>
      </c>
      <c r="P11" s="112">
        <f>VLOOKUP(O11,deuda!A$1:H$551,4,0)</f>
        <v>1</v>
      </c>
      <c r="Q11" s="112">
        <f>VLOOKUP(O11,deuda!A$1:H$551,5,0)</f>
        <v>1</v>
      </c>
      <c r="R11" s="112" t="str">
        <f>IF(VLOOKUP(O11,deuda!A$1:H$551,6,0)=0,"",VLOOKUP(O11,deuda!A$1:H$551,6,0))</f>
        <v/>
      </c>
      <c r="S11" s="113" t="str">
        <f>IF((VLOOKUP(O11,deuda!A$1:H$551,7,0))=0,"",VLOOKUP(O11,deuda!A$1:H$551,7,0))</f>
        <v/>
      </c>
      <c r="T11" s="114" t="str">
        <f>IF((VLOOKUP(O11,deuda!A$1:H$551,8,0))=0,"",VLOOKUP(O11,deuda!A$1:H$551,8,0))</f>
        <v/>
      </c>
    </row>
    <row r="12" spans="1:20" ht="25.5" customHeight="1">
      <c r="A12" s="70">
        <v>1</v>
      </c>
      <c r="B12" s="5">
        <v>1243</v>
      </c>
      <c r="C12" s="241">
        <v>1</v>
      </c>
      <c r="D12" s="179">
        <v>2</v>
      </c>
      <c r="E12" s="20">
        <v>14.6546</v>
      </c>
      <c r="F12" s="245" t="str">
        <f t="shared" si="0"/>
        <v>SI</v>
      </c>
      <c r="G12" s="392" t="s">
        <v>344</v>
      </c>
      <c r="H12" s="125">
        <f>IF(Hijuelas!$G$5="fracción",IF(F12="NO",0,IF(Hijuelas!$G$6="si",IF(D12=1,E12,E12*0.8),E12)),IF(F12="NO",0,IF(Hijuelas!$G$6="si",IF(D12=1,ROUNDUP(E12,0),ROUNDUP(E12*0.8,0)),ROUNDUP(E12,0))))</f>
        <v>11.723680000000002</v>
      </c>
      <c r="I12" s="123">
        <v>0</v>
      </c>
      <c r="J12" s="123">
        <f>+$I$7/60*H12</f>
        <v>0.3472095728971808</v>
      </c>
      <c r="K12" s="262">
        <f t="shared" si="2"/>
        <v>42977.063683002845</v>
      </c>
      <c r="L12" s="262">
        <f t="shared" si="3"/>
        <v>42977.410892575739</v>
      </c>
      <c r="M12" s="26"/>
      <c r="N12" s="5"/>
      <c r="O12" s="132" t="str">
        <f>+CONCATENATE(B12,C12)</f>
        <v>12431</v>
      </c>
      <c r="P12" s="112">
        <f>VLOOKUP(O12,deuda!A$1:H$551,4,0)</f>
        <v>1</v>
      </c>
      <c r="Q12" s="112">
        <f>VLOOKUP(O12,deuda!A$1:H$551,5,0)</f>
        <v>1</v>
      </c>
      <c r="R12" s="112" t="str">
        <f>IF(VLOOKUP(O12,deuda!A$1:H$551,6,0)=0,"",VLOOKUP(O12,deuda!A$1:H$551,6,0))</f>
        <v/>
      </c>
      <c r="S12" s="113" t="str">
        <f>IF((VLOOKUP(O12,deuda!A$1:H$551,7,0))=0,"",VLOOKUP(O12,deuda!A$1:H$551,7,0))</f>
        <v/>
      </c>
      <c r="T12" s="114" t="str">
        <f>IF((VLOOKUP(O12,deuda!A$1:H$551,8,0))=0,"",VLOOKUP(O12,deuda!A$1:H$551,8,0))</f>
        <v/>
      </c>
    </row>
    <row r="13" spans="1:20" ht="25.5" customHeight="1">
      <c r="A13" s="70">
        <v>2</v>
      </c>
      <c r="B13" s="5">
        <v>1243</v>
      </c>
      <c r="C13" s="241">
        <v>52</v>
      </c>
      <c r="D13" s="179">
        <v>2</v>
      </c>
      <c r="E13" s="20">
        <v>1.9835</v>
      </c>
      <c r="F13" s="245" t="str">
        <f t="shared" si="0"/>
        <v>SI</v>
      </c>
      <c r="G13" s="392" t="s">
        <v>345</v>
      </c>
      <c r="H13" s="125">
        <f>IF(Hijuelas!$G$5="fracción",IF(F13="NO",0,IF(Hijuelas!$G$6="si",IF(D13=1,E13,E13*0.8),E13)),IF(F13="NO",0,IF(Hijuelas!$G$6="si",IF(D13=1,ROUNDUP(E13,0),ROUNDUP(E13*0.8,0)),ROUNDUP(E13,0))))</f>
        <v>1.5868000000000002</v>
      </c>
      <c r="I13" s="123">
        <v>0</v>
      </c>
      <c r="J13" s="123">
        <f>+$I$7/60*H13</f>
        <v>4.699481308541742E-2</v>
      </c>
      <c r="K13" s="262">
        <f t="shared" si="2"/>
        <v>42977.01668818976</v>
      </c>
      <c r="L13" s="262">
        <f t="shared" si="3"/>
        <v>42977.063683002845</v>
      </c>
      <c r="M13" s="26"/>
      <c r="N13" s="5"/>
      <c r="O13" s="132" t="str">
        <f>+CONCATENATE(B13,C13)</f>
        <v>124352</v>
      </c>
      <c r="P13" s="112">
        <f>VLOOKUP(O13,deuda!A$1:H$551,4,0)</f>
        <v>1</v>
      </c>
      <c r="Q13" s="112">
        <f>VLOOKUP(O13,deuda!A$1:H$551,5,0)</f>
        <v>0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25.5" customHeight="1">
      <c r="A14" s="70">
        <v>3</v>
      </c>
      <c r="B14" s="5">
        <v>1243</v>
      </c>
      <c r="C14" s="241">
        <v>39</v>
      </c>
      <c r="D14" s="179">
        <v>2</v>
      </c>
      <c r="E14" s="20">
        <v>7.2747000000000002</v>
      </c>
      <c r="F14" s="245" t="str">
        <f t="shared" si="0"/>
        <v>SI</v>
      </c>
      <c r="G14" s="392" t="s">
        <v>156</v>
      </c>
      <c r="H14" s="125">
        <f>IF(Hijuelas!$G$5="fracción",IF(F14="NO",0,IF(Hijuelas!$G$6="si",IF(D14=1,E14,E14*0.8),E14)),IF(F14="NO",0,IF(Hijuelas!$G$6="si",IF(D14=1,ROUNDUP(E14,0),ROUNDUP(E14*0.8,0)),ROUNDUP(E14,0))))</f>
        <v>5.8197600000000005</v>
      </c>
      <c r="I14" s="123">
        <v>0</v>
      </c>
      <c r="J14" s="123">
        <f>+$I$7/60*H14</f>
        <v>0.17235854134231715</v>
      </c>
      <c r="K14" s="262">
        <f t="shared" si="2"/>
        <v>42976.844329648418</v>
      </c>
      <c r="L14" s="262">
        <f t="shared" si="3"/>
        <v>42977.01668818976</v>
      </c>
      <c r="M14" s="26"/>
      <c r="N14" s="5"/>
      <c r="O14" s="132" t="str">
        <f>+CONCATENATE(B14,C14)</f>
        <v>124339</v>
      </c>
      <c r="P14" s="112">
        <f>VLOOKUP(O14,deuda!A$1:H$551,4,0)</f>
        <v>1</v>
      </c>
      <c r="Q14" s="112">
        <f>VLOOKUP(O14,deuda!A$1:H$551,5,0)</f>
        <v>2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25.5" customHeight="1">
      <c r="A15" s="70">
        <v>4</v>
      </c>
      <c r="B15" s="5">
        <v>1243</v>
      </c>
      <c r="C15" s="241">
        <v>36</v>
      </c>
      <c r="D15" s="179">
        <v>2</v>
      </c>
      <c r="E15" s="20">
        <v>0.50519999999999998</v>
      </c>
      <c r="F15" s="245" t="str">
        <f t="shared" si="0"/>
        <v>NO</v>
      </c>
      <c r="G15" s="392" t="s">
        <v>155</v>
      </c>
      <c r="H15" s="125">
        <f>IF(Hijuelas!$G$5="fracción",IF(F15="NO",0,IF(Hijuelas!$G$6="si",IF(D15=1,E15,E15*0.8),E15)),IF(F15="NO",0,IF(Hijuelas!$G$6="si",IF(D15=1,ROUNDUP(E15,0),ROUNDUP(E15*0.8,0)),ROUNDUP(E15,0))))</f>
        <v>0</v>
      </c>
      <c r="I15" s="123">
        <v>0</v>
      </c>
      <c r="J15" s="123">
        <f t="shared" si="1"/>
        <v>0</v>
      </c>
      <c r="K15" s="262">
        <f t="shared" si="2"/>
        <v>42976.844329648418</v>
      </c>
      <c r="L15" s="262">
        <f t="shared" si="3"/>
        <v>42976.844329648418</v>
      </c>
      <c r="M15" s="26"/>
      <c r="N15" s="5"/>
      <c r="O15" s="132" t="str">
        <f t="shared" si="4"/>
        <v>124336</v>
      </c>
      <c r="P15" s="112">
        <f>VLOOKUP(O15,deuda!A$1:H$551,4,0)</f>
        <v>0</v>
      </c>
      <c r="Q15" s="112">
        <f>VLOOKUP(O15,deuda!A$1:H$551,5,0)</f>
        <v>75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25.5" customHeight="1">
      <c r="A16" s="70">
        <v>4</v>
      </c>
      <c r="B16" s="5">
        <v>1243</v>
      </c>
      <c r="C16" s="241">
        <v>48</v>
      </c>
      <c r="D16" s="179">
        <v>2</v>
      </c>
      <c r="E16" s="20">
        <v>2.5165000000000002</v>
      </c>
      <c r="F16" s="245" t="str">
        <f t="shared" si="0"/>
        <v>NO</v>
      </c>
      <c r="G16" s="392" t="s">
        <v>155</v>
      </c>
      <c r="H16" s="125">
        <f>IF(Hijuelas!$G$5="fracción",IF(F16="NO",0,IF(Hijuelas!$G$6="si",IF(D16=1,E16,E16*0.8),E16)),IF(F16="NO",0,IF(Hijuelas!$G$6="si",IF(D16=1,ROUNDUP(E16,0),ROUNDUP(E16*0.8,0)),ROUNDUP(E16,0))))</f>
        <v>0</v>
      </c>
      <c r="I16" s="123">
        <v>0</v>
      </c>
      <c r="J16" s="123">
        <f t="shared" si="1"/>
        <v>0</v>
      </c>
      <c r="K16" s="262">
        <f t="shared" si="2"/>
        <v>42976.844329648418</v>
      </c>
      <c r="L16" s="262">
        <f t="shared" si="3"/>
        <v>42976.844329648418</v>
      </c>
      <c r="M16" s="26"/>
      <c r="N16" s="5"/>
      <c r="O16" s="132" t="str">
        <f t="shared" si="4"/>
        <v>124348</v>
      </c>
      <c r="P16" s="112">
        <f>VLOOKUP(O16,deuda!A$1:H$551,4,0)</f>
        <v>0</v>
      </c>
      <c r="Q16" s="112">
        <f>VLOOKUP(O16,deuda!A$1:H$551,5,0)</f>
        <v>26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23.1" customHeight="1">
      <c r="A17" s="70">
        <v>5</v>
      </c>
      <c r="B17" s="5">
        <v>1243</v>
      </c>
      <c r="C17" s="241">
        <v>34</v>
      </c>
      <c r="D17" s="179">
        <v>2</v>
      </c>
      <c r="E17" s="20">
        <v>1.9965999999999999</v>
      </c>
      <c r="F17" s="245" t="str">
        <f t="shared" si="0"/>
        <v>SI</v>
      </c>
      <c r="G17" s="392" t="s">
        <v>157</v>
      </c>
      <c r="H17" s="125">
        <f>IF(Hijuelas!$G$5="fracción",IF(F17="NO",0,IF(Hijuelas!$G$6="si",IF(D17=1,E17,E17*0.8),E17)),IF(F17="NO",0,IF(Hijuelas!$G$6="si",IF(D17=1,ROUNDUP(E17,0),ROUNDUP(E17*0.8,0)),ROUNDUP(E17,0))))</f>
        <v>1.59728</v>
      </c>
      <c r="I17" s="123">
        <v>0</v>
      </c>
      <c r="J17" s="123">
        <f t="shared" si="1"/>
        <v>4.7305189718348579E-2</v>
      </c>
      <c r="K17" s="262">
        <f t="shared" si="2"/>
        <v>42976.797024458698</v>
      </c>
      <c r="L17" s="262">
        <f t="shared" si="3"/>
        <v>42976.844329648418</v>
      </c>
      <c r="M17" s="26"/>
      <c r="N17" s="5"/>
      <c r="O17" s="132" t="str">
        <f t="shared" si="4"/>
        <v>124334</v>
      </c>
      <c r="P17" s="112">
        <f>VLOOKUP(O17,deuda!A$1:H$551,4,0)</f>
        <v>1</v>
      </c>
      <c r="Q17" s="112">
        <f>VLOOKUP(O17,deuda!A$1:H$551,5,0)</f>
        <v>2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23.1" customHeight="1">
      <c r="A18" s="70">
        <v>6</v>
      </c>
      <c r="B18" s="5">
        <v>1243</v>
      </c>
      <c r="C18" s="241">
        <v>33</v>
      </c>
      <c r="D18" s="179">
        <v>2</v>
      </c>
      <c r="E18" s="20">
        <v>2.2959000000000001</v>
      </c>
      <c r="F18" s="245" t="str">
        <f t="shared" si="0"/>
        <v>SI</v>
      </c>
      <c r="G18" s="392" t="s">
        <v>346</v>
      </c>
      <c r="H18" s="125">
        <f>IF(Hijuelas!$G$5="fracción",IF(F18="NO",0,IF(Hijuelas!$G$6="si",IF(D18=1,E18,E18*0.8),E18)),IF(F18="NO",0,IF(Hijuelas!$G$6="si",IF(D18=1,ROUNDUP(E18,0),ROUNDUP(E18*0.8,0)),ROUNDUP(E18,0))))</f>
        <v>1.8367200000000001</v>
      </c>
      <c r="I18" s="123">
        <v>4.1666666666666664E-2</v>
      </c>
      <c r="J18" s="123">
        <f t="shared" si="1"/>
        <v>5.4396466530279727E-2</v>
      </c>
      <c r="K18" s="262">
        <f t="shared" si="2"/>
        <v>42976.700961325507</v>
      </c>
      <c r="L18" s="262">
        <f t="shared" si="3"/>
        <v>42976.797024458698</v>
      </c>
      <c r="M18" s="26"/>
      <c r="N18" s="5"/>
      <c r="O18" s="132" t="str">
        <f t="shared" si="4"/>
        <v>124333</v>
      </c>
      <c r="P18" s="112">
        <f>VLOOKUP(O18,deuda!A$1:H$551,4,0)</f>
        <v>1</v>
      </c>
      <c r="Q18" s="112">
        <f>VLOOKUP(O18,deuda!A$1:H$551,5,0)</f>
        <v>0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20.100000000000001" customHeight="1">
      <c r="A19" s="70">
        <v>7</v>
      </c>
      <c r="B19" s="5">
        <v>1243</v>
      </c>
      <c r="C19" s="241">
        <v>18</v>
      </c>
      <c r="D19" s="179">
        <v>2</v>
      </c>
      <c r="E19" s="20">
        <v>21.6524</v>
      </c>
      <c r="F19" s="245" t="str">
        <f t="shared" si="0"/>
        <v>SI</v>
      </c>
      <c r="G19" s="392" t="s">
        <v>347</v>
      </c>
      <c r="H19" s="125">
        <f>IF(Hijuelas!$G$5="fracción",IF(F19="NO",0,IF(Hijuelas!$G$6="si",IF(D19=1,E19,E19*0.8),E19)),IF(F19="NO",0,IF(Hijuelas!$G$6="si",IF(D19=1,ROUNDUP(E19,0),ROUNDUP(E19*0.8,0)),ROUNDUP(E19,0))))</f>
        <v>17.321920000000002</v>
      </c>
      <c r="I19" s="123">
        <v>0</v>
      </c>
      <c r="J19" s="123">
        <f t="shared" si="1"/>
        <v>0.51300755777700635</v>
      </c>
      <c r="K19" s="262">
        <f t="shared" si="2"/>
        <v>42976.187953767731</v>
      </c>
      <c r="L19" s="262">
        <f t="shared" si="3"/>
        <v>42976.700961325507</v>
      </c>
      <c r="M19" s="26"/>
      <c r="N19" s="5"/>
      <c r="O19" s="132" t="str">
        <f t="shared" si="4"/>
        <v>124318</v>
      </c>
      <c r="P19" s="112">
        <f>VLOOKUP(O19,deuda!A$1:H$551,4,0)</f>
        <v>1</v>
      </c>
      <c r="Q19" s="112">
        <f>VLOOKUP(O19,deuda!A$1:H$551,5,0)</f>
        <v>0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ht="30" customHeight="1">
      <c r="A20" s="70">
        <v>8</v>
      </c>
      <c r="B20" s="5">
        <v>1243</v>
      </c>
      <c r="C20" s="241">
        <v>40</v>
      </c>
      <c r="D20" s="179">
        <v>2</v>
      </c>
      <c r="E20" s="20">
        <v>9.9911999999999992</v>
      </c>
      <c r="F20" s="245" t="str">
        <f t="shared" si="0"/>
        <v>SI</v>
      </c>
      <c r="G20" s="392" t="s">
        <v>348</v>
      </c>
      <c r="H20" s="125">
        <f>IF(Hijuelas!$G$5="fracción",IF(F20="NO",0,IF(Hijuelas!$G$6="si",IF(D20=1,E20,E20*0.8),E20)),IF(F20="NO",0,IF(Hijuelas!$G$6="si",IF(D20=1,ROUNDUP(E20,0),ROUNDUP(E20*0.8,0)),ROUNDUP(E20,0))))</f>
        <v>7.9929600000000001</v>
      </c>
      <c r="I20" s="123">
        <v>0</v>
      </c>
      <c r="J20" s="123">
        <f>+$I$7/60*H20</f>
        <v>0.23672023014823415</v>
      </c>
      <c r="K20" s="262">
        <f t="shared" si="2"/>
        <v>42975.951233537584</v>
      </c>
      <c r="L20" s="262">
        <f t="shared" si="3"/>
        <v>42976.187953767731</v>
      </c>
      <c r="M20" s="26"/>
      <c r="N20" s="5"/>
      <c r="O20" s="132" t="str">
        <f>+CONCATENATE(B20,C20)</f>
        <v>124340</v>
      </c>
      <c r="P20" s="112">
        <f>VLOOKUP(O20,deuda!A$1:H$551,4,0)</f>
        <v>1</v>
      </c>
      <c r="Q20" s="112">
        <f>VLOOKUP(O20,deuda!A$1:H$551,5,0)</f>
        <v>2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24.95" customHeight="1">
      <c r="A21" s="70">
        <v>9</v>
      </c>
      <c r="B21" s="5">
        <v>1243</v>
      </c>
      <c r="C21" s="241">
        <v>46</v>
      </c>
      <c r="D21" s="179">
        <v>2</v>
      </c>
      <c r="E21" s="20">
        <v>24.8597</v>
      </c>
      <c r="F21" s="245" t="str">
        <f t="shared" si="0"/>
        <v>SI</v>
      </c>
      <c r="G21" s="392" t="s">
        <v>349</v>
      </c>
      <c r="H21" s="125">
        <f>IF(Hijuelas!$G$5="fracción",IF(F21="NO",0,IF(Hijuelas!$G$6="si",IF(D21=1,E21,E21*0.8),E21)),IF(F21="NO",0,IF(Hijuelas!$G$6="si",IF(D21=1,ROUNDUP(E21,0),ROUNDUP(E21*0.8,0)),ROUNDUP(E21,0))))</f>
        <v>19.88776</v>
      </c>
      <c r="I21" s="123">
        <v>0</v>
      </c>
      <c r="J21" s="123">
        <f t="shared" si="1"/>
        <v>0.5889977085251078</v>
      </c>
      <c r="K21" s="262">
        <f t="shared" si="2"/>
        <v>42975.36223582906</v>
      </c>
      <c r="L21" s="262">
        <f t="shared" si="3"/>
        <v>42975.951233537584</v>
      </c>
      <c r="M21" s="26"/>
      <c r="N21" s="5"/>
      <c r="O21" s="132" t="str">
        <f t="shared" si="4"/>
        <v>124346</v>
      </c>
      <c r="P21" s="112">
        <f>VLOOKUP(O21,deuda!A$1:H$551,4,0)</f>
        <v>1</v>
      </c>
      <c r="Q21" s="112">
        <f>VLOOKUP(O21,deuda!A$1:H$551,5,0)</f>
        <v>0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20.100000000000001" customHeight="1">
      <c r="A22" s="70">
        <v>10</v>
      </c>
      <c r="B22" s="5">
        <v>1243</v>
      </c>
      <c r="C22" s="241">
        <v>51</v>
      </c>
      <c r="D22" s="179">
        <v>2</v>
      </c>
      <c r="E22" s="20">
        <v>32.512999999999998</v>
      </c>
      <c r="F22" s="245" t="str">
        <f t="shared" si="0"/>
        <v>SI</v>
      </c>
      <c r="G22" s="392" t="s">
        <v>347</v>
      </c>
      <c r="H22" s="125">
        <f>IF(Hijuelas!$G$5="fracción",IF(F22="NO",0,IF(Hijuelas!$G$6="si",IF(D22=1,E22,E22*0.8),E22)),IF(F22="NO",0,IF(Hijuelas!$G$6="si",IF(D22=1,ROUNDUP(E22,0),ROUNDUP(E22*0.8,0)),ROUNDUP(E22,0))))</f>
        <v>26.010400000000001</v>
      </c>
      <c r="I22" s="123">
        <v>0</v>
      </c>
      <c r="J22" s="123">
        <f t="shared" si="1"/>
        <v>0.77032637148786309</v>
      </c>
      <c r="K22" s="262">
        <f t="shared" si="2"/>
        <v>42974.591909457573</v>
      </c>
      <c r="L22" s="262">
        <f t="shared" si="3"/>
        <v>42975.36223582906</v>
      </c>
      <c r="M22" s="26"/>
      <c r="N22" s="5"/>
      <c r="O22" s="132" t="str">
        <f t="shared" si="4"/>
        <v>124351</v>
      </c>
      <c r="P22" s="112">
        <f>VLOOKUP(O22,deuda!A$1:H$551,4,0)</f>
        <v>1</v>
      </c>
      <c r="Q22" s="112">
        <f>VLOOKUP(O22,deuda!A$1:H$551,5,0)</f>
        <v>0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24" customHeight="1">
      <c r="A23" s="31">
        <v>11</v>
      </c>
      <c r="B23" s="501">
        <v>1243</v>
      </c>
      <c r="C23" s="251">
        <v>21</v>
      </c>
      <c r="D23" s="251">
        <v>2</v>
      </c>
      <c r="E23" s="252">
        <v>5</v>
      </c>
      <c r="F23" s="245" t="str">
        <f t="shared" si="0"/>
        <v>SI</v>
      </c>
      <c r="G23" s="392" t="s">
        <v>174</v>
      </c>
      <c r="H23" s="125">
        <f>IF(Hijuelas!$G$5="fracción",IF(F23="NO",0,IF(Hijuelas!$G$6="si",IF(D23=1,E23,E23*0.8),E23)),IF(F23="NO",0,IF(Hijuelas!$G$6="si",IF(D23=1,ROUNDUP(E23,0),ROUNDUP(E23*0.8,0)),ROUNDUP(E23,0))))</f>
        <v>4</v>
      </c>
      <c r="I23" s="119">
        <v>0</v>
      </c>
      <c r="J23" s="123">
        <f t="shared" si="1"/>
        <v>0.11846436371418556</v>
      </c>
      <c r="K23" s="262">
        <f t="shared" si="2"/>
        <v>42974.473445093856</v>
      </c>
      <c r="L23" s="262">
        <f t="shared" si="3"/>
        <v>42974.591909457573</v>
      </c>
      <c r="M23" s="5"/>
      <c r="N23" s="5"/>
      <c r="O23" s="132" t="str">
        <f t="shared" si="4"/>
        <v>124321</v>
      </c>
      <c r="P23" s="112">
        <f>VLOOKUP(O23,deuda!A$1:H$551,4,0)</f>
        <v>1</v>
      </c>
      <c r="Q23" s="112">
        <f>VLOOKUP(O23,deuda!A$1:H$551,5,0)</f>
        <v>0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25.5">
      <c r="A24" s="70">
        <v>12</v>
      </c>
      <c r="B24" s="5">
        <v>1243</v>
      </c>
      <c r="C24" s="241">
        <v>45</v>
      </c>
      <c r="D24" s="179">
        <v>2</v>
      </c>
      <c r="E24" s="20">
        <v>11.265700000000001</v>
      </c>
      <c r="F24" s="245" t="str">
        <f t="shared" si="0"/>
        <v>SI</v>
      </c>
      <c r="G24" s="392" t="s">
        <v>164</v>
      </c>
      <c r="H24" s="125">
        <f>IF(Hijuelas!$G$5="fracción",IF(F24="NO",0,IF(Hijuelas!$G$6="si",IF(D24=1,E24,E24*0.8),E24)),IF(F24="NO",0,IF(Hijuelas!$G$6="si",IF(D24=1,ROUNDUP(E24,0),ROUNDUP(E24*0.8,0)),ROUNDUP(E24,0))))</f>
        <v>9.0125600000000006</v>
      </c>
      <c r="I24" s="123">
        <v>0</v>
      </c>
      <c r="J24" s="123">
        <f t="shared" si="1"/>
        <v>0.26691679645898009</v>
      </c>
      <c r="K24" s="262">
        <f t="shared" si="2"/>
        <v>42974.2065282974</v>
      </c>
      <c r="L24" s="262">
        <f t="shared" si="3"/>
        <v>42974.473445093856</v>
      </c>
      <c r="M24" s="26"/>
      <c r="N24" s="5"/>
      <c r="O24" s="132" t="str">
        <f t="shared" si="4"/>
        <v>124345</v>
      </c>
      <c r="P24" s="112">
        <f>VLOOKUP(O24,deuda!A$1:H$551,4,0)</f>
        <v>1</v>
      </c>
      <c r="Q24" s="112">
        <f>VLOOKUP(O24,deuda!A$1:H$551,5,0)</f>
        <v>0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25.5" customHeight="1">
      <c r="A25" s="70">
        <v>12</v>
      </c>
      <c r="B25" s="83">
        <v>1243</v>
      </c>
      <c r="C25" s="241">
        <v>13</v>
      </c>
      <c r="D25" s="179">
        <v>2</v>
      </c>
      <c r="E25" s="20">
        <v>11.281499999999999</v>
      </c>
      <c r="F25" s="245" t="str">
        <f t="shared" si="0"/>
        <v>SI</v>
      </c>
      <c r="G25" s="392" t="s">
        <v>165</v>
      </c>
      <c r="H25" s="125">
        <f>IF(Hijuelas!$G$5="fracción",IF(F25="NO",0,IF(Hijuelas!$G$6="si",IF(D25=1,E25,E25*0.8),E25)),IF(F25="NO",0,IF(Hijuelas!$G$6="si",IF(D25=1,ROUNDUP(E25,0),ROUNDUP(E25*0.8,0)),ROUNDUP(E25,0))))</f>
        <v>9.0251999999999999</v>
      </c>
      <c r="I25" s="123">
        <v>0</v>
      </c>
      <c r="J25" s="123">
        <f t="shared" si="1"/>
        <v>0.26729114384831687</v>
      </c>
      <c r="K25" s="262">
        <f>+L26</f>
        <v>42973.93923715355</v>
      </c>
      <c r="L25" s="262">
        <f>+K25+J25+I25</f>
        <v>42974.2065282974</v>
      </c>
      <c r="M25" s="26"/>
      <c r="N25" s="5"/>
      <c r="O25" s="132" t="str">
        <f t="shared" si="4"/>
        <v>124313</v>
      </c>
      <c r="P25" s="112">
        <f>VLOOKUP(O25,deuda!A$1:H$551,4,0)</f>
        <v>1</v>
      </c>
      <c r="Q25" s="112">
        <f>VLOOKUP(O25,deuda!A$1:H$551,5,0)</f>
        <v>0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39" thickBot="1">
      <c r="A26" s="535">
        <v>13</v>
      </c>
      <c r="B26" s="27">
        <v>1243</v>
      </c>
      <c r="C26" s="507">
        <v>12</v>
      </c>
      <c r="D26" s="237">
        <v>2</v>
      </c>
      <c r="E26" s="411">
        <v>8.8664000000000005</v>
      </c>
      <c r="F26" s="245" t="str">
        <f t="shared" si="0"/>
        <v>SI</v>
      </c>
      <c r="G26" s="393" t="s">
        <v>166</v>
      </c>
      <c r="H26" s="125">
        <f>IF(Hijuelas!$G$5="fracción",IF(F26="NO",0,IF(Hijuelas!$G$6="si",IF(D26=1,E26,E26*0.8),E26)),IF(F26="NO",0,IF(Hijuelas!$G$6="si",IF(D26=1,ROUNDUP(E26,0),ROUNDUP(E26*0.8,0)),ROUNDUP(E26,0))))</f>
        <v>7.0931200000000008</v>
      </c>
      <c r="I26" s="329">
        <v>0</v>
      </c>
      <c r="J26" s="120">
        <f t="shared" si="1"/>
        <v>0.21007048688709098</v>
      </c>
      <c r="K26" s="262">
        <f>+C3+H4</f>
        <v>42973.729166666664</v>
      </c>
      <c r="L26" s="262">
        <f>+K26+J26</f>
        <v>42973.93923715355</v>
      </c>
      <c r="M26" s="28"/>
      <c r="N26" s="27"/>
      <c r="O26" s="132" t="str">
        <f t="shared" si="4"/>
        <v>124312</v>
      </c>
      <c r="P26" s="112">
        <f>VLOOKUP(O26,deuda!A$1:H$551,4,0)</f>
        <v>1</v>
      </c>
      <c r="Q26" s="112">
        <f>VLOOKUP(O26,deuda!A$1:H$551,5,0)</f>
        <v>0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20.100000000000001" customHeight="1">
      <c r="E27" s="471">
        <f>SUM(E10:E26)</f>
        <v>161.73680000000002</v>
      </c>
      <c r="F27" s="281"/>
      <c r="G27" s="42"/>
      <c r="H27" s="471">
        <f>SUM(H10:H26)</f>
        <v>126.97208000000002</v>
      </c>
      <c r="I27" s="123">
        <f>SUM(I10:I26)</f>
        <v>4.1666666666666664E-2</v>
      </c>
      <c r="J27" s="123">
        <f>SUM(J10:J26)</f>
        <v>3.7604166666666674</v>
      </c>
    </row>
    <row r="34" spans="6:8">
      <c r="F34" s="420">
        <v>3.9791666666666665</v>
      </c>
      <c r="G34" s="14">
        <f>+H27+'14_1'!H25</f>
        <v>260.08458000000002</v>
      </c>
      <c r="H34" s="420">
        <f>F34*60/G34</f>
        <v>0.9179706078691785</v>
      </c>
    </row>
    <row r="37" spans="6:8">
      <c r="F37" s="14">
        <f>+H27</f>
        <v>126.97208000000002</v>
      </c>
      <c r="G37" t="s">
        <v>108</v>
      </c>
      <c r="H37" s="420">
        <f>+$H$34*F37/60</f>
        <v>1.9426106243335661</v>
      </c>
    </row>
    <row r="38" spans="6:8">
      <c r="F38">
        <f>+'14_1'!H25</f>
        <v>133.11250000000001</v>
      </c>
      <c r="G38" t="s">
        <v>114</v>
      </c>
      <c r="H38" s="420">
        <f>+$H$34*F38/60</f>
        <v>2.0365560423331006</v>
      </c>
    </row>
  </sheetData>
  <mergeCells count="5">
    <mergeCell ref="A7:B7"/>
    <mergeCell ref="A3:B3"/>
    <mergeCell ref="C3:E3"/>
    <mergeCell ref="A4:B4"/>
    <mergeCell ref="C4:E4"/>
  </mergeCells>
  <phoneticPr fontId="0" type="noConversion"/>
  <dataValidations disablePrompts="1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0:P26" xr:uid="{00000000-0002-0000-1400-000000000000}">
      <formula1>2</formula1>
      <formula2>2</formula2>
    </dataValidation>
  </dataValidations>
  <pageMargins left="0.17" right="0.17" top="1" bottom="1" header="0" footer="0"/>
  <pageSetup paperSize="9" scale="78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33"/>
  <dimension ref="A1:I237"/>
  <sheetViews>
    <sheetView view="pageBreakPreview" zoomScale="60" zoomScaleNormal="75" workbookViewId="0" xr3:uid="{0801C90D-E949-51CC-9495-7D82D7DEDABF}">
      <selection activeCell="K20" sqref="K20"/>
    </sheetView>
  </sheetViews>
  <sheetFormatPr defaultRowHeight="12.75"/>
  <cols>
    <col min="1" max="2" width="11.42578125" customWidth="1"/>
    <col min="3" max="3" width="11.5703125" bestFit="1" customWidth="1"/>
    <col min="4" max="4" width="21.85546875" bestFit="1" customWidth="1"/>
    <col min="5" max="5" width="11.42578125" customWidth="1"/>
    <col min="6" max="7" width="11.5703125" bestFit="1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</row>
    <row r="2" spans="1:9">
      <c r="A2" s="381"/>
      <c r="B2" s="109" t="s">
        <v>82</v>
      </c>
      <c r="C2" s="76"/>
      <c r="D2" s="76"/>
      <c r="E2" s="76"/>
      <c r="F2" s="76"/>
      <c r="G2" s="382"/>
      <c r="H2" s="76"/>
    </row>
    <row r="3" spans="1:9">
      <c r="A3" s="381"/>
      <c r="B3" s="76"/>
      <c r="C3" s="76"/>
      <c r="D3" s="76"/>
      <c r="E3" s="76"/>
      <c r="F3" s="76"/>
      <c r="G3" s="382"/>
      <c r="H3" s="76"/>
    </row>
    <row r="4" spans="1:9">
      <c r="A4" s="381"/>
      <c r="B4" s="76" t="s">
        <v>182</v>
      </c>
      <c r="C4" s="76" t="str">
        <f>VLOOKUP(G5,'8_1'!$A$10:$G$26,7,0)</f>
        <v>MORALES, JUAN</v>
      </c>
      <c r="D4" s="76"/>
      <c r="E4" s="76"/>
      <c r="F4" s="76"/>
      <c r="G4" s="383" t="s">
        <v>134</v>
      </c>
      <c r="H4" s="76"/>
    </row>
    <row r="5" spans="1:9">
      <c r="A5" s="381"/>
      <c r="B5" s="76" t="s">
        <v>91</v>
      </c>
      <c r="C5" s="76" t="str">
        <f>+'8_1'!$G$1</f>
        <v>Hijuela Solanilla</v>
      </c>
      <c r="D5" s="76"/>
      <c r="E5" s="76"/>
      <c r="F5" s="76"/>
      <c r="G5" s="383">
        <v>1</v>
      </c>
      <c r="H5" s="76"/>
    </row>
    <row r="6" spans="1:9">
      <c r="A6" s="381"/>
      <c r="B6" s="76"/>
      <c r="C6" s="76"/>
      <c r="D6" s="76"/>
      <c r="E6" s="76"/>
      <c r="F6" s="76"/>
      <c r="G6" s="382"/>
      <c r="H6" s="76"/>
    </row>
    <row r="7" spans="1:9">
      <c r="A7" s="381"/>
      <c r="B7" s="635" t="s">
        <v>183</v>
      </c>
      <c r="C7" s="331">
        <f>VLOOKUP(G5,'8_1'!$A$10:$B$26,2,0)</f>
        <v>1243</v>
      </c>
      <c r="D7" s="76"/>
      <c r="E7" s="635" t="s">
        <v>184</v>
      </c>
      <c r="F7" s="397">
        <f>DSUM('8_1'!A$9:J$26,'8_1'!$J$9,G4:G5)</f>
        <v>0.46756699714351901</v>
      </c>
      <c r="G7" s="382"/>
      <c r="H7" s="76"/>
    </row>
    <row r="8" spans="1:9">
      <c r="A8" s="381"/>
      <c r="B8" s="635" t="s">
        <v>185</v>
      </c>
      <c r="C8" s="374">
        <v>52</v>
      </c>
      <c r="D8" s="76"/>
      <c r="E8" s="635" t="s">
        <v>186</v>
      </c>
      <c r="F8" s="368" t="str">
        <f>IF(VLOOKUP(G5,'8_1'!$A$9:$D$26,4,0)=2,"Eventual 80%","Definitivo 100%")</f>
        <v>Eventual 80%</v>
      </c>
      <c r="G8" s="382"/>
      <c r="H8" s="76"/>
    </row>
    <row r="9" spans="1:9">
      <c r="A9" s="381"/>
      <c r="B9" s="635" t="s">
        <v>187</v>
      </c>
      <c r="C9" s="375">
        <f>DSUM('8_1'!$A$9:$H$26,'8_1'!$H$9,G4:G5)</f>
        <v>15.787600000000001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9" ht="15.75">
      <c r="A10" s="381"/>
      <c r="B10" s="76"/>
      <c r="C10" s="635" t="s">
        <v>189</v>
      </c>
      <c r="D10" s="107">
        <f>DMIN('8_1'!A$9:K$26,'8_1'!$K$9,G4:G5)</f>
        <v>42977.063683002845</v>
      </c>
      <c r="E10" s="127" t="str">
        <f>IF(F10=1,"Domingo",IF(F10=2,"Lunes",IF(F10=3,"Martes",IF(F10=4,"Miercoles",IF(F10=5,"Jueves",IF(F10=6,"Viernes",IF(F10=7,"Sábado",0)))))))</f>
        <v>Miercoles</v>
      </c>
      <c r="F10" s="128">
        <f>WEEKDAY(D10)</f>
        <v>4</v>
      </c>
      <c r="G10" s="385" t="s">
        <v>70</v>
      </c>
      <c r="H10" s="76"/>
    </row>
    <row r="11" spans="1:9" ht="15.75">
      <c r="A11" s="381"/>
      <c r="B11" s="76"/>
      <c r="C11" s="635" t="s">
        <v>190</v>
      </c>
      <c r="D11" s="107">
        <f>DMAX('8_1'!A$9:L$26,'8_1'!$L$9,G4:G5)</f>
        <v>42977.531249999985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>
        <f>WEEKDAY(D11)</f>
        <v>4</v>
      </c>
      <c r="H11" s="76"/>
    </row>
    <row r="12" spans="1:9">
      <c r="A12" s="381"/>
      <c r="B12" s="76"/>
      <c r="C12" s="76"/>
      <c r="D12" s="76"/>
      <c r="E12" s="76"/>
      <c r="F12" s="106"/>
      <c r="G12" s="384"/>
      <c r="H12" s="76"/>
    </row>
    <row r="13" spans="1:9">
      <c r="A13" s="381"/>
      <c r="B13" s="333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9">
      <c r="A14" s="381"/>
      <c r="B14" s="333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9">
      <c r="A15" s="381"/>
      <c r="B15" s="108"/>
      <c r="C15" s="76"/>
      <c r="D15" s="76"/>
      <c r="E15" s="76"/>
      <c r="F15" s="76"/>
      <c r="G15" s="382"/>
      <c r="H15" s="76"/>
      <c r="I15">
        <f>13*17</f>
        <v>221</v>
      </c>
    </row>
    <row r="16" spans="1:9" ht="13.5" thickBot="1">
      <c r="A16" s="386"/>
      <c r="B16" s="387" t="str">
        <f>IF(DSUM('8_1'!$A$9:$P$84,16,G4:G5)=COUNTIF('8_1'!$A$10:$A$84,G5),"","Regularice su Deuda")</f>
        <v/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VLOOKUP(G22,'8_1'!$A$10:$G$26,7,0)</f>
        <v>RIVAGA, OMAR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+'8_1'!$G$1</f>
        <v>Hijuela Solanilla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VLOOKUP(G22,'8_1'!$A$10:$B$26,2,0)</f>
        <v>1243</v>
      </c>
      <c r="D24" s="76"/>
      <c r="E24" s="635" t="s">
        <v>184</v>
      </c>
      <c r="F24" s="397">
        <f>DSUM('8_1'!A$9:J$26,'8_1'!$J$9,G21:G22)</f>
        <v>4.699481308541742E-2</v>
      </c>
      <c r="G24" s="382"/>
    </row>
    <row r="25" spans="1:7">
      <c r="A25" s="381"/>
      <c r="B25" s="635" t="s">
        <v>185</v>
      </c>
      <c r="C25" s="374">
        <v>39</v>
      </c>
      <c r="D25" s="76"/>
      <c r="E25" s="635" t="s">
        <v>186</v>
      </c>
      <c r="F25" s="368" t="str">
        <f>IF(VLOOKUP(G22,'8_1'!$A$9:$D$26,4,0)=2,"Eventual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DSUM('8_1'!$A$9:$H$26,'8_1'!$H$9,G21:G22)</f>
        <v>1.5868000000000002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DMIN('8_1'!A$9:K$26,'8_1'!$K$9,G21:G22)</f>
        <v>42977.01668818976</v>
      </c>
      <c r="E27" s="127" t="str">
        <f>IF(F27=1,"Domingo",IF(F27=2,"Lunes",IF(F27=3,"Martes",IF(F27=4,"Miercoles",IF(F27=5,"Jueves",IF(F27=6,"Viernes",IF(F27=7,"Sábado",0)))))))</f>
        <v>Miercoles</v>
      </c>
      <c r="F27" s="128">
        <f>WEEKDAY(D27)</f>
        <v>4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DMAX('8_1'!A$9:L$26,'8_1'!$L$9,G21:G22)</f>
        <v>42977.063683002845</v>
      </c>
      <c r="E28" s="127" t="str">
        <f>IF(F28=1,"Domingo",IF(F28=2,"Lunes",IF(F28=3,"Martes",IF(F28=4,"Miercoles",IF(F28=5,"Jueves",IF(F28=6,"Viernes",IF(F28=7,"Sábado",0)))))))</f>
        <v>Miercoles</v>
      </c>
      <c r="F28" s="128">
        <f>WEEKDAY(D28)</f>
        <v>4</v>
      </c>
      <c r="G28" s="385">
        <f>WEEKDAY(D28)</f>
        <v>4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333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333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IF(DSUM('8_1'!$A$9:$P$84,16,G21:G22)=COUNTIF('8_1'!$A$10:$A$84,G22),"","Regularice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VLOOKUP(G39,'8_1'!$A$10:$G$26,7,0)</f>
        <v>CAMPIONE, ORLANDO SALVADOR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+'8_1'!$G$1</f>
        <v>Hijuela Solanilla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VLOOKUP(G39,'8_1'!$A$10:$B$26,2,0)</f>
        <v>1243</v>
      </c>
      <c r="D41" s="76"/>
      <c r="E41" s="635" t="s">
        <v>184</v>
      </c>
      <c r="F41" s="397">
        <f>DSUM('8_1'!A$9:J$26,'8_1'!$J$9,G38:G39)</f>
        <v>0.17235854134231715</v>
      </c>
      <c r="G41" s="382"/>
    </row>
    <row r="42" spans="1:7">
      <c r="A42" s="381"/>
      <c r="B42" s="635" t="s">
        <v>185</v>
      </c>
      <c r="C42" s="374" t="s">
        <v>350</v>
      </c>
      <c r="D42" s="76"/>
      <c r="E42" s="635" t="s">
        <v>186</v>
      </c>
      <c r="F42" s="368" t="str">
        <f>IF(VLOOKUP(G39,'8_1'!$A$9:$D$26,4,0)=2,"Eventual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DSUM('8_1'!$A$9:$H$26,'8_1'!$H$9,G38:G39)</f>
        <v>5.8197600000000005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DMIN('8_1'!A$9:K$26,'8_1'!$K$9,G38:G39)</f>
        <v>42976.844329648418</v>
      </c>
      <c r="E44" s="127" t="str">
        <f>IF(F44=1,"Domingo",IF(F44=2,"Lunes",IF(F44=3,"Martes",IF(F44=4,"Miercoles",IF(F44=5,"Jueves",IF(F44=6,"Viernes",IF(F44=7,"Sábado",0)))))))</f>
        <v>Martes</v>
      </c>
      <c r="F44" s="128">
        <f>WEEKDAY(D44)</f>
        <v>3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DMAX('8_1'!A$9:L$26,'8_1'!$L$9,G38:G39)</f>
        <v>42977.01668818976</v>
      </c>
      <c r="E45" s="127" t="str">
        <f>IF(F45=1,"Domingo",IF(F45=2,"Lunes",IF(F45=3,"Martes",IF(F45=4,"Miercoles",IF(F45=5,"Jueves",IF(F45=6,"Viernes",IF(F45=7,"Sábado",0)))))))</f>
        <v>Miercoles</v>
      </c>
      <c r="F45" s="128">
        <f>WEEKDAY(D45)</f>
        <v>4</v>
      </c>
      <c r="G45" s="385">
        <f>WEEKDAY(D45)</f>
        <v>4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333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333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IF(DSUM('8_1'!$A$9:$P$84,16,G38:G39)=COUNTIF('8_1'!$A$10:$A$84,G39),"","Regularice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VLOOKUP(G56,'8_1'!$A$10:$G$26,7,0)</f>
        <v>CARBONI VDA.DE CALDERON, ANA MARIA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+'8_1'!$G$1</f>
        <v>Hijuela Solanilla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VLOOKUP(G56,'8_1'!$A$10:$B$26,2,0)</f>
        <v>1243</v>
      </c>
      <c r="D58" s="76"/>
      <c r="E58" s="635" t="s">
        <v>184</v>
      </c>
      <c r="F58" s="397">
        <f>DSUM('8_1'!A$9:J$26,'8_1'!$J$9,G55:G56)</f>
        <v>0</v>
      </c>
      <c r="G58" s="382"/>
    </row>
    <row r="59" spans="1:7">
      <c r="A59" s="381"/>
      <c r="B59" s="635" t="s">
        <v>185</v>
      </c>
      <c r="C59" s="374">
        <v>34</v>
      </c>
      <c r="D59" s="76"/>
      <c r="E59" s="635" t="s">
        <v>186</v>
      </c>
      <c r="F59" s="368" t="str">
        <f>IF(VLOOKUP(G56,'8_1'!$A$9:$D$26,4,0)=2,"Eventual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DSUM('8_1'!$A$9:$H$26,'8_1'!$H$9,G55:G56)</f>
        <v>0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DMIN('8_1'!A$9:K$26,'8_1'!$K$9,G55:G56)</f>
        <v>42976.844329648418</v>
      </c>
      <c r="E61" s="127" t="str">
        <f>IF(F61=1,"Domingo",IF(F61=2,"Lunes",IF(F61=3,"Martes",IF(F61=4,"Miercoles",IF(F61=5,"Jueves",IF(F61=6,"Viernes",IF(F61=7,"Sábado",0)))))))</f>
        <v>Martes</v>
      </c>
      <c r="F61" s="128">
        <f>WEEKDAY(D61)</f>
        <v>3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DMAX('8_1'!A$9:L$26,'8_1'!$L$9,G55:G56)</f>
        <v>42976.844329648418</v>
      </c>
      <c r="E62" s="127" t="str">
        <f>IF(F62=1,"Domingo",IF(F62=2,"Lunes",IF(F62=3,"Martes",IF(F62=4,"Miercoles",IF(F62=5,"Jueves",IF(F62=6,"Viernes",IF(F62=7,"Sábado",0)))))))</f>
        <v>Martes</v>
      </c>
      <c r="F62" s="128">
        <f>WEEKDAY(D62)</f>
        <v>3</v>
      </c>
      <c r="G62" s="385">
        <f>WEEKDAY(D62)</f>
        <v>3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333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333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IF(DSUM('8_1'!$A$9:$P$84,16,G55:G56)=COUNTIF('8_1'!$A$10:$A$84,G56),"","Regularice su Deuda")</f>
        <v>Regularice su Deuda</v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VLOOKUP(G73,'8_1'!$A$10:$G$26,7,0)</f>
        <v>TORANZO, DOMINGO FABIAN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+'8_1'!$G$1</f>
        <v>Hijuela Solanilla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VLOOKUP(G73,'8_1'!$A$10:$B$26,2,0)</f>
        <v>1243</v>
      </c>
      <c r="D75" s="76"/>
      <c r="E75" s="635" t="s">
        <v>184</v>
      </c>
      <c r="F75" s="397">
        <f>DSUM('8_1'!A$9:J$26,'8_1'!$J$9,G72:G73)</f>
        <v>4.7305189718348579E-2</v>
      </c>
      <c r="G75" s="382"/>
    </row>
    <row r="76" spans="1:7">
      <c r="A76" s="381"/>
      <c r="B76" s="635" t="s">
        <v>185</v>
      </c>
      <c r="C76" s="374">
        <v>33</v>
      </c>
      <c r="D76" s="76"/>
      <c r="E76" s="635" t="s">
        <v>186</v>
      </c>
      <c r="F76" s="368" t="str">
        <f>IF(VLOOKUP(G73,'8_1'!$A$9:$D$26,4,0)=2,"Eventual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DSUM('8_1'!$A$9:$H$26,'8_1'!$H$9,G72:G73)</f>
        <v>1.59728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DMIN('8_1'!A$9:K$26,'8_1'!$K$9,G72:G73)</f>
        <v>42976.797024458698</v>
      </c>
      <c r="E78" s="127" t="str">
        <f>IF(F78=1,"Domingo",IF(F78=2,"Lunes",IF(F78=3,"Martes",IF(F78=4,"Miercoles",IF(F78=5,"Jueves",IF(F78=6,"Viernes",IF(F78=7,"Sábado",0)))))))</f>
        <v>Martes</v>
      </c>
      <c r="F78" s="128">
        <f>WEEKDAY(D78)</f>
        <v>3</v>
      </c>
      <c r="G78" s="385" t="s">
        <v>70</v>
      </c>
    </row>
    <row r="79" spans="1:7" ht="15.75">
      <c r="A79" s="381"/>
      <c r="B79" s="76"/>
      <c r="C79" s="635" t="s">
        <v>190</v>
      </c>
      <c r="D79" s="107">
        <f>DMAX('8_1'!A$9:L$26,'8_1'!$L$9,G72:G73)</f>
        <v>42976.844329648418</v>
      </c>
      <c r="E79" s="127" t="str">
        <f>IF(F79=1,"Domingo",IF(F79=2,"Lunes",IF(F79=3,"Martes",IF(F79=4,"Miercoles",IF(F79=5,"Jueves",IF(F79=6,"Viernes",IF(F79=7,"Sábado",0)))))))</f>
        <v>Martes</v>
      </c>
      <c r="F79" s="128">
        <f>WEEKDAY(D79)</f>
        <v>3</v>
      </c>
      <c r="G79" s="385">
        <f>WEEKDAY(D79)</f>
        <v>3</v>
      </c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333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333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IF(DSUM('8_1'!$A$9:$P$84,16,G72:G73)=COUNTIF('8_1'!$A$10:$A$84,G73),"","Regularice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VLOOKUP(G90,'8_1'!$A$10:$G$26,7,0)</f>
        <v>MUÑOZ, ALBERTO REIMUNDO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+'8_1'!$G$1</f>
        <v>Hijuela Solanilla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VLOOKUP(G90,'8_1'!$A$10:$B$26,2,0)</f>
        <v>1243</v>
      </c>
      <c r="D92" s="76"/>
      <c r="E92" s="635" t="s">
        <v>184</v>
      </c>
      <c r="F92" s="397">
        <f>DSUM('8_1'!A$9:J$26,'8_1'!$J$9,G89:G90)</f>
        <v>5.4396466530279727E-2</v>
      </c>
      <c r="G92" s="382"/>
    </row>
    <row r="93" spans="1:7">
      <c r="A93" s="381"/>
      <c r="B93" s="635" t="s">
        <v>185</v>
      </c>
      <c r="C93" s="374">
        <v>18</v>
      </c>
      <c r="D93" s="76"/>
      <c r="E93" s="635" t="s">
        <v>186</v>
      </c>
      <c r="F93" s="368" t="str">
        <f>IF(VLOOKUP(G90,'8_1'!$A$9:$D$26,4,0)=2,"Eventual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DSUM('8_1'!$A$9:$H$26,'8_1'!$H$9,G89:G90)</f>
        <v>1.8367200000000001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DMIN('8_1'!A$9:K$26,'8_1'!$K$9,G89:G90)</f>
        <v>42976.700961325507</v>
      </c>
      <c r="E95" s="127" t="str">
        <f>IF(F95=1,"Domingo",IF(F95=2,"Lunes",IF(F95=3,"Martes",IF(F95=4,"Miercoles",IF(F95=5,"Jueves",IF(F95=6,"Viernes",IF(F95=7,"Sábado",0)))))))</f>
        <v>Martes</v>
      </c>
      <c r="F95" s="128">
        <f>WEEKDAY(D95)</f>
        <v>3</v>
      </c>
      <c r="G95" s="385" t="s">
        <v>70</v>
      </c>
    </row>
    <row r="96" spans="1:7" ht="15.75">
      <c r="A96" s="381"/>
      <c r="B96" s="76"/>
      <c r="C96" s="635" t="s">
        <v>190</v>
      </c>
      <c r="D96" s="107">
        <f>DMAX('8_1'!A$9:L$26,'8_1'!$L$9,G89:G90)</f>
        <v>42976.797024458698</v>
      </c>
      <c r="E96" s="127" t="str">
        <f>IF(F96=1,"Domingo",IF(F96=2,"Lunes",IF(F96=3,"Martes",IF(F96=4,"Miercoles",IF(F96=5,"Jueves",IF(F96=6,"Viernes",IF(F96=7,"Sábado",0)))))))</f>
        <v>Martes</v>
      </c>
      <c r="F96" s="128">
        <f>WEEKDAY(D96)</f>
        <v>3</v>
      </c>
      <c r="G96" s="385">
        <f>WEEKDAY(D96)</f>
        <v>3</v>
      </c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333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333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IF(DSUM('8_1'!$A$9:$P$84,16,G89:G90)=COUNTIF('8_1'!$A$10:$A$84,G90),"","Regularice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VLOOKUP(G107,'8_1'!$A$10:$G$26,7,0)</f>
        <v>ARANDA, BELEN ESTEFANIA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+'8_1'!$G$1</f>
        <v>Hijuela Solanilla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VLOOKUP(G107,'8_1'!$A$10:$B$26,2,0)</f>
        <v>1243</v>
      </c>
      <c r="D109" s="76"/>
      <c r="E109" s="635" t="s">
        <v>184</v>
      </c>
      <c r="F109" s="397">
        <f>DSUM('8_1'!A$9:J$26,'8_1'!$J$9,G106:G107)</f>
        <v>0.51300755777700635</v>
      </c>
      <c r="G109" s="382"/>
    </row>
    <row r="110" spans="1:7">
      <c r="A110" s="381"/>
      <c r="B110" s="635" t="s">
        <v>185</v>
      </c>
      <c r="C110" s="374">
        <v>40</v>
      </c>
      <c r="D110" s="76"/>
      <c r="E110" s="635" t="s">
        <v>186</v>
      </c>
      <c r="F110" s="368" t="str">
        <f>IF(VLOOKUP(G107,'8_1'!$A$9:$D$26,4,0)=2,"Eventual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DSUM('8_1'!$A$9:$H$26,'8_1'!$H$9,G106:G107)</f>
        <v>17.321920000000002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DMIN('8_1'!A$9:K$26,'8_1'!$K$9,G106:G107)</f>
        <v>42976.187953767731</v>
      </c>
      <c r="E112" s="127" t="str">
        <f>IF(F112=1,"Domingo",IF(F112=2,"Lunes",IF(F112=3,"Martes",IF(F112=4,"Miercoles",IF(F112=5,"Jueves",IF(F112=6,"Viernes",IF(F112=7,"Sábado",0)))))))</f>
        <v>Martes</v>
      </c>
      <c r="F112" s="128">
        <f>WEEKDAY(D112)</f>
        <v>3</v>
      </c>
      <c r="G112" s="385" t="s">
        <v>70</v>
      </c>
    </row>
    <row r="113" spans="1:7" ht="15.75">
      <c r="A113" s="381"/>
      <c r="B113" s="76"/>
      <c r="C113" s="635" t="s">
        <v>190</v>
      </c>
      <c r="D113" s="107">
        <f>DMAX('8_1'!A$9:L$26,'8_1'!$L$9,G106:G107)</f>
        <v>42976.700961325507</v>
      </c>
      <c r="E113" s="127" t="str">
        <f>IF(F113=1,"Domingo",IF(F113=2,"Lunes",IF(F113=3,"Martes",IF(F113=4,"Miercoles",IF(F113=5,"Jueves",IF(F113=6,"Viernes",IF(F113=7,"Sábado",0)))))))</f>
        <v>Martes</v>
      </c>
      <c r="F113" s="128">
        <f>WEEKDAY(D113)</f>
        <v>3</v>
      </c>
      <c r="G113" s="385">
        <f>WEEKDAY(D113)</f>
        <v>3</v>
      </c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333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333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IF(DSUM('8_1'!$A$9:$P$84,16,G106:G107)=COUNTIF('8_1'!$A$10:$A$84,G107),"","Regularice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VLOOKUP(G124,'8_1'!$A$10:$G$26,7,0)</f>
        <v>BARCELO, EUGENIA LILIANA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+'8_1'!$G$1</f>
        <v>Hijuela Solanilla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VLOOKUP(G124,'8_1'!$A$10:$B$26,2,0)</f>
        <v>1243</v>
      </c>
      <c r="D126" s="76"/>
      <c r="E126" s="635" t="s">
        <v>184</v>
      </c>
      <c r="F126" s="397">
        <f>DSUM('8_1'!A$9:J$26,'8_1'!$J$9,G123:G124)</f>
        <v>0.23672023014823415</v>
      </c>
      <c r="G126" s="382"/>
    </row>
    <row r="127" spans="1:7">
      <c r="A127" s="381"/>
      <c r="B127" s="635" t="s">
        <v>185</v>
      </c>
      <c r="C127" s="374">
        <v>46</v>
      </c>
      <c r="D127" s="76"/>
      <c r="E127" s="635" t="s">
        <v>186</v>
      </c>
      <c r="F127" s="368" t="str">
        <f>IF(VLOOKUP(G124,'8_1'!$A$9:$D$26,4,0)=2,"Eventual 80%","Definitivo 100%")</f>
        <v>Eventual 80%</v>
      </c>
      <c r="G127" s="382"/>
    </row>
    <row r="128" spans="1:7">
      <c r="A128" s="381"/>
      <c r="B128" s="635" t="s">
        <v>187</v>
      </c>
      <c r="C128" s="375">
        <f>DSUM('8_1'!$A$9:$H$26,'8_1'!$H$9,G123:G124)</f>
        <v>7.9929600000000001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DMIN('8_1'!A$9:K$26,'8_1'!$K$9,G123:G124)</f>
        <v>42975.951233537584</v>
      </c>
      <c r="E129" s="127" t="str">
        <f>IF(F129=1,"Domingo",IF(F129=2,"Lunes",IF(F129=3,"Martes",IF(F129=4,"Miercoles",IF(F129=5,"Jueves",IF(F129=6,"Viernes",IF(F129=7,"Sábado",0)))))))</f>
        <v>Lunes</v>
      </c>
      <c r="F129" s="128">
        <f>WEEKDAY(D129)</f>
        <v>2</v>
      </c>
      <c r="G129" s="385" t="s">
        <v>70</v>
      </c>
    </row>
    <row r="130" spans="1:7" ht="15.75">
      <c r="A130" s="381"/>
      <c r="B130" s="76"/>
      <c r="C130" s="635" t="s">
        <v>190</v>
      </c>
      <c r="D130" s="107">
        <f>DMAX('8_1'!A$9:L$26,'8_1'!$L$9,G123:G124)</f>
        <v>42976.187953767731</v>
      </c>
      <c r="E130" s="127" t="str">
        <f>IF(F130=1,"Domingo",IF(F130=2,"Lunes",IF(F130=3,"Martes",IF(F130=4,"Miercoles",IF(F130=5,"Jueves",IF(F130=6,"Viernes",IF(F130=7,"Sábado",0)))))))</f>
        <v>Martes</v>
      </c>
      <c r="F130" s="128">
        <f>WEEKDAY(D130)</f>
        <v>3</v>
      </c>
      <c r="G130" s="385">
        <f>WEEKDAY(D130)</f>
        <v>3</v>
      </c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333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333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IF(DSUM('8_1'!$A$9:$P$84,16,G123:G124)=COUNTIF('8_1'!$A$10:$A$84,G124),"","Regularice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VLOOKUP(G141,'8_1'!$A$10:$G$26,7,0)</f>
        <v>ONOFRI, MARIO ANGEL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+'8_1'!$G$1</f>
        <v>Hijuela Solanilla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VLOOKUP(G141,'8_1'!$A$10:$B$26,2,0)</f>
        <v>1243</v>
      </c>
      <c r="D143" s="76"/>
      <c r="E143" s="635" t="s">
        <v>184</v>
      </c>
      <c r="F143" s="397">
        <f>DSUM('8_1'!A$9:J$26,'8_1'!$J$9,G140:G141)</f>
        <v>0.5889977085251078</v>
      </c>
      <c r="G143" s="382"/>
    </row>
    <row r="144" spans="1:7">
      <c r="A144" s="381"/>
      <c r="B144" s="635" t="s">
        <v>185</v>
      </c>
      <c r="C144" s="374">
        <v>51</v>
      </c>
      <c r="D144" s="76"/>
      <c r="E144" s="635" t="s">
        <v>186</v>
      </c>
      <c r="F144" s="368" t="str">
        <f>IF(VLOOKUP(G141,'8_1'!$A$9:$D$26,4,0)=2,"Eventual 80%","Definitivo 100%")</f>
        <v>Eventual 80%</v>
      </c>
      <c r="G144" s="382"/>
    </row>
    <row r="145" spans="1:7">
      <c r="A145" s="381"/>
      <c r="B145" s="635" t="s">
        <v>187</v>
      </c>
      <c r="C145" s="375">
        <f>DSUM('8_1'!$A$9:$H$26,'8_1'!$H$9,G140:G141)</f>
        <v>19.88776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DMIN('8_1'!A$9:K$26,'8_1'!$K$9,G140:G141)</f>
        <v>42975.36223582906</v>
      </c>
      <c r="E146" s="127" t="str">
        <f>IF(F146=1,"Domingo",IF(F146=2,"Lunes",IF(F146=3,"Martes",IF(F146=4,"Miercoles",IF(F146=5,"Jueves",IF(F146=6,"Viernes",IF(F146=7,"Sábado",0)))))))</f>
        <v>Lunes</v>
      </c>
      <c r="F146" s="128">
        <f>WEEKDAY(D146)</f>
        <v>2</v>
      </c>
      <c r="G146" s="385" t="s">
        <v>70</v>
      </c>
    </row>
    <row r="147" spans="1:7" ht="15.75">
      <c r="A147" s="381"/>
      <c r="B147" s="76"/>
      <c r="C147" s="635" t="s">
        <v>190</v>
      </c>
      <c r="D147" s="107">
        <f>DMAX('8_1'!A$9:L$26,'8_1'!$L$9,G140:G141)</f>
        <v>42975.951233537584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385">
        <f>WEEKDAY(D147)</f>
        <v>2</v>
      </c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333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333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IF(DSUM('8_1'!$A$9:$P$84,16,G140:G141)=COUNTIF('8_1'!$A$10:$A$84,G141),"","Regularice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VLOOKUP(G158,'8_1'!$A$10:$G$26,7,0)</f>
        <v>ARANDA, BELEN ESTEFANIA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+'8_1'!$G$1</f>
        <v>Hijuela Solanilla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VLOOKUP(G158,'8_1'!$A$10:$B$26,2,0)</f>
        <v>1243</v>
      </c>
      <c r="D160" s="76"/>
      <c r="E160" s="635" t="s">
        <v>184</v>
      </c>
      <c r="F160" s="397">
        <f>DSUM('8_1'!A$9:J$26,'8_1'!$J$9,G157:G158)</f>
        <v>0.77032637148786309</v>
      </c>
      <c r="G160" s="382"/>
    </row>
    <row r="161" spans="1:7">
      <c r="A161" s="381"/>
      <c r="B161" s="635" t="s">
        <v>185</v>
      </c>
      <c r="C161" s="374">
        <v>21</v>
      </c>
      <c r="D161" s="76"/>
      <c r="E161" s="635" t="s">
        <v>186</v>
      </c>
      <c r="F161" s="368" t="str">
        <f>IF(VLOOKUP(G158,'8_1'!$A$9:$D$26,4,0)=2,"Eventual 80%","Definitivo 100%")</f>
        <v>Eventual 80%</v>
      </c>
      <c r="G161" s="382"/>
    </row>
    <row r="162" spans="1:7">
      <c r="A162" s="381"/>
      <c r="B162" s="635" t="s">
        <v>187</v>
      </c>
      <c r="C162" s="375">
        <f>DSUM('8_1'!$A$9:$H$26,'8_1'!$H$9,G157:G158)</f>
        <v>26.010400000000001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DMIN('8_1'!A$9:K$26,'8_1'!$K$9,G157:G158)</f>
        <v>42974.591909457573</v>
      </c>
      <c r="E163" s="127" t="str">
        <f>IF(F163=1,"Domingo",IF(F163=2,"Lunes",IF(F163=3,"Martes",IF(F163=4,"Miercoles",IF(F163=5,"Jueves",IF(F163=6,"Viernes",IF(F163=7,"Sábado",0)))))))</f>
        <v>Domingo</v>
      </c>
      <c r="F163" s="128">
        <f>WEEKDAY(D163)</f>
        <v>1</v>
      </c>
      <c r="G163" s="385" t="s">
        <v>70</v>
      </c>
    </row>
    <row r="164" spans="1:7" ht="15.75">
      <c r="A164" s="381"/>
      <c r="B164" s="76"/>
      <c r="C164" s="635" t="s">
        <v>190</v>
      </c>
      <c r="D164" s="107">
        <f>DMAX('8_1'!A$9:L$26,'8_1'!$L$9,G157:G158)</f>
        <v>42975.36223582906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385">
        <f>WEEKDAY(D164)</f>
        <v>2</v>
      </c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333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333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IF(DSUM('8_1'!$A$9:$P$84,16,G157:G158)=COUNTIF('8_1'!$A$10:$A$84,G158),"","Regularice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VLOOKUP(G175,'8_1'!$A$10:$G$26,7,0)</f>
        <v>LIGORI, VICENTE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+'8_1'!$G$1</f>
        <v>Hijuela Solanilla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VLOOKUP(G175,'8_1'!$A$10:$B$26,2,0)</f>
        <v>1243</v>
      </c>
      <c r="D177" s="76"/>
      <c r="E177" s="635" t="s">
        <v>184</v>
      </c>
      <c r="F177" s="397">
        <f>DSUM('8_1'!A$9:J$26,'8_1'!$J$9,G174:G175)</f>
        <v>0.11846436371418556</v>
      </c>
      <c r="G177" s="382"/>
    </row>
    <row r="178" spans="1:7">
      <c r="A178" s="381"/>
      <c r="B178" s="635" t="s">
        <v>185</v>
      </c>
      <c r="C178" s="374" t="s">
        <v>351</v>
      </c>
      <c r="D178" s="76"/>
      <c r="E178" s="635" t="s">
        <v>186</v>
      </c>
      <c r="F178" s="368" t="str">
        <f>IF(VLOOKUP(G175,'8_1'!$A$9:$D$26,4,0)=2,"Eventual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DSUM('8_1'!$A$9:$H$26,'8_1'!$H$9,G174:G175)</f>
        <v>4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DMIN('8_1'!A$9:K$26,'8_1'!$K$9,G174:G175)</f>
        <v>42974.473445093856</v>
      </c>
      <c r="E180" s="127" t="str">
        <f>IF(F180=1,"Domingo",IF(F180=2,"Lunes",IF(F180=3,"Martes",IF(F180=4,"Miercoles",IF(F180=5,"Jueves",IF(F180=6,"Viernes",IF(F180=7,"Sábado",0)))))))</f>
        <v>Domingo</v>
      </c>
      <c r="F180" s="128">
        <f>WEEKDAY(D180)</f>
        <v>1</v>
      </c>
      <c r="G180" s="385" t="s">
        <v>70</v>
      </c>
    </row>
    <row r="181" spans="1:7" ht="15.75">
      <c r="A181" s="381"/>
      <c r="B181" s="76"/>
      <c r="C181" s="635" t="s">
        <v>190</v>
      </c>
      <c r="D181" s="107">
        <f>DMAX('8_1'!A$9:L$26,'8_1'!$L$9,G174:G175)</f>
        <v>42974.591909457573</v>
      </c>
      <c r="E181" s="127" t="str">
        <f>IF(F181=1,"Domingo",IF(F181=2,"Lunes",IF(F181=3,"Martes",IF(F181=4,"Miercoles",IF(F181=5,"Jueves",IF(F181=6,"Viernes",IF(F181=7,"Sábado",0)))))))</f>
        <v>Domingo</v>
      </c>
      <c r="F181" s="128">
        <f>WEEKDAY(D181)</f>
        <v>1</v>
      </c>
      <c r="G181" s="385">
        <f>WEEKDAY(D181)</f>
        <v>1</v>
      </c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333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333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IF(DSUM('8_1'!$A$9:$P$84,16,G174:G175)=COUNTIF('8_1'!$A$10:$A$84,G175),"","Regularice su Deuda")</f>
        <v/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">
        <v>82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VLOOKUP(G192,'8_1'!$A$10:$G$26,7,0)</f>
        <v>MASCHKE, MIGUEL ANGEL BERNABE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76" t="str">
        <f>+'8_1'!$G$1</f>
        <v>Hijuela Solanilla</v>
      </c>
      <c r="D192" s="76"/>
      <c r="E192" s="76"/>
      <c r="F192" s="76"/>
      <c r="G192" s="383">
        <v>12</v>
      </c>
    </row>
    <row r="193" spans="1:7">
      <c r="A193" s="381"/>
      <c r="B193" s="76"/>
      <c r="C193" s="76"/>
      <c r="D193" s="76"/>
      <c r="E193" s="76"/>
      <c r="F193" s="76"/>
      <c r="G193" s="382"/>
    </row>
    <row r="194" spans="1:7">
      <c r="A194" s="381"/>
      <c r="B194" s="635" t="s">
        <v>183</v>
      </c>
      <c r="C194" s="331">
        <f>VLOOKUP(G192,'8_1'!$A$10:$B$26,2,0)</f>
        <v>1243</v>
      </c>
      <c r="D194" s="76"/>
      <c r="E194" s="635" t="s">
        <v>184</v>
      </c>
      <c r="F194" s="397">
        <f>DSUM('8_1'!A$9:J$26,'8_1'!$J$9,G191:G192)</f>
        <v>0.53420794030729701</v>
      </c>
      <c r="G194" s="382"/>
    </row>
    <row r="195" spans="1:7">
      <c r="A195" s="381"/>
      <c r="B195" s="635" t="s">
        <v>185</v>
      </c>
      <c r="C195" s="374">
        <v>12</v>
      </c>
      <c r="D195" s="76"/>
      <c r="E195" s="635" t="s">
        <v>186</v>
      </c>
      <c r="F195" s="368" t="str">
        <f>IF(VLOOKUP(G192,'8_1'!$A$9:$D$26,4,0)=2,"Eventual 80%","Definitivo 100%")</f>
        <v>Eventual 80%</v>
      </c>
      <c r="G195" s="382"/>
    </row>
    <row r="196" spans="1:7">
      <c r="A196" s="381"/>
      <c r="B196" s="635" t="s">
        <v>187</v>
      </c>
      <c r="C196" s="375">
        <f>DSUM('8_1'!$A$9:$H$26,'8_1'!$H$9,G191:G192)</f>
        <v>18.037759999999999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635" t="s">
        <v>189</v>
      </c>
      <c r="D197" s="107">
        <f>DMIN('8_1'!A$9:K$26,'8_1'!$K$9,G191:G192)</f>
        <v>42973.93923715355</v>
      </c>
      <c r="E197" s="127" t="str">
        <f>IF(F197=1,"Domingo",IF(F197=2,"Lunes",IF(F197=3,"Martes",IF(F197=4,"Miercoles",IF(F197=5,"Jueves",IF(F197=6,"Viernes",IF(F197=7,"Sábado",0)))))))</f>
        <v>Sábado</v>
      </c>
      <c r="F197" s="128">
        <f>WEEKDAY(D197)</f>
        <v>7</v>
      </c>
      <c r="G197" s="385" t="s">
        <v>70</v>
      </c>
    </row>
    <row r="198" spans="1:7" ht="15.75">
      <c r="A198" s="381"/>
      <c r="B198" s="76"/>
      <c r="C198" s="635" t="s">
        <v>190</v>
      </c>
      <c r="D198" s="107">
        <f>DMAX('8_1'!A$9:L$26,'8_1'!$L$9,G191:G192)</f>
        <v>42974.473445093856</v>
      </c>
      <c r="E198" s="127" t="str">
        <f>IF(F198=1,"Domingo",IF(F198=2,"Lunes",IF(F198=3,"Martes",IF(F198=4,"Miercoles",IF(F198=5,"Jueves",IF(F198=6,"Viernes",IF(F198=7,"Sábado",0)))))))</f>
        <v>Domingo</v>
      </c>
      <c r="F198" s="128">
        <f>WEEKDAY(D198)</f>
        <v>1</v>
      </c>
      <c r="G198" s="385">
        <f>WEEKDAY(D198)</f>
        <v>1</v>
      </c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333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333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IF(DSUM('8_1'!$A$9:$P$84,16,G191:G192)=COUNTIF('8_1'!$A$10:$A$84,G192),"","Regularice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">
        <v>82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VLOOKUP(G209,'8_1'!$A$10:$G$26,7,0)</f>
        <v>CRISPIN ALBIS CRUZ, NORMA HUANCA Y ALBIS CRUZ, JOAQUIN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76" t="str">
        <f>+'8_1'!$G$1</f>
        <v>Hijuela Solanilla</v>
      </c>
      <c r="D209" s="76"/>
      <c r="E209" s="76"/>
      <c r="F209" s="76"/>
      <c r="G209" s="383">
        <v>13</v>
      </c>
    </row>
    <row r="210" spans="1:7">
      <c r="A210" s="381"/>
      <c r="B210" s="76"/>
      <c r="C210" s="76"/>
      <c r="D210" s="76"/>
      <c r="E210" s="76"/>
      <c r="F210" s="76"/>
      <c r="G210" s="382"/>
    </row>
    <row r="211" spans="1:7">
      <c r="A211" s="381"/>
      <c r="B211" s="635" t="s">
        <v>183</v>
      </c>
      <c r="C211" s="331">
        <f>VLOOKUP(G209,'8_1'!$A$10:$B$26,2,0)</f>
        <v>1243</v>
      </c>
      <c r="D211" s="76"/>
      <c r="E211" s="635" t="s">
        <v>184</v>
      </c>
      <c r="F211" s="397">
        <f>DSUM('8_1'!A$9:J$26,'8_1'!$J$9,G208:G209)</f>
        <v>0.21007048688709098</v>
      </c>
      <c r="G211" s="382"/>
    </row>
    <row r="212" spans="1:7">
      <c r="A212" s="381"/>
      <c r="B212" s="635" t="s">
        <v>185</v>
      </c>
      <c r="C212" s="374" t="s">
        <v>352</v>
      </c>
      <c r="D212" s="76"/>
      <c r="E212" s="635" t="s">
        <v>186</v>
      </c>
      <c r="F212" s="368" t="str">
        <f>IF(VLOOKUP(G209,'8_1'!$A$9:$D$26,4,0)=2,"Eventual 80%","Definitivo 100%")</f>
        <v>Eventual 80%</v>
      </c>
      <c r="G212" s="382"/>
    </row>
    <row r="213" spans="1:7">
      <c r="A213" s="381"/>
      <c r="B213" s="635" t="s">
        <v>187</v>
      </c>
      <c r="C213" s="375">
        <f>DSUM('8_1'!$A$9:$H$26,'8_1'!$H$9,G208:G209)</f>
        <v>7.0931200000000008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635" t="s">
        <v>189</v>
      </c>
      <c r="D214" s="107">
        <f>DMIN('8_1'!A$9:K$26,'8_1'!$K$9,G208:G209)</f>
        <v>42973.729166666664</v>
      </c>
      <c r="E214" s="127" t="str">
        <f>IF(F214=1,"Domingo",IF(F214=2,"Lunes",IF(F214=3,"Martes",IF(F214=4,"Miercoles",IF(F214=5,"Jueves",IF(F214=6,"Viernes",IF(F214=7,"Sábado",0)))))))</f>
        <v>Sábado</v>
      </c>
      <c r="F214" s="128">
        <f>WEEKDAY(D214)</f>
        <v>7</v>
      </c>
      <c r="G214" s="385" t="s">
        <v>70</v>
      </c>
    </row>
    <row r="215" spans="1:7" ht="15.75">
      <c r="A215" s="381"/>
      <c r="B215" s="76"/>
      <c r="C215" s="635" t="s">
        <v>190</v>
      </c>
      <c r="D215" s="107">
        <f>DMAX('8_1'!A$9:L$26,'8_1'!$L$9,G208:G209)</f>
        <v>42973.93923715355</v>
      </c>
      <c r="E215" s="127" t="str">
        <f>IF(F215=1,"Domingo",IF(F215=2,"Lunes",IF(F215=3,"Martes",IF(F215=4,"Miercoles",IF(F215=5,"Jueves",IF(F215=6,"Viernes",IF(F215=7,"Sábado",0)))))))</f>
        <v>Sábado</v>
      </c>
      <c r="F215" s="128">
        <f>WEEKDAY(D215)</f>
        <v>7</v>
      </c>
      <c r="G215" s="385">
        <f>WEEKDAY(D215)</f>
        <v>7</v>
      </c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333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333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IF(DSUM('8_1'!$A$9:$P$84,16,G208:G209)=COUNTIF('8_1'!$A$10:$A$84,G209),"","Regularice su Deuda")</f>
        <v/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">
        <v>82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e">
        <f>VLOOKUP(G226,'8_1'!$A$10:$G$26,7,0)</f>
        <v>#N/A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76" t="str">
        <f>+'8_1'!$G$1</f>
        <v>Hijuela Solanilla</v>
      </c>
      <c r="D226" s="76"/>
      <c r="E226" s="76"/>
      <c r="F226" s="76"/>
      <c r="G226" s="383">
        <v>14</v>
      </c>
    </row>
    <row r="227" spans="1:7">
      <c r="A227" s="381"/>
      <c r="B227" s="76"/>
      <c r="C227" s="76"/>
      <c r="D227" s="76"/>
      <c r="E227" s="76"/>
      <c r="F227" s="76"/>
      <c r="G227" s="382"/>
    </row>
    <row r="228" spans="1:7">
      <c r="A228" s="381"/>
      <c r="B228" s="635" t="s">
        <v>183</v>
      </c>
      <c r="C228" s="331" t="e">
        <f>VLOOKUP(G226,'8_1'!$A$10:$B$26,2,0)</f>
        <v>#N/A</v>
      </c>
      <c r="D228" s="76"/>
      <c r="E228" s="635" t="s">
        <v>184</v>
      </c>
      <c r="F228" s="397">
        <f>DSUM('8_1'!A$9:J$26,'8_1'!$J$9,G225:G226)</f>
        <v>0</v>
      </c>
      <c r="G228" s="382"/>
    </row>
    <row r="229" spans="1:7">
      <c r="A229" s="381"/>
      <c r="B229" s="635" t="s">
        <v>185</v>
      </c>
      <c r="C229" s="374" t="s">
        <v>353</v>
      </c>
      <c r="D229" s="76"/>
      <c r="E229" s="635" t="s">
        <v>186</v>
      </c>
      <c r="F229" s="368" t="e">
        <f>IF(VLOOKUP(G226,'8_1'!$A$9:$D$26,4,0)=2,"Eventual 80%","Definitivo 100%")</f>
        <v>#N/A</v>
      </c>
      <c r="G229" s="382"/>
    </row>
    <row r="230" spans="1:7">
      <c r="A230" s="381"/>
      <c r="B230" s="635" t="s">
        <v>187</v>
      </c>
      <c r="C230" s="375">
        <f>DSUM('8_1'!$A$9:$H$26,'8_1'!$H$9,G225:G226)</f>
        <v>0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635" t="s">
        <v>189</v>
      </c>
      <c r="D231" s="107">
        <f>DMIN('8_1'!A$9:K$26,'8_1'!$K$9,G225:G226)</f>
        <v>0</v>
      </c>
      <c r="E231" s="127" t="str">
        <f>IF(F231=1,"Domingo",IF(F231=2,"Lunes",IF(F231=3,"Martes",IF(F231=4,"Miercoles",IF(F231=5,"Jueves",IF(F231=6,"Viernes",IF(F231=7,"Sábado",0)))))))</f>
        <v>Sábado</v>
      </c>
      <c r="F231" s="128">
        <f>WEEKDAY(D231)</f>
        <v>7</v>
      </c>
      <c r="G231" s="385" t="s">
        <v>70</v>
      </c>
    </row>
    <row r="232" spans="1:7" ht="15.75">
      <c r="A232" s="381"/>
      <c r="B232" s="76"/>
      <c r="C232" s="635" t="s">
        <v>190</v>
      </c>
      <c r="D232" s="107">
        <f>DMAX('8_1'!A$9:L$26,'8_1'!$L$9,G225:G226)</f>
        <v>0</v>
      </c>
      <c r="E232" s="127" t="str">
        <f>IF(F232=1,"Domingo",IF(F232=2,"Lunes",IF(F232=3,"Martes",IF(F232=4,"Miercoles",IF(F232=5,"Jueves",IF(F232=6,"Viernes",IF(F232=7,"Sábado",0)))))))</f>
        <v>Sábado</v>
      </c>
      <c r="F232" s="128">
        <f>WEEKDAY(D232)</f>
        <v>7</v>
      </c>
      <c r="G232" s="385">
        <f>WEEKDAY(D232)</f>
        <v>7</v>
      </c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333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333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IF(DSUM('8_1'!$A$9:$P$84,16,G225:G226)=COUNTIF('8_1'!$A$10:$A$84,G226),"","Regularice su Deuda")</f>
        <v/>
      </c>
      <c r="C237" s="326"/>
      <c r="D237" s="326"/>
      <c r="E237" s="326"/>
      <c r="F237" s="326"/>
      <c r="G237" s="388"/>
    </row>
  </sheetData>
  <phoneticPr fontId="0" type="noConversion"/>
  <pageMargins left="0.56000000000000005" right="0.56999999999999995" top="0.17" bottom="1" header="0" footer="0"/>
  <pageSetup scale="64" orientation="portrait" horizontalDpi="300" verticalDpi="300" r:id="rId1"/>
  <headerFooter alignWithMargins="0"/>
  <rowBreaks count="1" manualBreakCount="1">
    <brk id="84" max="6" man="1"/>
  </rowBreaks>
  <colBreaks count="1" manualBreakCount="1">
    <brk id="8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4"/>
  <dimension ref="A1:T50"/>
  <sheetViews>
    <sheetView topLeftCell="A30" zoomScale="75" zoomScaleNormal="75" zoomScaleSheetLayoutView="100" workbookViewId="0" xr3:uid="{AB5DE215-5931-5800-A1A6-141DC62B4C85}">
      <selection activeCell="H51" sqref="H51"/>
    </sheetView>
  </sheetViews>
  <sheetFormatPr defaultRowHeight="12.75"/>
  <cols>
    <col min="1" max="1" width="7.85546875" bestFit="1" customWidth="1"/>
    <col min="2" max="2" width="6" customWidth="1"/>
    <col min="3" max="3" width="8" bestFit="1" customWidth="1"/>
    <col min="4" max="4" width="8.140625" customWidth="1"/>
    <col min="5" max="5" width="10.85546875" bestFit="1" customWidth="1"/>
    <col min="6" max="6" width="15.28515625" bestFit="1" customWidth="1"/>
    <col min="7" max="7" width="36" customWidth="1"/>
    <col min="8" max="8" width="11.85546875" customWidth="1"/>
    <col min="9" max="9" width="9.42578125" bestFit="1" customWidth="1"/>
    <col min="10" max="10" width="7.85546875" bestFit="1" customWidth="1"/>
    <col min="11" max="11" width="15.42578125" customWidth="1"/>
    <col min="12" max="12" width="16.140625" customWidth="1"/>
    <col min="13" max="13" width="22.140625" customWidth="1"/>
    <col min="14" max="14" width="27.42578125" customWidth="1"/>
    <col min="15" max="15" width="11.42578125" customWidth="1"/>
    <col min="16" max="18" width="11.5703125" bestFit="1" customWidth="1"/>
    <col min="19" max="19" width="12.5703125" bestFit="1" customWidth="1"/>
    <col min="20" max="20" width="11.85546875" bestFit="1" customWidth="1"/>
    <col min="21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105" t="s">
        <v>123</v>
      </c>
      <c r="C2" s="99"/>
      <c r="D2" s="99"/>
      <c r="E2" s="99"/>
      <c r="F2" s="99"/>
      <c r="G2" s="99"/>
      <c r="H2" s="99" t="s">
        <v>354</v>
      </c>
      <c r="I2" s="99"/>
      <c r="J2" s="99"/>
      <c r="K2" s="99"/>
      <c r="L2" s="99"/>
      <c r="M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 ht="13.5" thickBot="1">
      <c r="A5" s="662" t="s">
        <v>124</v>
      </c>
      <c r="B5" s="677"/>
      <c r="C5" s="678">
        <f>+Hijuelas!D18</f>
        <v>42973.541666666664</v>
      </c>
      <c r="D5" s="679"/>
      <c r="E5" s="680"/>
      <c r="F5" s="305"/>
      <c r="G5" s="424" t="s">
        <v>125</v>
      </c>
      <c r="H5" s="422">
        <f>+Hijuelas!G4</f>
        <v>3.9895833333333335</v>
      </c>
      <c r="I5" s="318"/>
      <c r="J5" s="99"/>
      <c r="K5" s="99"/>
      <c r="L5" s="99"/>
      <c r="M5" s="99"/>
    </row>
    <row r="6" spans="1:20" ht="13.5" thickBot="1">
      <c r="A6" s="664" t="s">
        <v>126</v>
      </c>
      <c r="B6" s="665"/>
      <c r="C6" s="668">
        <f>+C5+H5</f>
        <v>42977.53125</v>
      </c>
      <c r="D6" s="669"/>
      <c r="E6" s="670"/>
      <c r="F6" s="305"/>
      <c r="G6" s="425" t="s">
        <v>127</v>
      </c>
      <c r="H6" s="473">
        <v>0.33333333333333331</v>
      </c>
      <c r="I6" s="318"/>
      <c r="J6" s="99"/>
      <c r="K6" s="309"/>
      <c r="L6" s="99"/>
      <c r="M6" s="99"/>
    </row>
    <row r="7" spans="1:20">
      <c r="A7" s="99"/>
      <c r="B7" s="99"/>
      <c r="C7" s="99"/>
      <c r="D7" s="312"/>
      <c r="E7" s="99"/>
      <c r="F7" s="99"/>
      <c r="G7" s="426" t="s">
        <v>128</v>
      </c>
      <c r="H7" s="423">
        <v>0</v>
      </c>
      <c r="I7" s="318"/>
      <c r="J7" s="99"/>
      <c r="K7" s="99"/>
      <c r="L7" s="99"/>
      <c r="M7" s="99"/>
    </row>
    <row r="8" spans="1:20" ht="13.5" thickBot="1">
      <c r="A8" s="99"/>
      <c r="B8" s="99"/>
      <c r="C8" s="99"/>
      <c r="D8" s="99"/>
      <c r="E8" s="99"/>
      <c r="F8" s="312">
        <f>+C6-C5</f>
        <v>3.9895833333357587</v>
      </c>
      <c r="G8" s="427" t="s">
        <v>255</v>
      </c>
      <c r="H8" s="474">
        <f>+I50</f>
        <v>0.78124999999999989</v>
      </c>
      <c r="I8" s="99"/>
      <c r="J8" s="99"/>
      <c r="K8" s="99"/>
      <c r="L8" s="99"/>
      <c r="M8" s="99"/>
    </row>
    <row r="9" spans="1:20">
      <c r="A9" s="666" t="s">
        <v>129</v>
      </c>
      <c r="B9" s="666"/>
      <c r="C9" s="312">
        <f>H5-(H6+H7+H8)</f>
        <v>2.875</v>
      </c>
      <c r="D9" s="636" t="s">
        <v>130</v>
      </c>
      <c r="E9" s="317">
        <f>+C9*60</f>
        <v>172.5</v>
      </c>
      <c r="F9" s="636" t="s">
        <v>131</v>
      </c>
      <c r="G9" s="375">
        <f>+H50</f>
        <v>267.00704000000002</v>
      </c>
      <c r="H9" s="635"/>
      <c r="I9" s="314">
        <f>+E9/G9</f>
        <v>0.64605038129331716</v>
      </c>
      <c r="J9" s="99"/>
      <c r="K9" s="99"/>
      <c r="L9" s="99"/>
      <c r="M9" s="99"/>
    </row>
    <row r="10" spans="1:20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341</v>
      </c>
      <c r="E12" s="292" t="s">
        <v>138</v>
      </c>
      <c r="F12" s="292" t="s">
        <v>192</v>
      </c>
      <c r="G12" s="354" t="s">
        <v>140</v>
      </c>
      <c r="H12" s="292" t="s">
        <v>257</v>
      </c>
      <c r="I12" s="292" t="s">
        <v>355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26.25" customHeight="1" thickTop="1">
      <c r="A13" s="46">
        <v>1</v>
      </c>
      <c r="B13" s="47">
        <v>1245</v>
      </c>
      <c r="C13" s="260">
        <v>14</v>
      </c>
      <c r="D13" s="260">
        <v>2</v>
      </c>
      <c r="E13" s="85">
        <v>2.7915999999999999</v>
      </c>
      <c r="F13" s="85" t="str">
        <f t="shared" ref="F13:F50" si="0">IF(P13=0,"NO",IF(P13=1,"SI","CONDICIONAL"))</f>
        <v>SI</v>
      </c>
      <c r="G13" s="334" t="s">
        <v>356</v>
      </c>
      <c r="H13" s="125">
        <f>IF(Hijuelas!$G$5="fracción",IF(F13="NO",0,IF(Hijuelas!$G$6="si",IF(D13=1,E13,E13*0.8),E13)),IF(F13="NO",0,IF(Hijuelas!$G$6="si",IF(D13=1,ROUNDUP(E13,0),ROUNDUP(E13*0.8,0)),ROUNDUP(E13,0))))</f>
        <v>2.2332800000000002</v>
      </c>
      <c r="I13" s="182">
        <v>4.1666666666666664E-2</v>
      </c>
      <c r="J13" s="123">
        <f t="shared" ref="J13:J49" si="1">+$I$9/60*H13</f>
        <v>2.4046856592245657E-2</v>
      </c>
      <c r="K13" s="95">
        <f>+C5+H6</f>
        <v>42973.875</v>
      </c>
      <c r="L13" s="95">
        <f>+K13+J13+I13</f>
        <v>42973.940713523254</v>
      </c>
      <c r="M13" s="47"/>
      <c r="N13" s="47"/>
      <c r="O13" s="47" t="str">
        <f>+CONCATENATE(B13,C13)</f>
        <v>124514</v>
      </c>
      <c r="P13" s="112">
        <f>VLOOKUP(O13,deuda!A$1:H$551,4,0)</f>
        <v>1</v>
      </c>
      <c r="Q13" s="112">
        <f>VLOOKUP(O13,deuda!A$1:H$551,5,0)</f>
        <v>1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26.25" customHeight="1">
      <c r="A14" s="46">
        <v>1</v>
      </c>
      <c r="B14" s="47">
        <v>1245</v>
      </c>
      <c r="C14" s="260">
        <v>74</v>
      </c>
      <c r="D14" s="260">
        <v>2</v>
      </c>
      <c r="E14" s="85">
        <v>1.1736</v>
      </c>
      <c r="F14" s="85" t="str">
        <f t="shared" si="0"/>
        <v>SI</v>
      </c>
      <c r="G14" s="334" t="s">
        <v>356</v>
      </c>
      <c r="H14" s="125">
        <f>IF(Hijuelas!$G$5="fracción",IF(F14="NO",0,IF(Hijuelas!$G$6="si",IF(D14=1,E14,E14*0.8),E14)),IF(F14="NO",0,IF(Hijuelas!$G$6="si",IF(D14=1,ROUNDUP(E14,0),ROUNDUP(E14*0.8,0)),ROUNDUP(E14,0))))</f>
        <v>0.93888000000000005</v>
      </c>
      <c r="I14" s="182">
        <v>0</v>
      </c>
      <c r="J14" s="123">
        <f t="shared" si="1"/>
        <v>1.0109396366477829E-2</v>
      </c>
      <c r="K14" s="95">
        <f>+L13</f>
        <v>42973.940713523254</v>
      </c>
      <c r="L14" s="95">
        <f>+K14+J14+I14</f>
        <v>42973.950822919622</v>
      </c>
      <c r="M14" s="47"/>
      <c r="N14" s="47"/>
      <c r="O14" s="47" t="str">
        <f t="shared" ref="O14:O49" si="2">+CONCATENATE(B14,C14)</f>
        <v>124574</v>
      </c>
      <c r="P14" s="112">
        <f>VLOOKUP(O14,deuda!A$1:H$551,4,0)</f>
        <v>1</v>
      </c>
      <c r="Q14" s="112">
        <f>VLOOKUP(O14,deuda!A$1:H$551,5,0)</f>
        <v>1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26.25" customHeight="1">
      <c r="A15" s="46">
        <v>1</v>
      </c>
      <c r="B15" s="47">
        <v>1245</v>
      </c>
      <c r="C15" s="260">
        <v>75</v>
      </c>
      <c r="D15" s="260">
        <v>2</v>
      </c>
      <c r="E15" s="85">
        <v>0.99470000000000003</v>
      </c>
      <c r="F15" s="85" t="str">
        <f t="shared" si="0"/>
        <v>SI</v>
      </c>
      <c r="G15" s="334" t="s">
        <v>356</v>
      </c>
      <c r="H15" s="125">
        <f>IF(Hijuelas!$G$5="fracción",IF(F15="NO",0,IF(Hijuelas!$G$6="si",IF(D15=1,E15,E15*0.8),E15)),IF(F15="NO",0,IF(Hijuelas!$G$6="si",IF(D15=1,ROUNDUP(E15,0),ROUNDUP(E15*0.8,0)),ROUNDUP(E15,0))))</f>
        <v>0.79576000000000002</v>
      </c>
      <c r="I15" s="182">
        <v>0</v>
      </c>
      <c r="J15" s="123">
        <f t="shared" si="1"/>
        <v>8.5683508569661688E-3</v>
      </c>
      <c r="K15" s="95">
        <f t="shared" ref="K15:K49" si="3">+L14</f>
        <v>42973.950822919622</v>
      </c>
      <c r="L15" s="95">
        <f t="shared" ref="L15:L49" si="4">+K15+J15+I15</f>
        <v>42973.95939127048</v>
      </c>
      <c r="M15" s="47"/>
      <c r="N15" s="47"/>
      <c r="O15" s="47" t="str">
        <f t="shared" si="2"/>
        <v>124575</v>
      </c>
      <c r="P15" s="112">
        <f>VLOOKUP(O15,deuda!A$1:H$551,4,0)</f>
        <v>1</v>
      </c>
      <c r="Q15" s="112">
        <f>VLOOKUP(O15,deuda!A$1:H$551,5,0)</f>
        <v>1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26.25" customHeight="1">
      <c r="A16" s="46">
        <v>1</v>
      </c>
      <c r="B16" s="47">
        <v>1245</v>
      </c>
      <c r="C16" s="260">
        <v>76</v>
      </c>
      <c r="D16" s="260">
        <v>2</v>
      </c>
      <c r="E16" s="85">
        <v>2.0379</v>
      </c>
      <c r="F16" s="85" t="str">
        <f t="shared" si="0"/>
        <v>SI</v>
      </c>
      <c r="G16" s="334" t="s">
        <v>356</v>
      </c>
      <c r="H16" s="125">
        <f>IF(Hijuelas!$G$5="fracción",IF(F16="NO",0,IF(Hijuelas!$G$6="si",IF(D16=1,E16,E16*0.8),E16)),IF(F16="NO",0,IF(Hijuelas!$G$6="si",IF(D16=1,ROUNDUP(E16,0),ROUNDUP(E16*0.8,0)),ROUNDUP(E16,0))))</f>
        <v>1.6303200000000002</v>
      </c>
      <c r="I16" s="182">
        <v>0</v>
      </c>
      <c r="J16" s="123">
        <f t="shared" si="1"/>
        <v>1.7554480960502016E-2</v>
      </c>
      <c r="K16" s="95">
        <f t="shared" si="3"/>
        <v>42973.95939127048</v>
      </c>
      <c r="L16" s="95">
        <f t="shared" si="4"/>
        <v>42973.976945751441</v>
      </c>
      <c r="M16" s="47"/>
      <c r="N16" s="47"/>
      <c r="O16" s="47" t="str">
        <f t="shared" si="2"/>
        <v>124576</v>
      </c>
      <c r="P16" s="112">
        <f>VLOOKUP(O16,deuda!A$1:H$551,4,0)</f>
        <v>1</v>
      </c>
      <c r="Q16" s="112">
        <f>VLOOKUP(O16,deuda!A$1:H$551,5,0)</f>
        <v>1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24.95" customHeight="1">
      <c r="A17" s="31">
        <v>2</v>
      </c>
      <c r="B17" s="5">
        <v>1245</v>
      </c>
      <c r="C17" s="250">
        <v>10</v>
      </c>
      <c r="D17" s="250">
        <v>2</v>
      </c>
      <c r="E17" s="9">
        <v>20</v>
      </c>
      <c r="F17" s="85" t="str">
        <f t="shared" si="0"/>
        <v>SI</v>
      </c>
      <c r="G17" s="335" t="s">
        <v>357</v>
      </c>
      <c r="H17" s="125">
        <f>IF(Hijuelas!$G$5="fracción",IF(F17="NO",0,IF(Hijuelas!$G$6="si",IF(D17=1,E17,E17*0.8),E17)),IF(F17="NO",0,IF(Hijuelas!$G$6="si",IF(D17=1,ROUNDUP(E17,0),ROUNDUP(E17*0.8,0)),ROUNDUP(E17,0))))</f>
        <v>16</v>
      </c>
      <c r="I17" s="180">
        <v>0</v>
      </c>
      <c r="J17" s="123">
        <f t="shared" si="1"/>
        <v>0.17228010167821792</v>
      </c>
      <c r="K17" s="95">
        <f t="shared" si="3"/>
        <v>42973.976945751441</v>
      </c>
      <c r="L17" s="95">
        <f t="shared" si="4"/>
        <v>42974.149225853122</v>
      </c>
      <c r="M17" s="5"/>
      <c r="N17" s="5"/>
      <c r="O17" s="47" t="str">
        <f t="shared" si="2"/>
        <v>124510</v>
      </c>
      <c r="P17" s="112">
        <f>VLOOKUP(O17,deuda!A$1:H$551,4,0)</f>
        <v>1</v>
      </c>
      <c r="Q17" s="112">
        <f>VLOOKUP(O17,deuda!A$1:H$551,5,0)</f>
        <v>0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24.95" customHeight="1">
      <c r="A18" s="31">
        <v>3</v>
      </c>
      <c r="B18" s="47">
        <v>1245</v>
      </c>
      <c r="C18" s="179">
        <v>78</v>
      </c>
      <c r="D18" s="250">
        <v>2</v>
      </c>
      <c r="E18" s="9">
        <v>6</v>
      </c>
      <c r="F18" s="85" t="str">
        <f t="shared" si="0"/>
        <v>SI</v>
      </c>
      <c r="G18" s="335" t="s">
        <v>358</v>
      </c>
      <c r="H18" s="125">
        <f>IF(Hijuelas!$G$5="fracción",IF(F18="NO",0,IF(Hijuelas!$G$6="si",IF(D18=1,E18,E18*0.8),E18)),IF(F18="NO",0,IF(Hijuelas!$G$6="si",IF(D18=1,ROUNDUP(E18,0),ROUNDUP(E18*0.8,0)),ROUNDUP(E18,0))))</f>
        <v>4.8000000000000007</v>
      </c>
      <c r="I18" s="182">
        <v>2.0833333333333332E-2</v>
      </c>
      <c r="J18" s="123">
        <f t="shared" si="1"/>
        <v>5.1684030503465386E-2</v>
      </c>
      <c r="K18" s="95">
        <f t="shared" si="3"/>
        <v>42974.149225853122</v>
      </c>
      <c r="L18" s="95">
        <f t="shared" si="4"/>
        <v>42974.221743216964</v>
      </c>
      <c r="M18" s="5"/>
      <c r="N18" s="5"/>
      <c r="O18" s="47" t="str">
        <f t="shared" si="2"/>
        <v>124578</v>
      </c>
      <c r="P18" s="112">
        <f>VLOOKUP(O18,deuda!A$1:H$551,4,0)</f>
        <v>1</v>
      </c>
      <c r="Q18" s="112">
        <f>VLOOKUP(O18,deuda!A$1:H$551,5,0)</f>
        <v>1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24.95" customHeight="1">
      <c r="A19" s="31">
        <v>4</v>
      </c>
      <c r="B19" s="5">
        <v>1245</v>
      </c>
      <c r="C19" s="179">
        <v>77</v>
      </c>
      <c r="D19" s="250">
        <v>2</v>
      </c>
      <c r="E19" s="9">
        <v>12</v>
      </c>
      <c r="F19" s="85" t="str">
        <f t="shared" si="0"/>
        <v>SI</v>
      </c>
      <c r="G19" s="335" t="s">
        <v>358</v>
      </c>
      <c r="H19" s="125">
        <f>IF(Hijuelas!$G$5="fracción",IF(F19="NO",0,IF(Hijuelas!$G$6="si",IF(D19=1,E19,E19*0.8),E19)),IF(F19="NO",0,IF(Hijuelas!$G$6="si",IF(D19=1,ROUNDUP(E19,0),ROUNDUP(E19*0.8,0)),ROUNDUP(E19,0))))</f>
        <v>9.6000000000000014</v>
      </c>
      <c r="I19" s="180">
        <v>4.1666666666666664E-2</v>
      </c>
      <c r="J19" s="123">
        <f t="shared" si="1"/>
        <v>0.10336806100693077</v>
      </c>
      <c r="K19" s="95">
        <f t="shared" si="3"/>
        <v>42974.221743216964</v>
      </c>
      <c r="L19" s="95">
        <f t="shared" si="4"/>
        <v>42974.366777944633</v>
      </c>
      <c r="M19" s="5"/>
      <c r="N19" s="5"/>
      <c r="O19" s="47" t="str">
        <f t="shared" si="2"/>
        <v>124577</v>
      </c>
      <c r="P19" s="112">
        <f>VLOOKUP(O19,deuda!A$1:H$551,4,0)</f>
        <v>1</v>
      </c>
      <c r="Q19" s="112">
        <f>VLOOKUP(O19,deuda!A$1:H$551,5,0)</f>
        <v>2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s="73" customFormat="1" ht="24.95" customHeight="1">
      <c r="A20" s="70">
        <v>5</v>
      </c>
      <c r="B20" s="71">
        <v>1245</v>
      </c>
      <c r="C20" s="179">
        <v>9</v>
      </c>
      <c r="D20" s="179">
        <v>2</v>
      </c>
      <c r="E20" s="20">
        <v>15</v>
      </c>
      <c r="F20" s="85" t="str">
        <f t="shared" si="0"/>
        <v>SI</v>
      </c>
      <c r="G20" s="392" t="s">
        <v>359</v>
      </c>
      <c r="H20" s="125">
        <f>IF(Hijuelas!$G$5="fracción",IF(F20="NO",0,IF(Hijuelas!$G$6="si",IF(D20=1,E20,E20*0.8),E20)),IF(F20="NO",0,IF(Hijuelas!$G$6="si",IF(D20=1,ROUNDUP(E20,0),ROUNDUP(E20*0.8,0)),ROUNDUP(E20,0))))</f>
        <v>12</v>
      </c>
      <c r="I20" s="576">
        <v>4.1666666666666664E-2</v>
      </c>
      <c r="J20" s="123">
        <f t="shared" si="1"/>
        <v>0.12921007625866343</v>
      </c>
      <c r="K20" s="95">
        <f t="shared" si="3"/>
        <v>42974.366777944633</v>
      </c>
      <c r="L20" s="95">
        <f t="shared" si="4"/>
        <v>42974.537654687556</v>
      </c>
      <c r="M20" s="71"/>
      <c r="N20" s="71"/>
      <c r="O20" s="47" t="str">
        <f t="shared" si="2"/>
        <v>12459</v>
      </c>
      <c r="P20" s="112">
        <f>VLOOKUP(O20,deuda!A$1:H$551,4,0)</f>
        <v>1</v>
      </c>
      <c r="Q20" s="112">
        <f>VLOOKUP(O20,deuda!A$1:H$551,5,0)</f>
        <v>0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24.95" customHeight="1">
      <c r="A21" s="31">
        <v>5</v>
      </c>
      <c r="B21" s="47">
        <v>1245</v>
      </c>
      <c r="C21" s="251">
        <v>51</v>
      </c>
      <c r="D21" s="250">
        <v>2</v>
      </c>
      <c r="E21" s="9">
        <v>3.9843000000000002</v>
      </c>
      <c r="F21" s="85" t="str">
        <f t="shared" si="0"/>
        <v>SI</v>
      </c>
      <c r="G21" s="335" t="s">
        <v>359</v>
      </c>
      <c r="H21" s="125">
        <f>IF(Hijuelas!$G$5="fracción",IF(F21="NO",0,IF(Hijuelas!$G$6="si",IF(D21=1,E21,E21*0.8),E21)),IF(F21="NO",0,IF(Hijuelas!$G$6="si",IF(D21=1,ROUNDUP(E21,0),ROUNDUP(E21*0.8,0)),ROUNDUP(E21,0))))</f>
        <v>3.1874400000000005</v>
      </c>
      <c r="I21" s="182">
        <v>6.25E-2</v>
      </c>
      <c r="J21" s="123">
        <f t="shared" si="1"/>
        <v>3.4320780455826184E-2</v>
      </c>
      <c r="K21" s="95">
        <f t="shared" si="3"/>
        <v>42974.537654687556</v>
      </c>
      <c r="L21" s="95">
        <f t="shared" si="4"/>
        <v>42974.63447546801</v>
      </c>
      <c r="M21" s="5"/>
      <c r="N21" s="5"/>
      <c r="O21" s="47" t="str">
        <f t="shared" si="2"/>
        <v>124551</v>
      </c>
      <c r="P21" s="112">
        <f>VLOOKUP(O21,deuda!A$1:H$551,4,0)</f>
        <v>1</v>
      </c>
      <c r="Q21" s="112">
        <f>VLOOKUP(O21,deuda!A$1:H$551,5,0)</f>
        <v>0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24.95" customHeight="1">
      <c r="A22" s="31">
        <v>6</v>
      </c>
      <c r="B22" s="5">
        <v>1245</v>
      </c>
      <c r="C22" s="250">
        <v>25</v>
      </c>
      <c r="D22" s="251">
        <v>2</v>
      </c>
      <c r="E22" s="252">
        <v>5.0429000000000004</v>
      </c>
      <c r="F22" s="85" t="str">
        <f t="shared" si="0"/>
        <v>SI</v>
      </c>
      <c r="G22" s="392" t="s">
        <v>360</v>
      </c>
      <c r="H22" s="125">
        <f>IF(Hijuelas!$G$5="fracción",IF(F22="NO",0,IF(Hijuelas!$G$6="si",IF(D22=1,E22,E22*0.8),E22)),IF(F22="NO",0,IF(Hijuelas!$G$6="si",IF(D22=1,ROUNDUP(E22,0),ROUNDUP(E22*0.8,0)),ROUNDUP(E22,0))))</f>
        <v>4.0343200000000001</v>
      </c>
      <c r="I22" s="180">
        <v>6.25E-2</v>
      </c>
      <c r="J22" s="123">
        <f t="shared" si="1"/>
        <v>4.3439566237654256E-2</v>
      </c>
      <c r="K22" s="95">
        <f t="shared" si="3"/>
        <v>42974.63447546801</v>
      </c>
      <c r="L22" s="95">
        <f t="shared" si="4"/>
        <v>42974.740415034248</v>
      </c>
      <c r="M22" s="5"/>
      <c r="N22" s="5"/>
      <c r="O22" s="47" t="str">
        <f t="shared" si="2"/>
        <v>124525</v>
      </c>
      <c r="P22" s="112">
        <f>VLOOKUP(O22,deuda!A$1:H$551,4,0)</f>
        <v>1</v>
      </c>
      <c r="Q22" s="112">
        <f>VLOOKUP(O22,deuda!A$1:H$551,5,0)</f>
        <v>0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25.5">
      <c r="A23" s="31">
        <v>7</v>
      </c>
      <c r="B23" s="5">
        <v>1245</v>
      </c>
      <c r="C23" s="250">
        <v>52</v>
      </c>
      <c r="D23" s="250">
        <v>2</v>
      </c>
      <c r="E23" s="9">
        <v>0.44159999999999999</v>
      </c>
      <c r="F23" s="85" t="str">
        <f t="shared" si="0"/>
        <v>SI</v>
      </c>
      <c r="G23" s="335" t="s">
        <v>361</v>
      </c>
      <c r="H23" s="125">
        <f>IF(Hijuelas!$G$5="fracción",IF(F23="NO",0,IF(Hijuelas!$G$6="si",IF(D23=1,E23,E23*0.8),E23)),IF(F23="NO",0,IF(Hijuelas!$G$6="si",IF(D23=1,ROUNDUP(E23,0),ROUNDUP(E23*0.8,0)),ROUNDUP(E23,0))))</f>
        <v>0.35328000000000004</v>
      </c>
      <c r="I23" s="180">
        <v>2.0833333333333332E-2</v>
      </c>
      <c r="J23" s="123">
        <f t="shared" si="1"/>
        <v>3.803944645055052E-3</v>
      </c>
      <c r="K23" s="95">
        <f t="shared" si="3"/>
        <v>42974.740415034248</v>
      </c>
      <c r="L23" s="95">
        <f t="shared" si="4"/>
        <v>42974.765052312228</v>
      </c>
      <c r="M23" s="5"/>
      <c r="N23" s="5"/>
      <c r="O23" s="47" t="str">
        <f t="shared" si="2"/>
        <v>124552</v>
      </c>
      <c r="P23" s="112">
        <f>VLOOKUP(O23,deuda!A$1:H$551,4,0)</f>
        <v>1</v>
      </c>
      <c r="Q23" s="112">
        <f>VLOOKUP(O23,deuda!A$1:H$551,5,0)</f>
        <v>0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25.5">
      <c r="A24" s="31">
        <v>7</v>
      </c>
      <c r="B24" s="47">
        <v>1245</v>
      </c>
      <c r="C24" s="250">
        <v>53</v>
      </c>
      <c r="D24" s="250">
        <v>2</v>
      </c>
      <c r="E24" s="9">
        <v>0.5353</v>
      </c>
      <c r="F24" s="85" t="str">
        <f t="shared" si="0"/>
        <v>SI</v>
      </c>
      <c r="G24" s="335" t="s">
        <v>361</v>
      </c>
      <c r="H24" s="125">
        <f>IF(Hijuelas!$G$5="fracción",IF(F24="NO",0,IF(Hijuelas!$G$6="si",IF(D24=1,E24,E24*0.8),E24)),IF(F24="NO",0,IF(Hijuelas!$G$6="si",IF(D24=1,ROUNDUP(E24,0),ROUNDUP(E24*0.8,0)),ROUNDUP(E24,0))))</f>
        <v>0.42824000000000001</v>
      </c>
      <c r="I24" s="182">
        <v>0</v>
      </c>
      <c r="J24" s="123">
        <f t="shared" si="1"/>
        <v>4.6110769214175026E-3</v>
      </c>
      <c r="K24" s="95">
        <f t="shared" si="3"/>
        <v>42974.765052312228</v>
      </c>
      <c r="L24" s="95">
        <f t="shared" si="4"/>
        <v>42974.769663389146</v>
      </c>
      <c r="M24" s="5"/>
      <c r="N24" s="5"/>
      <c r="O24" s="47" t="str">
        <f t="shared" si="2"/>
        <v>124553</v>
      </c>
      <c r="P24" s="112">
        <f>VLOOKUP(O24,deuda!A$1:H$551,4,0)</f>
        <v>1</v>
      </c>
      <c r="Q24" s="112">
        <f>VLOOKUP(O24,deuda!A$1:H$551,5,0)</f>
        <v>0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24.95" customHeight="1">
      <c r="A25" s="31">
        <v>9</v>
      </c>
      <c r="B25" s="5">
        <v>1245</v>
      </c>
      <c r="C25" s="179">
        <v>39</v>
      </c>
      <c r="D25" s="250">
        <v>2</v>
      </c>
      <c r="E25" s="9">
        <v>24.789400000000001</v>
      </c>
      <c r="F25" s="85" t="str">
        <f t="shared" si="0"/>
        <v>SI</v>
      </c>
      <c r="G25" s="335" t="s">
        <v>362</v>
      </c>
      <c r="H25" s="125">
        <f>IF(Hijuelas!$G$5="fracción",IF(F25="NO",0,IF(Hijuelas!$G$6="si",IF(D25=1,E25,E25*0.8),E25)),IF(F25="NO",0,IF(Hijuelas!$G$6="si",IF(D25=1,ROUNDUP(E25,0),ROUNDUP(E25*0.8,0)),ROUNDUP(E25,0))))</f>
        <v>19.831520000000001</v>
      </c>
      <c r="I25" s="180">
        <v>0</v>
      </c>
      <c r="J25" s="123">
        <f t="shared" si="1"/>
        <v>0.21353601762710078</v>
      </c>
      <c r="K25" s="95">
        <f t="shared" si="3"/>
        <v>42974.769663389146</v>
      </c>
      <c r="L25" s="95">
        <f t="shared" si="4"/>
        <v>42974.983199406772</v>
      </c>
      <c r="M25" s="5"/>
      <c r="N25" s="5"/>
      <c r="O25" s="47" t="str">
        <f t="shared" si="2"/>
        <v>124539</v>
      </c>
      <c r="P25" s="112">
        <f>VLOOKUP(O25,deuda!A$1:H$551,4,0)</f>
        <v>1</v>
      </c>
      <c r="Q25" s="112">
        <f>VLOOKUP(O25,deuda!A$1:H$551,5,0)</f>
        <v>1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24.95" customHeight="1">
      <c r="A26" s="31">
        <v>10</v>
      </c>
      <c r="B26" s="47">
        <v>1245</v>
      </c>
      <c r="C26" s="250">
        <v>15</v>
      </c>
      <c r="D26" s="250">
        <v>2</v>
      </c>
      <c r="E26" s="9">
        <v>24.099299999999999</v>
      </c>
      <c r="F26" s="85" t="str">
        <f t="shared" si="0"/>
        <v>SI</v>
      </c>
      <c r="G26" s="335" t="s">
        <v>363</v>
      </c>
      <c r="H26" s="125">
        <f>IF(Hijuelas!$G$5="fracción",IF(F26="NO",0,IF(Hijuelas!$G$6="si",IF(D26=1,E26,E26*0.8),E26)),IF(F26="NO",0,IF(Hijuelas!$G$6="si",IF(D26=1,ROUNDUP(E26,0),ROUNDUP(E26*0.8,0)),ROUNDUP(E26,0))))</f>
        <v>19.279440000000001</v>
      </c>
      <c r="I26" s="182">
        <v>0</v>
      </c>
      <c r="J26" s="123">
        <f t="shared" si="1"/>
        <v>0.20759149271869387</v>
      </c>
      <c r="K26" s="95">
        <f t="shared" si="3"/>
        <v>42974.983199406772</v>
      </c>
      <c r="L26" s="95">
        <f t="shared" si="4"/>
        <v>42975.190790899491</v>
      </c>
      <c r="M26" s="5"/>
      <c r="N26" s="5"/>
      <c r="O26" s="47" t="str">
        <f t="shared" si="2"/>
        <v>124515</v>
      </c>
      <c r="P26" s="112">
        <f>VLOOKUP(O26,deuda!A$1:H$551,4,0)</f>
        <v>1</v>
      </c>
      <c r="Q26" s="112">
        <f>VLOOKUP(O26,deuda!A$1:H$551,5,0)</f>
        <v>0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24.95" customHeight="1">
      <c r="A27" s="31">
        <v>10</v>
      </c>
      <c r="B27" s="5">
        <v>1245</v>
      </c>
      <c r="C27" s="250">
        <v>30</v>
      </c>
      <c r="D27" s="250">
        <v>2</v>
      </c>
      <c r="E27" s="9">
        <v>25.900700000000001</v>
      </c>
      <c r="F27" s="85" t="str">
        <f t="shared" si="0"/>
        <v>SI</v>
      </c>
      <c r="G27" s="335" t="s">
        <v>363</v>
      </c>
      <c r="H27" s="125">
        <f>IF(Hijuelas!$G$5="fracción",IF(F27="NO",0,IF(Hijuelas!$G$6="si",IF(D27=1,E27,E27*0.8),E27)),IF(F27="NO",0,IF(Hijuelas!$G$6="si",IF(D27=1,ROUNDUP(E27,0),ROUNDUP(E27*0.8,0)),ROUNDUP(E27,0))))</f>
        <v>20.720560000000003</v>
      </c>
      <c r="I27" s="180">
        <v>0</v>
      </c>
      <c r="J27" s="123">
        <f t="shared" si="1"/>
        <v>0.22310876147685096</v>
      </c>
      <c r="K27" s="95">
        <f t="shared" si="3"/>
        <v>42975.190790899491</v>
      </c>
      <c r="L27" s="95">
        <f t="shared" si="4"/>
        <v>42975.413899660969</v>
      </c>
      <c r="M27" s="5"/>
      <c r="N27" s="5"/>
      <c r="O27" s="47" t="str">
        <f t="shared" si="2"/>
        <v>124530</v>
      </c>
      <c r="P27" s="112">
        <f>VLOOKUP(O27,deuda!A$1:H$551,4,0)</f>
        <v>1</v>
      </c>
      <c r="Q27" s="112">
        <f>VLOOKUP(O27,deuda!A$1:H$551,5,0)</f>
        <v>0</v>
      </c>
      <c r="R27" s="112" t="str">
        <f>IF(VLOOKUP(O27,deuda!A$1:H$551,6,0)=0,"",VLOOKUP(O27,deuda!A$1:H$551,6,0))</f>
        <v/>
      </c>
      <c r="S27" s="113" t="str">
        <f>IF((VLOOKUP(O27,deuda!A$1:H$551,7,0))=0,"",VLOOKUP(O27,deuda!A$1:H$551,7,0))</f>
        <v/>
      </c>
      <c r="T27" s="114" t="str">
        <f>IF((VLOOKUP(O27,deuda!A$1:H$551,8,0))=0,"",VLOOKUP(O27,deuda!A$1:H$551,8,0))</f>
        <v/>
      </c>
    </row>
    <row r="28" spans="1:20" ht="24.95" customHeight="1">
      <c r="A28" s="31">
        <v>11</v>
      </c>
      <c r="B28" s="5">
        <v>1245</v>
      </c>
      <c r="C28" s="250">
        <v>36</v>
      </c>
      <c r="D28" s="250">
        <v>2</v>
      </c>
      <c r="E28" s="9">
        <v>25</v>
      </c>
      <c r="F28" s="85" t="str">
        <f t="shared" si="0"/>
        <v>SI</v>
      </c>
      <c r="G28" s="392" t="s">
        <v>364</v>
      </c>
      <c r="H28" s="125">
        <f>IF(Hijuelas!$G$5="fracción",IF(F28="NO",0,IF(Hijuelas!$G$6="si",IF(D28=1,E28,E28*0.8),E28)),IF(F28="NO",0,IF(Hijuelas!$G$6="si",IF(D28=1,ROUNDUP(E28,0),ROUNDUP(E28*0.8,0)),ROUNDUP(E28,0))))</f>
        <v>20</v>
      </c>
      <c r="I28" s="180">
        <v>2.0833333333333332E-2</v>
      </c>
      <c r="J28" s="123">
        <f t="shared" si="1"/>
        <v>0.2153501270977724</v>
      </c>
      <c r="K28" s="95">
        <f t="shared" si="3"/>
        <v>42975.413899660969</v>
      </c>
      <c r="L28" s="95">
        <f t="shared" si="4"/>
        <v>42975.6500831214</v>
      </c>
      <c r="M28" s="5"/>
      <c r="N28" s="5"/>
      <c r="O28" s="47" t="str">
        <f t="shared" si="2"/>
        <v>124536</v>
      </c>
      <c r="P28" s="112">
        <f>VLOOKUP(O28,deuda!A$1:H$551,4,0)</f>
        <v>1</v>
      </c>
      <c r="Q28" s="112">
        <f>VLOOKUP(O28,deuda!A$1:H$551,5,0)</f>
        <v>0</v>
      </c>
      <c r="R28" s="112" t="str">
        <f>IF(VLOOKUP(O28,deuda!A$1:H$551,6,0)=0,"",VLOOKUP(O28,deuda!A$1:H$551,6,0))</f>
        <v/>
      </c>
      <c r="S28" s="113" t="str">
        <f>IF((VLOOKUP(O28,deuda!A$1:H$551,7,0))=0,"",VLOOKUP(O28,deuda!A$1:H$551,7,0))</f>
        <v/>
      </c>
      <c r="T28" s="114" t="str">
        <f>IF((VLOOKUP(O28,deuda!A$1:H$551,8,0))=0,"",VLOOKUP(O28,deuda!A$1:H$551,8,0))</f>
        <v/>
      </c>
    </row>
    <row r="29" spans="1:20" ht="24.95" customHeight="1">
      <c r="A29" s="31">
        <v>12</v>
      </c>
      <c r="B29" s="47">
        <v>1245</v>
      </c>
      <c r="C29" s="250">
        <v>3</v>
      </c>
      <c r="D29" s="250">
        <v>2</v>
      </c>
      <c r="E29" s="9">
        <v>25.003299999999999</v>
      </c>
      <c r="F29" s="85" t="str">
        <f t="shared" si="0"/>
        <v>SI</v>
      </c>
      <c r="G29" s="335" t="s">
        <v>365</v>
      </c>
      <c r="H29" s="125">
        <f>IF(Hijuelas!$G$5="fracción",IF(F29="NO",0,IF(Hijuelas!$G$6="si",IF(D29=1,E29,E29*0.8),E29)),IF(F29="NO",0,IF(Hijuelas!$G$6="si",IF(D29=1,ROUNDUP(E29,0),ROUNDUP(E29*0.8,0)),ROUNDUP(E29,0))))</f>
        <v>20.00264</v>
      </c>
      <c r="I29" s="182">
        <v>2.0833333333333332E-2</v>
      </c>
      <c r="J29" s="123">
        <f t="shared" si="1"/>
        <v>0.2153785533145493</v>
      </c>
      <c r="K29" s="95">
        <f t="shared" si="3"/>
        <v>42975.6500831214</v>
      </c>
      <c r="L29" s="95">
        <f t="shared" si="4"/>
        <v>42975.886295008051</v>
      </c>
      <c r="M29" s="5"/>
      <c r="N29" s="5"/>
      <c r="O29" s="47" t="str">
        <f t="shared" si="2"/>
        <v>12453</v>
      </c>
      <c r="P29" s="112">
        <f>VLOOKUP(O29,deuda!A$1:H$551,4,0)</f>
        <v>1</v>
      </c>
      <c r="Q29" s="112">
        <f>VLOOKUP(O29,deuda!A$1:H$551,5,0)</f>
        <v>0</v>
      </c>
      <c r="R29" s="112" t="str">
        <f>IF(VLOOKUP(O29,deuda!A$1:H$551,6,0)=0,"",VLOOKUP(O29,deuda!A$1:H$551,6,0))</f>
        <v/>
      </c>
      <c r="S29" s="113" t="str">
        <f>IF((VLOOKUP(O29,deuda!A$1:H$551,7,0))=0,"",VLOOKUP(O29,deuda!A$1:H$551,7,0))</f>
        <v/>
      </c>
      <c r="T29" s="114" t="str">
        <f>IF((VLOOKUP(O29,deuda!A$1:H$551,8,0))=0,"",VLOOKUP(O29,deuda!A$1:H$551,8,0))</f>
        <v/>
      </c>
    </row>
    <row r="30" spans="1:20" ht="24.95" customHeight="1">
      <c r="A30" s="31">
        <v>13</v>
      </c>
      <c r="B30" s="5">
        <v>1245</v>
      </c>
      <c r="C30" s="250">
        <v>42</v>
      </c>
      <c r="D30" s="250">
        <v>2</v>
      </c>
      <c r="E30" s="9">
        <v>19.285799999999998</v>
      </c>
      <c r="F30" s="85" t="str">
        <f t="shared" si="0"/>
        <v>SI</v>
      </c>
      <c r="G30" s="335" t="s">
        <v>366</v>
      </c>
      <c r="H30" s="125">
        <f>IF(Hijuelas!$G$5="fracción",IF(F30="NO",0,IF(Hijuelas!$G$6="si",IF(D30=1,E30,E30*0.8),E30)),IF(F30="NO",0,IF(Hijuelas!$G$6="si",IF(D30=1,ROUNDUP(E30,0),ROUNDUP(E30*0.8,0)),ROUNDUP(E30,0))))</f>
        <v>15.42864</v>
      </c>
      <c r="I30" s="180">
        <v>6.25E-2</v>
      </c>
      <c r="J30" s="123">
        <f t="shared" si="1"/>
        <v>0.16612797924728875</v>
      </c>
      <c r="K30" s="95">
        <f t="shared" si="3"/>
        <v>42975.886295008051</v>
      </c>
      <c r="L30" s="95">
        <f t="shared" si="4"/>
        <v>42976.114922987297</v>
      </c>
      <c r="M30" s="5"/>
      <c r="N30" s="5"/>
      <c r="O30" s="47" t="str">
        <f t="shared" si="2"/>
        <v>124542</v>
      </c>
      <c r="P30" s="112">
        <f>VLOOKUP(O30,deuda!A$1:H$551,4,0)</f>
        <v>1</v>
      </c>
      <c r="Q30" s="112">
        <f>VLOOKUP(O30,deuda!A$1:H$551,5,0)</f>
        <v>0</v>
      </c>
      <c r="R30" s="112" t="str">
        <f>IF(VLOOKUP(O30,deuda!A$1:H$551,6,0)=0,"",VLOOKUP(O30,deuda!A$1:H$551,6,0))</f>
        <v/>
      </c>
      <c r="S30" s="113" t="str">
        <f>IF((VLOOKUP(O30,deuda!A$1:H$551,7,0))=0,"",VLOOKUP(O30,deuda!A$1:H$551,7,0))</f>
        <v/>
      </c>
      <c r="T30" s="114" t="str">
        <f>IF((VLOOKUP(O30,deuda!A$1:H$551,8,0))=0,"",VLOOKUP(O30,deuda!A$1:H$551,8,0))</f>
        <v/>
      </c>
    </row>
    <row r="31" spans="1:20" ht="25.5">
      <c r="A31" s="31">
        <v>14</v>
      </c>
      <c r="B31" s="5">
        <v>1245</v>
      </c>
      <c r="C31" s="250">
        <v>41</v>
      </c>
      <c r="D31" s="250">
        <v>2</v>
      </c>
      <c r="E31" s="9">
        <v>50</v>
      </c>
      <c r="F31" s="85" t="str">
        <f t="shared" si="0"/>
        <v>SI</v>
      </c>
      <c r="G31" s="335" t="s">
        <v>367</v>
      </c>
      <c r="H31" s="125">
        <f>IF(Hijuelas!$G$5="fracción",IF(F31="NO",0,IF(Hijuelas!$G$6="si",IF(D31=1,E31,E31*0.8),E31)),IF(F31="NO",0,IF(Hijuelas!$G$6="si",IF(D31=1,ROUNDUP(E31,0),ROUNDUP(E31*0.8,0)),ROUNDUP(E31,0))))</f>
        <v>40</v>
      </c>
      <c r="I31" s="180">
        <v>0</v>
      </c>
      <c r="J31" s="123">
        <f t="shared" si="1"/>
        <v>0.43070025419554481</v>
      </c>
      <c r="K31" s="95">
        <f t="shared" si="3"/>
        <v>42976.114922987297</v>
      </c>
      <c r="L31" s="95">
        <f t="shared" si="4"/>
        <v>42976.545623241494</v>
      </c>
      <c r="M31" s="5"/>
      <c r="N31" s="5"/>
      <c r="O31" s="47" t="str">
        <f t="shared" si="2"/>
        <v>124541</v>
      </c>
      <c r="P31" s="112">
        <f>VLOOKUP(O31,deuda!A$1:H$551,4,0)</f>
        <v>1</v>
      </c>
      <c r="Q31" s="112">
        <f>VLOOKUP(O31,deuda!A$1:H$551,5,0)</f>
        <v>0</v>
      </c>
      <c r="R31" s="112" t="str">
        <f>IF(VLOOKUP(O31,deuda!A$1:H$551,6,0)=0,"",VLOOKUP(O31,deuda!A$1:H$551,6,0))</f>
        <v/>
      </c>
      <c r="S31" s="113" t="str">
        <f>IF((VLOOKUP(O31,deuda!A$1:H$551,7,0))=0,"",VLOOKUP(O31,deuda!A$1:H$551,7,0))</f>
        <v/>
      </c>
      <c r="T31" s="114" t="str">
        <f>IF((VLOOKUP(O31,deuda!A$1:H$551,8,0))=0,"",VLOOKUP(O31,deuda!A$1:H$551,8,0))</f>
        <v/>
      </c>
    </row>
    <row r="32" spans="1:20" ht="25.5">
      <c r="A32" s="31">
        <v>14</v>
      </c>
      <c r="B32" s="47">
        <v>1245</v>
      </c>
      <c r="C32" s="250">
        <v>40</v>
      </c>
      <c r="D32" s="250">
        <v>2</v>
      </c>
      <c r="E32" s="9">
        <v>32.249899999999997</v>
      </c>
      <c r="F32" s="85" t="str">
        <f t="shared" si="0"/>
        <v>SI</v>
      </c>
      <c r="G32" s="335" t="s">
        <v>367</v>
      </c>
      <c r="H32" s="125">
        <f>IF(Hijuelas!$G$5="fracción",IF(F32="NO",0,IF(Hijuelas!$G$6="si",IF(D32=1,E32,E32*0.8),E32)),IF(F32="NO",0,IF(Hijuelas!$G$6="si",IF(D32=1,ROUNDUP(E32,0),ROUNDUP(E32*0.8,0)),ROUNDUP(E32,0))))</f>
        <v>25.79992</v>
      </c>
      <c r="I32" s="182">
        <v>0</v>
      </c>
      <c r="J32" s="123">
        <f t="shared" si="1"/>
        <v>0.27780080255561801</v>
      </c>
      <c r="K32" s="95">
        <f t="shared" si="3"/>
        <v>42976.545623241494</v>
      </c>
      <c r="L32" s="95">
        <f t="shared" si="4"/>
        <v>42976.823424044051</v>
      </c>
      <c r="M32" s="5"/>
      <c r="N32" s="5"/>
      <c r="O32" s="47" t="str">
        <f t="shared" si="2"/>
        <v>124540</v>
      </c>
      <c r="P32" s="112">
        <f>VLOOKUP(O32,deuda!A$1:H$551,4,0)</f>
        <v>1</v>
      </c>
      <c r="Q32" s="112">
        <f>VLOOKUP(O32,deuda!A$1:H$551,5,0)</f>
        <v>0</v>
      </c>
      <c r="R32" s="112" t="str">
        <f>IF(VLOOKUP(O32,deuda!A$1:H$551,6,0)=0,"",VLOOKUP(O32,deuda!A$1:H$551,6,0))</f>
        <v/>
      </c>
      <c r="S32" s="113" t="str">
        <f>IF((VLOOKUP(O32,deuda!A$1:H$551,7,0))=0,"",VLOOKUP(O32,deuda!A$1:H$551,7,0))</f>
        <v/>
      </c>
      <c r="T32" s="114" t="str">
        <f>IF((VLOOKUP(O32,deuda!A$1:H$551,8,0))=0,"",VLOOKUP(O32,deuda!A$1:H$551,8,0))</f>
        <v/>
      </c>
    </row>
    <row r="33" spans="1:20" ht="24.95" customHeight="1">
      <c r="A33" s="31">
        <v>15</v>
      </c>
      <c r="B33" s="47">
        <v>1245</v>
      </c>
      <c r="C33" s="179">
        <v>73</v>
      </c>
      <c r="D33" s="250">
        <v>2</v>
      </c>
      <c r="E33" s="9">
        <v>6.8613999999999997</v>
      </c>
      <c r="F33" s="85" t="str">
        <f t="shared" si="0"/>
        <v>SI</v>
      </c>
      <c r="G33" s="335" t="s">
        <v>368</v>
      </c>
      <c r="H33" s="125">
        <f>IF(Hijuelas!$G$5="fracción",IF(F33="NO",0,IF(Hijuelas!$G$6="si",IF(D33=1,E33,E33*0.8),E33)),IF(F33="NO",0,IF(Hijuelas!$G$6="si",IF(D33=1,ROUNDUP(E33,0),ROUNDUP(E33*0.8,0)),ROUNDUP(E33,0))))</f>
        <v>5.4891199999999998</v>
      </c>
      <c r="I33" s="182">
        <v>8.3333333333333329E-2</v>
      </c>
      <c r="J33" s="123">
        <f t="shared" si="1"/>
        <v>5.9104134482746221E-2</v>
      </c>
      <c r="K33" s="95">
        <f t="shared" si="3"/>
        <v>42976.823424044051</v>
      </c>
      <c r="L33" s="95">
        <f t="shared" si="4"/>
        <v>42976.965861511868</v>
      </c>
      <c r="M33" s="5"/>
      <c r="N33" s="5"/>
      <c r="O33" s="47" t="str">
        <f t="shared" si="2"/>
        <v>124573</v>
      </c>
      <c r="P33" s="112">
        <f>VLOOKUP(O33,deuda!A$1:H$551,4,0)</f>
        <v>1</v>
      </c>
      <c r="Q33" s="112">
        <f>VLOOKUP(O33,deuda!A$1:H$551,5,0)</f>
        <v>2</v>
      </c>
      <c r="R33" s="112" t="str">
        <f>IF(VLOOKUP(O33,deuda!A$1:H$551,6,0)=0,"",VLOOKUP(O33,deuda!A$1:H$551,6,0))</f>
        <v/>
      </c>
      <c r="S33" s="113" t="str">
        <f>IF((VLOOKUP(O33,deuda!A$1:H$551,7,0))=0,"",VLOOKUP(O33,deuda!A$1:H$551,7,0))</f>
        <v/>
      </c>
      <c r="T33" s="114" t="str">
        <f>IF((VLOOKUP(O33,deuda!A$1:H$551,8,0))=0,"",VLOOKUP(O33,deuda!A$1:H$551,8,0))</f>
        <v/>
      </c>
    </row>
    <row r="34" spans="1:20" ht="25.5">
      <c r="A34" s="31">
        <v>16</v>
      </c>
      <c r="B34" s="47">
        <v>1245</v>
      </c>
      <c r="C34" s="250">
        <v>31</v>
      </c>
      <c r="D34" s="250">
        <v>2</v>
      </c>
      <c r="E34" s="9">
        <v>2.5895999999999999</v>
      </c>
      <c r="F34" s="85" t="str">
        <f t="shared" si="0"/>
        <v>SI</v>
      </c>
      <c r="G34" s="335" t="s">
        <v>369</v>
      </c>
      <c r="H34" s="125">
        <f>IF(Hijuelas!$G$5="fracción",IF(F34="NO",0,IF(Hijuelas!$G$6="si",IF(D34=1,E34,E34*0.8),E34)),IF(F34="NO",0,IF(Hijuelas!$G$6="si",IF(D34=1,ROUNDUP(E34,0),ROUNDUP(E34*0.8,0)),ROUNDUP(E34,0))))</f>
        <v>2.0716800000000002</v>
      </c>
      <c r="I34" s="182">
        <v>2.0833333333333332E-2</v>
      </c>
      <c r="J34" s="123">
        <f t="shared" si="1"/>
        <v>2.2306827565295659E-2</v>
      </c>
      <c r="K34" s="95">
        <f t="shared" si="3"/>
        <v>42976.965861511868</v>
      </c>
      <c r="L34" s="95">
        <f t="shared" si="4"/>
        <v>42977.00900167277</v>
      </c>
      <c r="M34" s="5"/>
      <c r="N34" s="5"/>
      <c r="O34" s="47" t="str">
        <f t="shared" si="2"/>
        <v>124531</v>
      </c>
      <c r="P34" s="112">
        <f>VLOOKUP(O34,deuda!A$1:H$551,4,0)</f>
        <v>1</v>
      </c>
      <c r="Q34" s="112">
        <f>VLOOKUP(O34,deuda!A$1:H$551,5,0)</f>
        <v>0</v>
      </c>
      <c r="R34" s="112" t="str">
        <f>IF(VLOOKUP(O34,deuda!A$1:H$551,6,0)=0,"",VLOOKUP(O34,deuda!A$1:H$551,6,0))</f>
        <v/>
      </c>
      <c r="S34" s="113" t="str">
        <f>IF((VLOOKUP(O34,deuda!A$1:H$551,7,0))=0,"",VLOOKUP(O34,deuda!A$1:H$551,7,0))</f>
        <v/>
      </c>
      <c r="T34" s="114" t="str">
        <f>IF((VLOOKUP(O34,deuda!A$1:H$551,8,0))=0,"",VLOOKUP(O34,deuda!A$1:H$551,8,0))</f>
        <v/>
      </c>
    </row>
    <row r="35" spans="1:20" ht="25.5">
      <c r="A35" s="31">
        <v>16</v>
      </c>
      <c r="B35" s="5">
        <v>1245</v>
      </c>
      <c r="C35" s="250">
        <v>48</v>
      </c>
      <c r="D35" s="250">
        <v>2</v>
      </c>
      <c r="E35" s="9">
        <v>2.0124</v>
      </c>
      <c r="F35" s="85" t="str">
        <f t="shared" si="0"/>
        <v>SI</v>
      </c>
      <c r="G35" s="335" t="s">
        <v>370</v>
      </c>
      <c r="H35" s="125">
        <f>IF(Hijuelas!$G$5="fracción",IF(F35="NO",0,IF(Hijuelas!$G$6="si",IF(D35=1,E35,E35*0.8),E35)),IF(F35="NO",0,IF(Hijuelas!$G$6="si",IF(D35=1,ROUNDUP(E35,0),ROUNDUP(E35*0.8,0)),ROUNDUP(E35,0))))</f>
        <v>1.60992</v>
      </c>
      <c r="I35" s="180">
        <v>0</v>
      </c>
      <c r="J35" s="123">
        <f t="shared" si="1"/>
        <v>1.7334823830862288E-2</v>
      </c>
      <c r="K35" s="95">
        <f t="shared" si="3"/>
        <v>42977.00900167277</v>
      </c>
      <c r="L35" s="95">
        <f t="shared" si="4"/>
        <v>42977.026336496601</v>
      </c>
      <c r="M35" s="5"/>
      <c r="N35" s="5"/>
      <c r="O35" s="47" t="str">
        <f t="shared" si="2"/>
        <v>124548</v>
      </c>
      <c r="P35" s="112">
        <f>VLOOKUP(O35,deuda!A$1:H$551,4,0)</f>
        <v>1</v>
      </c>
      <c r="Q35" s="112">
        <f>VLOOKUP(O35,deuda!A$1:H$551,5,0)</f>
        <v>0</v>
      </c>
      <c r="R35" s="112" t="str">
        <f>IF(VLOOKUP(O35,deuda!A$1:H$551,6,0)=0,"",VLOOKUP(O35,deuda!A$1:H$551,6,0))</f>
        <v/>
      </c>
      <c r="S35" s="113" t="str">
        <f>IF((VLOOKUP(O35,deuda!A$1:H$551,7,0))=0,"",VLOOKUP(O35,deuda!A$1:H$551,7,0))</f>
        <v/>
      </c>
      <c r="T35" s="114" t="str">
        <f>IF((VLOOKUP(O35,deuda!A$1:H$551,8,0))=0,"",VLOOKUP(O35,deuda!A$1:H$551,8,0))</f>
        <v/>
      </c>
    </row>
    <row r="36" spans="1:20" ht="25.5">
      <c r="A36" s="31">
        <v>17</v>
      </c>
      <c r="B36" s="47">
        <v>1245</v>
      </c>
      <c r="C36" s="250">
        <v>33</v>
      </c>
      <c r="D36" s="250">
        <v>2</v>
      </c>
      <c r="E36" s="9">
        <v>2.2907000000000002</v>
      </c>
      <c r="F36" s="85" t="str">
        <f t="shared" si="0"/>
        <v>SI</v>
      </c>
      <c r="G36" s="335" t="s">
        <v>371</v>
      </c>
      <c r="H36" s="125">
        <f>IF(Hijuelas!$G$5="fracción",IF(F36="NO",0,IF(Hijuelas!$G$6="si",IF(D36=1,E36,E36*0.8),E36)),IF(F36="NO",0,IF(Hijuelas!$G$6="si",IF(D36=1,ROUNDUP(E36,0),ROUNDUP(E36*0.8,0)),ROUNDUP(E36,0))))</f>
        <v>1.8325600000000002</v>
      </c>
      <c r="I36" s="182">
        <v>2.0833333333333332E-2</v>
      </c>
      <c r="J36" s="123">
        <f t="shared" si="1"/>
        <v>1.9732101445714693E-2</v>
      </c>
      <c r="K36" s="95">
        <f t="shared" si="3"/>
        <v>42977.026336496601</v>
      </c>
      <c r="L36" s="95">
        <f t="shared" si="4"/>
        <v>42977.066901931386</v>
      </c>
      <c r="M36" s="5"/>
      <c r="N36" s="5"/>
      <c r="O36" s="47" t="str">
        <f t="shared" si="2"/>
        <v>124533</v>
      </c>
      <c r="P36" s="112">
        <f>VLOOKUP(O36,deuda!A$1:H$551,4,0)</f>
        <v>1</v>
      </c>
      <c r="Q36" s="112">
        <f>VLOOKUP(O36,deuda!A$1:H$551,5,0)</f>
        <v>2</v>
      </c>
      <c r="R36" s="112" t="str">
        <f>IF(VLOOKUP(O36,deuda!A$1:H$551,6,0)=0,"",VLOOKUP(O36,deuda!A$1:H$551,6,0))</f>
        <v/>
      </c>
      <c r="S36" s="113" t="str">
        <f>IF((VLOOKUP(O36,deuda!A$1:H$551,7,0))=0,"",VLOOKUP(O36,deuda!A$1:H$551,7,0))</f>
        <v/>
      </c>
      <c r="T36" s="114" t="str">
        <f>IF((VLOOKUP(O36,deuda!A$1:H$551,8,0))=0,"",VLOOKUP(O36,deuda!A$1:H$551,8,0))</f>
        <v/>
      </c>
    </row>
    <row r="37" spans="1:20" ht="25.5">
      <c r="A37" s="31">
        <v>17</v>
      </c>
      <c r="B37" s="5">
        <v>1245</v>
      </c>
      <c r="C37" s="250">
        <v>32</v>
      </c>
      <c r="D37" s="250">
        <v>2</v>
      </c>
      <c r="E37" s="9">
        <v>2.4075000000000002</v>
      </c>
      <c r="F37" s="85" t="str">
        <f t="shared" si="0"/>
        <v>SI</v>
      </c>
      <c r="G37" s="335" t="s">
        <v>371</v>
      </c>
      <c r="H37" s="125">
        <f>IF(Hijuelas!$G$5="fracción",IF(F37="NO",0,IF(Hijuelas!$G$6="si",IF(D37=1,E37,E37*0.8),E37)),IF(F37="NO",0,IF(Hijuelas!$G$6="si",IF(D37=1,ROUNDUP(E37,0),ROUNDUP(E37*0.8,0)),ROUNDUP(E37,0))))</f>
        <v>1.9260000000000002</v>
      </c>
      <c r="I37" s="180">
        <v>0</v>
      </c>
      <c r="J37" s="123">
        <f t="shared" si="1"/>
        <v>2.0738217239515484E-2</v>
      </c>
      <c r="K37" s="95">
        <f t="shared" si="3"/>
        <v>42977.066901931386</v>
      </c>
      <c r="L37" s="95">
        <f t="shared" si="4"/>
        <v>42977.087640148624</v>
      </c>
      <c r="M37" s="5"/>
      <c r="N37" s="5"/>
      <c r="O37" s="47" t="str">
        <f t="shared" si="2"/>
        <v>124532</v>
      </c>
      <c r="P37" s="112">
        <f>VLOOKUP(O37,deuda!A$1:H$551,4,0)</f>
        <v>1</v>
      </c>
      <c r="Q37" s="112">
        <f>VLOOKUP(O37,deuda!A$1:H$551,5,0)</f>
        <v>2</v>
      </c>
      <c r="R37" s="112" t="str">
        <f>IF(VLOOKUP(O37,deuda!A$1:H$551,6,0)=0,"",VLOOKUP(O37,deuda!A$1:H$551,6,0))</f>
        <v/>
      </c>
      <c r="S37" s="113" t="str">
        <f>IF((VLOOKUP(O37,deuda!A$1:H$551,7,0))=0,"",VLOOKUP(O37,deuda!A$1:H$551,7,0))</f>
        <v/>
      </c>
      <c r="T37" s="114" t="str">
        <f>IF((VLOOKUP(O37,deuda!A$1:H$551,8,0))=0,"",VLOOKUP(O37,deuda!A$1:H$551,8,0))</f>
        <v/>
      </c>
    </row>
    <row r="38" spans="1:20" ht="25.5">
      <c r="A38" s="31">
        <v>18</v>
      </c>
      <c r="B38" s="47">
        <v>1245</v>
      </c>
      <c r="C38" s="250">
        <v>35</v>
      </c>
      <c r="D38" s="250">
        <v>2</v>
      </c>
      <c r="E38" s="9">
        <v>3.1949999999999998</v>
      </c>
      <c r="F38" s="85" t="str">
        <f t="shared" si="0"/>
        <v>SI</v>
      </c>
      <c r="G38" s="335" t="s">
        <v>372</v>
      </c>
      <c r="H38" s="125">
        <f>IF(Hijuelas!$G$5="fracción",IF(F38="NO",0,IF(Hijuelas!$G$6="si",IF(D38=1,E38,E38*0.8),E38)),IF(F38="NO",0,IF(Hijuelas!$G$6="si",IF(D38=1,ROUNDUP(E38,0),ROUNDUP(E38*0.8,0)),ROUNDUP(E38,0))))</f>
        <v>2.556</v>
      </c>
      <c r="I38" s="182">
        <v>4.1666666666666664E-2</v>
      </c>
      <c r="J38" s="123">
        <f t="shared" si="1"/>
        <v>2.7521746243095314E-2</v>
      </c>
      <c r="K38" s="95">
        <f t="shared" si="3"/>
        <v>42977.087640148624</v>
      </c>
      <c r="L38" s="95">
        <f t="shared" si="4"/>
        <v>42977.156828561529</v>
      </c>
      <c r="M38" s="5"/>
      <c r="N38" s="5"/>
      <c r="O38" s="47" t="str">
        <f t="shared" si="2"/>
        <v>124535</v>
      </c>
      <c r="P38" s="112">
        <f>VLOOKUP(O38,deuda!A$1:H$551,4,0)</f>
        <v>1</v>
      </c>
      <c r="Q38" s="112">
        <f>VLOOKUP(O38,deuda!A$1:H$551,5,0)</f>
        <v>0</v>
      </c>
      <c r="R38" s="112" t="str">
        <f>IF(VLOOKUP(O38,deuda!A$1:H$551,6,0)=0,"",VLOOKUP(O38,deuda!A$1:H$551,6,0))</f>
        <v/>
      </c>
      <c r="S38" s="113" t="str">
        <f>IF((VLOOKUP(O38,deuda!A$1:H$551,7,0))=0,"",VLOOKUP(O38,deuda!A$1:H$551,7,0))</f>
        <v/>
      </c>
      <c r="T38" s="114" t="str">
        <f>IF((VLOOKUP(O38,deuda!A$1:H$551,8,0))=0,"",VLOOKUP(O38,deuda!A$1:H$551,8,0))</f>
        <v/>
      </c>
    </row>
    <row r="39" spans="1:20" ht="25.5">
      <c r="A39" s="31">
        <v>18</v>
      </c>
      <c r="B39" s="5">
        <v>1245</v>
      </c>
      <c r="C39" s="250">
        <v>34</v>
      </c>
      <c r="D39" s="250">
        <v>2</v>
      </c>
      <c r="E39" s="9">
        <v>2.6747999999999998</v>
      </c>
      <c r="F39" s="85" t="str">
        <f t="shared" si="0"/>
        <v>SI</v>
      </c>
      <c r="G39" s="335" t="s">
        <v>372</v>
      </c>
      <c r="H39" s="125">
        <f>IF(Hijuelas!$G$5="fracción",IF(F39="NO",0,IF(Hijuelas!$G$6="si",IF(D39=1,E39,E39*0.8),E39)),IF(F39="NO",0,IF(Hijuelas!$G$6="si",IF(D39=1,ROUNDUP(E39,0),ROUNDUP(E39*0.8,0)),ROUNDUP(E39,0))))</f>
        <v>2.13984</v>
      </c>
      <c r="I39" s="180">
        <v>0</v>
      </c>
      <c r="J39" s="123">
        <f t="shared" si="1"/>
        <v>2.3040740798444863E-2</v>
      </c>
      <c r="K39" s="95">
        <f t="shared" si="3"/>
        <v>42977.156828561529</v>
      </c>
      <c r="L39" s="95">
        <f t="shared" si="4"/>
        <v>42977.17986930233</v>
      </c>
      <c r="M39" s="5"/>
      <c r="N39" s="5"/>
      <c r="O39" s="47" t="str">
        <f t="shared" si="2"/>
        <v>124534</v>
      </c>
      <c r="P39" s="112">
        <f>VLOOKUP(O39,deuda!A$1:H$551,4,0)</f>
        <v>1</v>
      </c>
      <c r="Q39" s="112">
        <f>VLOOKUP(O39,deuda!A$1:H$551,5,0)</f>
        <v>1</v>
      </c>
      <c r="R39" s="112" t="str">
        <f>IF(VLOOKUP(O39,deuda!A$1:H$551,6,0)=0,"",VLOOKUP(O39,deuda!A$1:H$551,6,0))</f>
        <v/>
      </c>
      <c r="S39" s="113" t="str">
        <f>IF((VLOOKUP(O39,deuda!A$1:H$551,7,0))=0,"",VLOOKUP(O39,deuda!A$1:H$551,7,0))</f>
        <v/>
      </c>
      <c r="T39" s="114" t="str">
        <f>IF((VLOOKUP(O39,deuda!A$1:H$551,8,0))=0,"",VLOOKUP(O39,deuda!A$1:H$551,8,0))</f>
        <v/>
      </c>
    </row>
    <row r="40" spans="1:20" ht="24.95" customHeight="1">
      <c r="A40" s="31">
        <v>21</v>
      </c>
      <c r="B40" s="47">
        <v>1245</v>
      </c>
      <c r="C40" s="250">
        <v>16</v>
      </c>
      <c r="D40" s="250">
        <v>2</v>
      </c>
      <c r="E40" s="9">
        <v>5.5</v>
      </c>
      <c r="F40" s="85" t="str">
        <f t="shared" si="0"/>
        <v>SI</v>
      </c>
      <c r="G40" s="335" t="s">
        <v>373</v>
      </c>
      <c r="H40" s="125">
        <f>IF(Hijuelas!$G$5="fracción",IF(F40="NO",0,IF(Hijuelas!$G$6="si",IF(D40=1,E40,E40*0.8),E40)),IF(F40="NO",0,IF(Hijuelas!$G$6="si",IF(D40=1,ROUNDUP(E40,0),ROUNDUP(E40*0.8,0)),ROUNDUP(E40,0))))</f>
        <v>4.4000000000000004</v>
      </c>
      <c r="I40" s="436">
        <v>0</v>
      </c>
      <c r="J40" s="123">
        <f t="shared" si="1"/>
        <v>4.7377027961509929E-2</v>
      </c>
      <c r="K40" s="95">
        <f t="shared" si="3"/>
        <v>42977.17986930233</v>
      </c>
      <c r="L40" s="95">
        <f t="shared" si="4"/>
        <v>42977.227246330294</v>
      </c>
      <c r="M40" s="5"/>
      <c r="N40" s="5"/>
      <c r="O40" s="47" t="str">
        <f t="shared" si="2"/>
        <v>124516</v>
      </c>
      <c r="P40" s="112">
        <f>VLOOKUP(O40,deuda!A$1:H$551,4,0)</f>
        <v>1</v>
      </c>
      <c r="Q40" s="112">
        <f>VLOOKUP(O40,deuda!A$1:H$551,5,0)</f>
        <v>0</v>
      </c>
      <c r="R40" s="112" t="str">
        <f>IF(VLOOKUP(O40,deuda!A$1:H$551,6,0)=0,"",VLOOKUP(O40,deuda!A$1:H$551,6,0))</f>
        <v/>
      </c>
      <c r="S40" s="113" t="str">
        <f>IF((VLOOKUP(O40,deuda!A$1:H$551,7,0))=0,"",VLOOKUP(O40,deuda!A$1:H$551,7,0))</f>
        <v/>
      </c>
      <c r="T40" s="114" t="str">
        <f>IF((VLOOKUP(O40,deuda!A$1:H$551,8,0))=0,"",VLOOKUP(O40,deuda!A$1:H$551,8,0))</f>
        <v/>
      </c>
    </row>
    <row r="41" spans="1:20" ht="24.95" customHeight="1">
      <c r="A41" s="31">
        <v>20</v>
      </c>
      <c r="B41" s="5">
        <v>1245</v>
      </c>
      <c r="C41" s="179">
        <v>22</v>
      </c>
      <c r="D41" s="250">
        <v>2</v>
      </c>
      <c r="E41" s="9">
        <v>1.6983999999999999</v>
      </c>
      <c r="F41" s="85" t="str">
        <f t="shared" si="0"/>
        <v>SI</v>
      </c>
      <c r="G41" s="335" t="s">
        <v>374</v>
      </c>
      <c r="H41" s="125">
        <f>IF(Hijuelas!$G$5="fracción",IF(F41="NO",0,IF(Hijuelas!$G$6="si",IF(D41=1,E41,E41*0.8),E41)),IF(F41="NO",0,IF(Hijuelas!$G$6="si",IF(D41=1,ROUNDUP(E41,0),ROUNDUP(E41*0.8,0)),ROUNDUP(E41,0))))</f>
        <v>1.3587199999999999</v>
      </c>
      <c r="I41" s="180">
        <v>7.2916666666666671E-2</v>
      </c>
      <c r="J41" s="123">
        <f t="shared" si="1"/>
        <v>1.4630026234514265E-2</v>
      </c>
      <c r="K41" s="95">
        <f t="shared" si="3"/>
        <v>42977.227246330294</v>
      </c>
      <c r="L41" s="95">
        <f t="shared" si="4"/>
        <v>42977.314793023193</v>
      </c>
      <c r="M41" s="5"/>
      <c r="N41" s="5"/>
      <c r="O41" s="47" t="str">
        <f t="shared" si="2"/>
        <v>124522</v>
      </c>
      <c r="P41" s="112">
        <f>VLOOKUP(O41,deuda!A$1:H$551,4,0)</f>
        <v>1</v>
      </c>
      <c r="Q41" s="112">
        <f>VLOOKUP(O41,deuda!A$1:H$551,5,0)</f>
        <v>0</v>
      </c>
      <c r="R41" s="112" t="str">
        <f>IF(VLOOKUP(O41,deuda!A$1:H$551,6,0)=0,"",VLOOKUP(O41,deuda!A$1:H$551,6,0))</f>
        <v/>
      </c>
      <c r="S41" s="113" t="str">
        <f>IF((VLOOKUP(O41,deuda!A$1:H$551,7,0))=0,"",VLOOKUP(O41,deuda!A$1:H$551,7,0))</f>
        <v/>
      </c>
      <c r="T41" s="114" t="str">
        <f>IF((VLOOKUP(O41,deuda!A$1:H$551,8,0))=0,"",VLOOKUP(O41,deuda!A$1:H$551,8,0))</f>
        <v/>
      </c>
    </row>
    <row r="42" spans="1:20" ht="24.95" customHeight="1">
      <c r="A42" s="31">
        <v>19</v>
      </c>
      <c r="B42" s="47">
        <v>1245</v>
      </c>
      <c r="C42" s="179">
        <v>72</v>
      </c>
      <c r="D42" s="250">
        <v>2</v>
      </c>
      <c r="E42" s="9">
        <v>3.0247999999999999</v>
      </c>
      <c r="F42" s="85" t="str">
        <f t="shared" si="0"/>
        <v>SI</v>
      </c>
      <c r="G42" s="335" t="s">
        <v>375</v>
      </c>
      <c r="H42" s="125">
        <f>IF(Hijuelas!$G$5="fracción",IF(F42="NO",0,IF(Hijuelas!$G$6="si",IF(D42=1,E42,E42*0.8),E42)),IF(F42="NO",0,IF(Hijuelas!$G$6="si",IF(D42=1,ROUNDUP(E42,0),ROUNDUP(E42*0.8,0)),ROUNDUP(E42,0))))</f>
        <v>2.4198400000000002</v>
      </c>
      <c r="I42" s="180">
        <v>8.3333333333333329E-2</v>
      </c>
      <c r="J42" s="123">
        <f t="shared" si="1"/>
        <v>2.6055642577813679E-2</v>
      </c>
      <c r="K42" s="95">
        <f t="shared" si="3"/>
        <v>42977.314793023193</v>
      </c>
      <c r="L42" s="95">
        <f t="shared" si="4"/>
        <v>42977.424181999108</v>
      </c>
      <c r="M42" s="5"/>
      <c r="N42" s="5"/>
      <c r="O42" s="47" t="str">
        <f t="shared" si="2"/>
        <v>124572</v>
      </c>
      <c r="P42" s="112">
        <f>VLOOKUP(O42,deuda!A$1:H$551,4,0)</f>
        <v>1</v>
      </c>
      <c r="Q42" s="112">
        <f>VLOOKUP(O42,deuda!A$1:H$551,5,0)</f>
        <v>0</v>
      </c>
      <c r="R42" s="112" t="str">
        <f>IF(VLOOKUP(O42,deuda!A$1:H$551,6,0)=0,"",VLOOKUP(O42,deuda!A$1:H$551,6,0))</f>
        <v/>
      </c>
      <c r="S42" s="113" t="str">
        <f>IF((VLOOKUP(O42,deuda!A$1:H$551,7,0))=0,"",VLOOKUP(O42,deuda!A$1:H$551,7,0))</f>
        <v/>
      </c>
      <c r="T42" s="114" t="str">
        <f>IF((VLOOKUP(O42,deuda!A$1:H$551,8,0))=0,"",VLOOKUP(O42,deuda!A$1:H$551,8,0))</f>
        <v/>
      </c>
    </row>
    <row r="43" spans="1:20" ht="25.5">
      <c r="A43" s="31">
        <v>22</v>
      </c>
      <c r="B43" s="47">
        <v>1245</v>
      </c>
      <c r="C43" s="250">
        <v>28</v>
      </c>
      <c r="D43" s="250">
        <v>2</v>
      </c>
      <c r="E43" s="9">
        <v>5.1738999999999997</v>
      </c>
      <c r="F43" s="85" t="str">
        <f t="shared" si="0"/>
        <v>SI</v>
      </c>
      <c r="G43" s="335" t="s">
        <v>376</v>
      </c>
      <c r="H43" s="125">
        <f>IF(Hijuelas!$G$5="fracción",IF(F43="NO",0,IF(Hijuelas!$G$6="si",IF(D43=1,E43,E43*0.8),E43)),IF(F43="NO",0,IF(Hijuelas!$G$6="si",IF(D43=1,ROUNDUP(E43,0),ROUNDUP(E43*0.8,0)),ROUNDUP(E43,0))))</f>
        <v>4.1391200000000001</v>
      </c>
      <c r="I43" s="182">
        <v>6.25E-2</v>
      </c>
      <c r="J43" s="123">
        <f t="shared" si="1"/>
        <v>4.4568000903646585E-2</v>
      </c>
      <c r="K43" s="95">
        <f t="shared" si="3"/>
        <v>42977.424181999108</v>
      </c>
      <c r="L43" s="95">
        <f t="shared" si="4"/>
        <v>42977.531250000015</v>
      </c>
      <c r="M43" s="5"/>
      <c r="N43" s="5"/>
      <c r="O43" s="47" t="str">
        <f t="shared" si="2"/>
        <v>124528</v>
      </c>
      <c r="P43" s="112">
        <f>VLOOKUP(O43,deuda!A$1:H$551,4,0)</f>
        <v>1</v>
      </c>
      <c r="Q43" s="112">
        <f>VLOOKUP(O43,deuda!A$1:H$551,5,0)</f>
        <v>2</v>
      </c>
      <c r="R43" s="112" t="str">
        <f>IF(VLOOKUP(O43,deuda!A$1:H$551,6,0)=0,"",VLOOKUP(O43,deuda!A$1:H$551,6,0))</f>
        <v/>
      </c>
      <c r="S43" s="113" t="str">
        <f>IF((VLOOKUP(O43,deuda!A$1:H$551,7,0))=0,"",VLOOKUP(O43,deuda!A$1:H$551,7,0))</f>
        <v/>
      </c>
      <c r="T43" s="114" t="str">
        <f>IF((VLOOKUP(O43,deuda!A$1:H$551,8,0))=0,"",VLOOKUP(O43,deuda!A$1:H$551,8,0))</f>
        <v/>
      </c>
    </row>
    <row r="44" spans="1:20" ht="24.95" customHeight="1">
      <c r="A44" s="31">
        <v>23</v>
      </c>
      <c r="B44" s="5">
        <v>1245</v>
      </c>
      <c r="C44" s="250">
        <v>21</v>
      </c>
      <c r="D44" s="179">
        <v>2</v>
      </c>
      <c r="E44" s="20">
        <v>1.2453000000000001</v>
      </c>
      <c r="F44" s="85" t="str">
        <f t="shared" si="0"/>
        <v>NO</v>
      </c>
      <c r="G44" s="392" t="s">
        <v>377</v>
      </c>
      <c r="H44" s="125">
        <f>IF(Hijuelas!$G$5="fracción",IF(F44="NO",0,IF(Hijuelas!$G$6="si",IF(D44=1,E44,E44*0.8),E44)),IF(F44="NO",0,IF(Hijuelas!$G$6="si",IF(D44=1,ROUNDUP(E44,0),ROUNDUP(E44*0.8,0)),ROUNDUP(E44,0))))</f>
        <v>0</v>
      </c>
      <c r="I44" s="180">
        <v>0</v>
      </c>
      <c r="J44" s="123">
        <f t="shared" si="1"/>
        <v>0</v>
      </c>
      <c r="K44" s="95">
        <f t="shared" si="3"/>
        <v>42977.531250000015</v>
      </c>
      <c r="L44" s="95">
        <f t="shared" si="4"/>
        <v>42977.531250000015</v>
      </c>
      <c r="M44" s="5"/>
      <c r="N44" s="5"/>
      <c r="O44" s="47" t="str">
        <f t="shared" si="2"/>
        <v>124521</v>
      </c>
      <c r="P44" s="112">
        <f>VLOOKUP(O44,deuda!A$1:H$551,4,0)</f>
        <v>0</v>
      </c>
      <c r="Q44" s="112">
        <f>VLOOKUP(O44,deuda!A$1:H$551,5,0)</f>
        <v>203</v>
      </c>
      <c r="R44" s="112" t="str">
        <f>IF(VLOOKUP(O44,deuda!A$1:H$551,6,0)=0,"",VLOOKUP(O44,deuda!A$1:H$551,6,0))</f>
        <v/>
      </c>
      <c r="S44" s="113" t="str">
        <f>IF((VLOOKUP(O44,deuda!A$1:H$551,7,0))=0,"",VLOOKUP(O44,deuda!A$1:H$551,7,0))</f>
        <v/>
      </c>
      <c r="T44" s="114" t="str">
        <f>IF((VLOOKUP(O44,deuda!A$1:H$551,8,0))=0,"",VLOOKUP(O44,deuda!A$1:H$551,8,0))</f>
        <v/>
      </c>
    </row>
    <row r="45" spans="1:20" ht="24.95" customHeight="1">
      <c r="A45" s="31">
        <v>23</v>
      </c>
      <c r="B45" s="47">
        <v>1245</v>
      </c>
      <c r="C45" s="179">
        <v>20</v>
      </c>
      <c r="D45" s="179">
        <v>2</v>
      </c>
      <c r="E45" s="20">
        <v>3.8149999999999999</v>
      </c>
      <c r="F45" s="85" t="str">
        <f t="shared" si="0"/>
        <v>NO</v>
      </c>
      <c r="G45" s="392" t="s">
        <v>377</v>
      </c>
      <c r="H45" s="125">
        <f>IF(Hijuelas!$G$5="fracción",IF(F45="NO",0,IF(Hijuelas!$G$6="si",IF(D45=1,E45,E45*0.8),E45)),IF(F45="NO",0,IF(Hijuelas!$G$6="si",IF(D45=1,ROUNDUP(E45,0),ROUNDUP(E45*0.8,0)),ROUNDUP(E45,0))))</f>
        <v>0</v>
      </c>
      <c r="I45" s="182">
        <v>0</v>
      </c>
      <c r="J45" s="123">
        <f t="shared" si="1"/>
        <v>0</v>
      </c>
      <c r="K45" s="95">
        <f t="shared" si="3"/>
        <v>42977.531250000015</v>
      </c>
      <c r="L45" s="95">
        <f t="shared" si="4"/>
        <v>42977.531250000015</v>
      </c>
      <c r="M45" s="5"/>
      <c r="N45" s="5"/>
      <c r="O45" s="47" t="str">
        <f t="shared" si="2"/>
        <v>124520</v>
      </c>
      <c r="P45" s="112">
        <f>VLOOKUP(O45,deuda!A$1:H$551,4,0)</f>
        <v>0</v>
      </c>
      <c r="Q45" s="112">
        <f>VLOOKUP(O45,deuda!A$1:H$551,5,0)</f>
        <v>204</v>
      </c>
      <c r="R45" s="112" t="str">
        <f>IF(VLOOKUP(O45,deuda!A$1:H$551,6,0)=0,"",VLOOKUP(O45,deuda!A$1:H$551,6,0))</f>
        <v/>
      </c>
      <c r="S45" s="113" t="str">
        <f>IF((VLOOKUP(O45,deuda!A$1:H$551,7,0))=0,"",VLOOKUP(O45,deuda!A$1:H$551,7,0))</f>
        <v/>
      </c>
      <c r="T45" s="114" t="str">
        <f>IF((VLOOKUP(O45,deuda!A$1:H$551,8,0))=0,"",VLOOKUP(O45,deuda!A$1:H$551,8,0))</f>
        <v/>
      </c>
    </row>
    <row r="46" spans="1:20" ht="24.95" customHeight="1">
      <c r="A46" s="31">
        <v>24</v>
      </c>
      <c r="B46" s="5">
        <v>1245</v>
      </c>
      <c r="C46" s="250">
        <v>29</v>
      </c>
      <c r="D46" s="250">
        <v>2</v>
      </c>
      <c r="E46" s="9">
        <v>0.32429999999999998</v>
      </c>
      <c r="F46" s="85" t="str">
        <f t="shared" si="0"/>
        <v>NO</v>
      </c>
      <c r="G46" s="335" t="s">
        <v>370</v>
      </c>
      <c r="H46" s="125">
        <f>IF(Hijuelas!$G$5="fracción",IF(F46="NO",0,IF(Hijuelas!$G$6="si",IF(D46=1,E46,E46*0.8),E46)),IF(F46="NO",0,IF(Hijuelas!$G$6="si",IF(D46=1,ROUNDUP(E46,0),ROUNDUP(E46*0.8,0)),ROUNDUP(E46,0))))</f>
        <v>0</v>
      </c>
      <c r="I46" s="180">
        <v>0</v>
      </c>
      <c r="J46" s="123">
        <f t="shared" si="1"/>
        <v>0</v>
      </c>
      <c r="K46" s="95">
        <f t="shared" si="3"/>
        <v>42977.531250000015</v>
      </c>
      <c r="L46" s="95">
        <f t="shared" si="4"/>
        <v>42977.531250000015</v>
      </c>
      <c r="M46" s="5"/>
      <c r="N46" s="5"/>
      <c r="O46" s="47" t="str">
        <f t="shared" si="2"/>
        <v>124529</v>
      </c>
      <c r="P46" s="112">
        <f>VLOOKUP(O46,deuda!A$1:H$551,4,0)</f>
        <v>0</v>
      </c>
      <c r="Q46" s="112">
        <f>VLOOKUP(O46,deuda!A$1:H$551,5,0)</f>
        <v>80</v>
      </c>
      <c r="R46" s="112" t="str">
        <f>IF(VLOOKUP(O46,deuda!A$1:H$551,6,0)=0,"",VLOOKUP(O46,deuda!A$1:H$551,6,0))</f>
        <v/>
      </c>
      <c r="S46" s="113" t="str">
        <f>IF((VLOOKUP(O46,deuda!A$1:H$551,7,0))=0,"",VLOOKUP(O46,deuda!A$1:H$551,7,0))</f>
        <v/>
      </c>
      <c r="T46" s="114" t="str">
        <f>IF((VLOOKUP(O46,deuda!A$1:H$551,8,0))=0,"",VLOOKUP(O46,deuda!A$1:H$551,8,0))</f>
        <v/>
      </c>
    </row>
    <row r="47" spans="1:20" ht="24.95" customHeight="1">
      <c r="A47" s="31">
        <v>24</v>
      </c>
      <c r="B47" s="47">
        <v>1245</v>
      </c>
      <c r="C47" s="250">
        <v>45</v>
      </c>
      <c r="D47" s="250">
        <v>2</v>
      </c>
      <c r="E47" s="9">
        <v>7.3400000000000007E-2</v>
      </c>
      <c r="F47" s="85" t="str">
        <f t="shared" si="0"/>
        <v>NO</v>
      </c>
      <c r="G47" s="335" t="s">
        <v>370</v>
      </c>
      <c r="H47" s="125">
        <f>IF(Hijuelas!$G$5="fracción",IF(F47="NO",0,IF(Hijuelas!$G$6="si",IF(D47=1,E47,E47*0.8),E47)),IF(F47="NO",0,IF(Hijuelas!$G$6="si",IF(D47=1,ROUNDUP(E47,0),ROUNDUP(E47*0.8,0)),ROUNDUP(E47,0))))</f>
        <v>0</v>
      </c>
      <c r="I47" s="182">
        <v>0</v>
      </c>
      <c r="J47" s="123">
        <f t="shared" si="1"/>
        <v>0</v>
      </c>
      <c r="K47" s="95">
        <f t="shared" si="3"/>
        <v>42977.531250000015</v>
      </c>
      <c r="L47" s="95">
        <f t="shared" si="4"/>
        <v>42977.531250000015</v>
      </c>
      <c r="M47" s="5"/>
      <c r="N47" s="5"/>
      <c r="O47" s="47" t="str">
        <f t="shared" si="2"/>
        <v>124545</v>
      </c>
      <c r="P47" s="112">
        <f>VLOOKUP(O47,deuda!A$1:H$551,4,0)</f>
        <v>0</v>
      </c>
      <c r="Q47" s="112">
        <f>VLOOKUP(O47,deuda!A$1:H$551,5,0)</f>
        <v>73</v>
      </c>
      <c r="R47" s="112" t="str">
        <f>IF(VLOOKUP(O47,deuda!A$1:H$551,6,0)=0,"",VLOOKUP(O47,deuda!A$1:H$551,6,0))</f>
        <v/>
      </c>
      <c r="S47" s="113" t="str">
        <f>IF((VLOOKUP(O47,deuda!A$1:H$551,7,0))=0,"",VLOOKUP(O47,deuda!A$1:H$551,7,0))</f>
        <v/>
      </c>
      <c r="T47" s="114" t="str">
        <f>IF((VLOOKUP(O47,deuda!A$1:H$551,8,0))=0,"",VLOOKUP(O47,deuda!A$1:H$551,8,0))</f>
        <v/>
      </c>
    </row>
    <row r="48" spans="1:20" ht="24.95" customHeight="1">
      <c r="A48" s="31">
        <v>25</v>
      </c>
      <c r="B48" s="5">
        <v>1245</v>
      </c>
      <c r="C48" s="250">
        <v>44</v>
      </c>
      <c r="D48" s="250">
        <v>2</v>
      </c>
      <c r="E48" s="9">
        <v>0.36759999999999998</v>
      </c>
      <c r="F48" s="85" t="str">
        <f t="shared" si="0"/>
        <v>NO</v>
      </c>
      <c r="G48" s="335" t="s">
        <v>378</v>
      </c>
      <c r="H48" s="125">
        <f>IF(Hijuelas!$G$5="fracción",IF(F48="NO",0,IF(Hijuelas!$G$6="si",IF(D48=1,E48,E48*0.8),E48)),IF(F48="NO",0,IF(Hijuelas!$G$6="si",IF(D48=1,ROUNDUP(E48,0),ROUNDUP(E48*0.8,0)),ROUNDUP(E48,0))))</f>
        <v>0</v>
      </c>
      <c r="I48" s="180">
        <v>0</v>
      </c>
      <c r="J48" s="123">
        <f t="shared" si="1"/>
        <v>0</v>
      </c>
      <c r="K48" s="95">
        <f t="shared" si="3"/>
        <v>42977.531250000015</v>
      </c>
      <c r="L48" s="95">
        <f t="shared" si="4"/>
        <v>42977.531250000015</v>
      </c>
      <c r="M48" s="5"/>
      <c r="N48" s="5"/>
      <c r="O48" s="47" t="str">
        <f t="shared" si="2"/>
        <v>124544</v>
      </c>
      <c r="P48" s="112">
        <f>VLOOKUP(O48,deuda!A$1:H$551,4,0)</f>
        <v>0</v>
      </c>
      <c r="Q48" s="112">
        <f>VLOOKUP(O48,deuda!A$1:H$551,5,0)</f>
        <v>80</v>
      </c>
      <c r="R48" s="112" t="str">
        <f>IF(VLOOKUP(O48,deuda!A$1:H$551,6,0)=0,"",VLOOKUP(O48,deuda!A$1:H$551,6,0))</f>
        <v/>
      </c>
      <c r="S48" s="113" t="str">
        <f>IF((VLOOKUP(O48,deuda!A$1:H$551,7,0))=0,"",VLOOKUP(O48,deuda!A$1:H$551,7,0))</f>
        <v/>
      </c>
      <c r="T48" s="114" t="str">
        <f>IF((VLOOKUP(O48,deuda!A$1:H$551,8,0))=0,"",VLOOKUP(O48,deuda!A$1:H$551,8,0))</f>
        <v/>
      </c>
    </row>
    <row r="49" spans="1:20" ht="24.95" customHeight="1" thickBot="1">
      <c r="A49" s="32">
        <v>25</v>
      </c>
      <c r="B49" s="277">
        <v>1245</v>
      </c>
      <c r="C49" s="256">
        <v>43</v>
      </c>
      <c r="D49" s="256">
        <v>2</v>
      </c>
      <c r="E49" s="35">
        <v>0.68459999999999999</v>
      </c>
      <c r="F49" s="85" t="str">
        <f t="shared" si="0"/>
        <v>NO</v>
      </c>
      <c r="G49" s="337" t="s">
        <v>378</v>
      </c>
      <c r="H49" s="125">
        <f>IF(Hijuelas!$G$5="fracción",IF(F49="NO",0,IF(Hijuelas!$G$6="si",IF(D49=1,E49,E49*0.8),E49)),IF(F49="NO",0,IF(Hijuelas!$G$6="si",IF(D49=1,ROUNDUP(E49,0),ROUNDUP(E49*0.8,0)),ROUNDUP(E49,0))))</f>
        <v>0</v>
      </c>
      <c r="I49" s="278">
        <v>0</v>
      </c>
      <c r="J49" s="123">
        <f t="shared" si="1"/>
        <v>0</v>
      </c>
      <c r="K49" s="95">
        <f t="shared" si="3"/>
        <v>42977.531250000015</v>
      </c>
      <c r="L49" s="95">
        <f t="shared" si="4"/>
        <v>42977.531250000015</v>
      </c>
      <c r="M49" s="27"/>
      <c r="N49" s="27"/>
      <c r="O49" s="47" t="str">
        <f t="shared" si="2"/>
        <v>124543</v>
      </c>
      <c r="P49" s="112">
        <f>VLOOKUP(O49,deuda!A$1:H$551,4,0)</f>
        <v>0</v>
      </c>
      <c r="Q49" s="112">
        <f>VLOOKUP(O49,deuda!A$1:H$551,5,0)</f>
        <v>81</v>
      </c>
      <c r="R49" s="112" t="str">
        <f>IF(VLOOKUP(O49,deuda!A$1:H$551,6,0)=0,"",VLOOKUP(O49,deuda!A$1:H$551,6,0))</f>
        <v/>
      </c>
      <c r="S49" s="113" t="str">
        <f>IF((VLOOKUP(O49,deuda!A$1:H$551,7,0))=0,"",VLOOKUP(O49,deuda!A$1:H$551,7,0))</f>
        <v/>
      </c>
      <c r="T49" s="114" t="str">
        <f>IF((VLOOKUP(O49,deuda!A$1:H$551,8,0))=0,"",VLOOKUP(O49,deuda!A$1:H$551,8,0))</f>
        <v/>
      </c>
    </row>
    <row r="50" spans="1:20" ht="13.5" thickBot="1">
      <c r="E50" s="14">
        <f>SUM(E13:E49)</f>
        <v>340.26900000000001</v>
      </c>
      <c r="F50" s="35" t="str">
        <f t="shared" si="0"/>
        <v>NO</v>
      </c>
      <c r="H50" s="537">
        <f>SUM(H13:H49)</f>
        <v>267.00704000000002</v>
      </c>
      <c r="I50" s="67">
        <f>SUM(I13:I49)</f>
        <v>0.78124999999999989</v>
      </c>
      <c r="J50" s="498">
        <f>SUM(J13:J49)</f>
        <v>2.8750000000000004</v>
      </c>
    </row>
  </sheetData>
  <mergeCells count="5">
    <mergeCell ref="A9:B9"/>
    <mergeCell ref="A5:B5"/>
    <mergeCell ref="C5:E5"/>
    <mergeCell ref="A6:B6"/>
    <mergeCell ref="C6:E6"/>
  </mergeCells>
  <phoneticPr fontId="0" type="noConversion"/>
  <dataValidations disablePrompts="1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49" xr:uid="{00000000-0002-0000-1600-000000000000}">
      <formula1>2</formula1>
      <formula2>2</formula2>
    </dataValidation>
  </dataValidations>
  <pageMargins left="0.39370078740157483" right="0.19685039370078741" top="0.98425196850393704" bottom="0.62992125984251968" header="0" footer="0"/>
  <pageSetup paperSize="9" scale="70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34"/>
  <dimension ref="A1:H416"/>
  <sheetViews>
    <sheetView view="pageBreakPreview" zoomScale="60" zoomScaleNormal="75" workbookViewId="0" xr3:uid="{96AA9D09-0E06-52DD-9EE1-B522AFA11096}">
      <selection activeCell="K24" sqref="K24"/>
    </sheetView>
  </sheetViews>
  <sheetFormatPr defaultRowHeight="12.75"/>
  <cols>
    <col min="1" max="2" width="11.42578125" customWidth="1"/>
    <col min="3" max="3" width="11.5703125" bestFit="1" customWidth="1"/>
    <col min="4" max="4" width="22.7109375" bestFit="1" customWidth="1"/>
    <col min="5" max="5" width="11.42578125" customWidth="1"/>
    <col min="6" max="6" width="11.5703125" bestFit="1" customWidth="1"/>
    <col min="7" max="7" width="28.8554687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VLOOKUP(G5,'9_1'!$A$12:$G$49,7,0)</f>
        <v>SILEONI, DAVID GUILLERMO Y RIVERA DE SILEONI, BERTA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+'9_1'!$H$2</f>
        <v>Hijuela Tres Hermanos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VLOOKUP(G5,'9_1'!$A$12:$B$49,2,0)</f>
        <v>1245</v>
      </c>
      <c r="D7" s="76"/>
      <c r="E7" s="635" t="s">
        <v>184</v>
      </c>
      <c r="F7" s="347">
        <f>DSUM('9_1'!A$12:J$49,'9_1'!$J$12,G4:G5)</f>
        <v>6.027908477619167E-2</v>
      </c>
      <c r="G7" s="382"/>
      <c r="H7" s="76"/>
    </row>
    <row r="8" spans="1:8">
      <c r="A8" s="381"/>
      <c r="B8" s="635" t="s">
        <v>185</v>
      </c>
      <c r="C8" s="374">
        <v>14</v>
      </c>
      <c r="D8" s="76"/>
      <c r="E8" s="635" t="s">
        <v>186</v>
      </c>
      <c r="F8" s="368" t="str">
        <f>IF(VLOOKUP(G5,'9_1'!$A$12:$D$49,4,0)=2,"Eventual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DSUM('9_1'!$A$12:$H$49,'9_1'!$H$12,G4:G5)</f>
        <v>5.5982400000000005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DMIN('9_1'!A$12:K$49,'9_1'!$K$12,G4:G5)</f>
        <v>42973.875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/>
      <c r="H10" s="76"/>
    </row>
    <row r="11" spans="1:8" ht="15.75">
      <c r="A11" s="381"/>
      <c r="B11" s="76"/>
      <c r="C11" s="635" t="s">
        <v>190</v>
      </c>
      <c r="D11" s="107">
        <f>DMAX('9_1'!A$12:L$49,'9_1'!$L$12,G4:G5)</f>
        <v>42973.976945751441</v>
      </c>
      <c r="E11" s="127" t="str">
        <f>IF(F11=1,"Domingo",IF(F11=2,"Lunes",IF(F11=3,"Martes",IF(F11=4,"Miercoles",IF(F11=5,"Jueves",IF(F11=6,"Viernes",IF(F11=7,"Sábado",0)))))))</f>
        <v>Sábado</v>
      </c>
      <c r="F11" s="128">
        <f>WEEKDAY(D11)</f>
        <v>7</v>
      </c>
      <c r="G11" s="385"/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IF(DSUM('9_1'!$A$12:$P$82,16,G4:G5)=COUNTIF('9_1'!$A$13:$A$82,G5),"","Regularice su Deuda")</f>
        <v/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VLOOKUP(G22,'9_1'!$A$12:$G$49,7,0)</f>
        <v>GIMENEZ, FRANCISCO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+'9_1'!$H$2</f>
        <v>Hijuela Tres Hermanos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VLOOKUP(G22,'9_1'!$A$12:$B$49,2,0)</f>
        <v>1245</v>
      </c>
      <c r="D24" s="76"/>
      <c r="E24" s="635" t="s">
        <v>184</v>
      </c>
      <c r="F24" s="347">
        <f>DSUM('9_1'!A$12:J$49,'9_1'!$J$12,G21:G22)</f>
        <v>0.17228010167821792</v>
      </c>
      <c r="G24" s="382"/>
    </row>
    <row r="25" spans="1:7">
      <c r="A25" s="381"/>
      <c r="B25" s="635" t="s">
        <v>185</v>
      </c>
      <c r="C25" s="374">
        <v>10</v>
      </c>
      <c r="D25" s="76"/>
      <c r="E25" s="635" t="s">
        <v>186</v>
      </c>
      <c r="F25" s="368" t="str">
        <f>IF(VLOOKUP(G22,'9_1'!$A$12:$D$49,4,0)=2,"Eventual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DSUM('9_1'!$A$12:$H$49,'9_1'!$H$12,G21:G22)</f>
        <v>16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DMIN('9_1'!A$12:K$49,'9_1'!$K$12,G21:G22)</f>
        <v>42973.976945751441</v>
      </c>
      <c r="E27" s="127" t="str">
        <f>IF(F27=1,"Domingo",IF(F27=2,"Lunes",IF(F27=3,"Martes",IF(F27=4,"Miercoles",IF(F27=5,"Jueves",IF(F27=6,"Viernes",IF(F27=7,"Sábado",0)))))))</f>
        <v>Sábado</v>
      </c>
      <c r="F27" s="128">
        <f>WEEKDAY(D27)</f>
        <v>7</v>
      </c>
      <c r="G27" s="385"/>
    </row>
    <row r="28" spans="1:7" ht="15.75">
      <c r="A28" s="381"/>
      <c r="B28" s="76"/>
      <c r="C28" s="635" t="s">
        <v>190</v>
      </c>
      <c r="D28" s="107">
        <f>DMAX('9_1'!A$12:L$49,'9_1'!$L$12,G21:G22)</f>
        <v>42974.149225853122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385"/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IF(DSUM('9_1'!$A$12:$P$82,16,G21:G22)=COUNTIF('9_1'!$A$13:$A$82,G22),"","Regularice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VLOOKUP(G39,'9_1'!$A$12:$G$49,7,0)</f>
        <v>PEREZ, FELIX FRANCISCO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+'9_1'!$H$2</f>
        <v>Hijuela Tres Hermanos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VLOOKUP(G39,'9_1'!$A$12:$B$49,2,0)</f>
        <v>1245</v>
      </c>
      <c r="D41" s="76"/>
      <c r="E41" s="635" t="s">
        <v>184</v>
      </c>
      <c r="F41" s="347">
        <f>DSUM('9_1'!A$12:J$49,'9_1'!$J$12,G38:G39)</f>
        <v>5.1684030503465386E-2</v>
      </c>
      <c r="G41" s="382"/>
    </row>
    <row r="42" spans="1:7">
      <c r="A42" s="381"/>
      <c r="B42" s="635" t="s">
        <v>185</v>
      </c>
      <c r="C42" s="374">
        <v>78</v>
      </c>
      <c r="D42" s="76"/>
      <c r="E42" s="635" t="s">
        <v>186</v>
      </c>
      <c r="F42" s="368" t="str">
        <f>IF(VLOOKUP(G39,'9_1'!$A$12:$D$49,4,0)=2,"Eventual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DSUM('9_1'!$A$12:$H$49,'9_1'!$H$12,G38:G39)</f>
        <v>4.8000000000000007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DMIN('9_1'!A$12:K$49,'9_1'!$K$12,G38:G39)</f>
        <v>42974.149225853122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385"/>
    </row>
    <row r="45" spans="1:7" ht="15.75">
      <c r="A45" s="381"/>
      <c r="B45" s="76"/>
      <c r="C45" s="635" t="s">
        <v>190</v>
      </c>
      <c r="D45" s="107">
        <f>DMAX('9_1'!A$12:L$49,'9_1'!$L$12,G38:G39)</f>
        <v>42974.221743216964</v>
      </c>
      <c r="E45" s="127" t="str">
        <f>IF(F45=1,"Domingo",IF(F45=2,"Lunes",IF(F45=3,"Martes",IF(F45=4,"Miercoles",IF(F45=5,"Jueves",IF(F45=6,"Viernes",IF(F45=7,"Sábado",0)))))))</f>
        <v>Domingo</v>
      </c>
      <c r="F45" s="128">
        <f>WEEKDAY(D45)</f>
        <v>1</v>
      </c>
      <c r="G45" s="385"/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IF(DSUM('9_1'!$A$12:$P$82,16,G38:G39)=COUNTIF('9_1'!$A$13:$A$82,G39),"","Regularice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VLOOKUP(G56,'9_1'!$A$12:$G$49,7,0)</f>
        <v>PEREZ, FELIX FRANCISCO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+'9_1'!$H$2</f>
        <v>Hijuela Tres Hermanos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VLOOKUP(G56,'9_1'!$A$12:$B$49,2,0)</f>
        <v>1245</v>
      </c>
      <c r="D58" s="76"/>
      <c r="E58" s="635" t="s">
        <v>184</v>
      </c>
      <c r="F58" s="347">
        <f>DSUM('9_1'!A$12:J$49,'9_1'!$J$12,G55:G56)</f>
        <v>0.10336806100693077</v>
      </c>
      <c r="G58" s="382"/>
    </row>
    <row r="59" spans="1:7">
      <c r="A59" s="381"/>
      <c r="B59" s="635" t="s">
        <v>185</v>
      </c>
      <c r="C59" s="374">
        <v>77</v>
      </c>
      <c r="D59" s="76"/>
      <c r="E59" s="635" t="s">
        <v>186</v>
      </c>
      <c r="F59" s="368" t="str">
        <f>IF(VLOOKUP(G56,'9_1'!$A$12:$D$49,4,0)=2,"Eventual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DSUM('9_1'!$A$12:$H$49,'9_1'!$H$12,G55:G56)</f>
        <v>9.6000000000000014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DMIN('9_1'!A$12:K$49,'9_1'!$K$12,G55:G56)</f>
        <v>42974.221743216964</v>
      </c>
      <c r="E61" s="127" t="str">
        <f>IF(F61=1,"Domingo",IF(F61=2,"Lunes",IF(F61=3,"Martes",IF(F61=4,"Miercoles",IF(F61=5,"Jueves",IF(F61=6,"Viernes",IF(F61=7,"Sábado",0)))))))</f>
        <v>Domingo</v>
      </c>
      <c r="F61" s="128">
        <f>WEEKDAY(D61)</f>
        <v>1</v>
      </c>
      <c r="G61" s="385"/>
    </row>
    <row r="62" spans="1:7" ht="15.75">
      <c r="A62" s="381"/>
      <c r="B62" s="76"/>
      <c r="C62" s="635" t="s">
        <v>190</v>
      </c>
      <c r="D62" s="107">
        <f>DMAX('9_1'!A$12:L$49,'9_1'!$L$12,G55:G56)</f>
        <v>42974.366777944633</v>
      </c>
      <c r="E62" s="127" t="str">
        <f>IF(F62=1,"Domingo",IF(F62=2,"Lunes",IF(F62=3,"Martes",IF(F62=4,"Miercoles",IF(F62=5,"Jueves",IF(F62=6,"Viernes",IF(F62=7,"Sábado",0)))))))</f>
        <v>Domingo</v>
      </c>
      <c r="F62" s="128">
        <f>WEEKDAY(D62)</f>
        <v>1</v>
      </c>
      <c r="G62" s="385"/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IF(DSUM('9_1'!$A$12:$P$82,16,G55:G56)=COUNTIF('9_1'!$A$13:$A$82,G56),"","Regularice su Deuda")</f>
        <v/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VLOOKUP(G73,'9_1'!$A$12:$G$49,7,0)</f>
        <v>TAPIZ, JESUS MARTIN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+'9_1'!$H$2</f>
        <v>Hijuela Tres Hermanos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VLOOKUP(G73,'9_1'!$A$12:$B$49,2,0)</f>
        <v>1245</v>
      </c>
      <c r="D75" s="76"/>
      <c r="E75" s="635" t="s">
        <v>184</v>
      </c>
      <c r="F75" s="347">
        <f>DSUM('9_1'!A$12:J$49,'9_1'!$J$12,G72:G73)</f>
        <v>0.16353085671448961</v>
      </c>
      <c r="G75" s="382"/>
    </row>
    <row r="76" spans="1:7">
      <c r="A76" s="381"/>
      <c r="B76" s="635" t="s">
        <v>185</v>
      </c>
      <c r="C76" s="374" t="s">
        <v>379</v>
      </c>
      <c r="D76" s="76"/>
      <c r="E76" s="635" t="s">
        <v>186</v>
      </c>
      <c r="F76" s="368" t="str">
        <f>IF(VLOOKUP(G73,'9_1'!$A$12:$D$49,4,0)=2,"Eventual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DSUM('9_1'!$A$12:$H$49,'9_1'!$H$12,G72:G73)</f>
        <v>15.18744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DMIN('9_1'!A$12:K$49,'9_1'!$K$12,G72:G73)</f>
        <v>42974.366777944633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/>
    </row>
    <row r="79" spans="1:7" ht="15.75">
      <c r="A79" s="381"/>
      <c r="B79" s="76"/>
      <c r="C79" s="635" t="s">
        <v>190</v>
      </c>
      <c r="D79" s="107">
        <f>DMAX('9_1'!A$12:L$49,'9_1'!$L$12,G72:G73)</f>
        <v>42974.63447546801</v>
      </c>
      <c r="E79" s="127" t="str">
        <f>IF(F79=1,"Domingo",IF(F79=2,"Lunes",IF(F79=3,"Martes",IF(F79=4,"Miercoles",IF(F79=5,"Jueves",IF(F79=6,"Viernes",IF(F79=7,"Sábado",0)))))))</f>
        <v>Domingo</v>
      </c>
      <c r="F79" s="128">
        <f>WEEKDAY(D79)</f>
        <v>1</v>
      </c>
      <c r="G79" s="385"/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IF(DSUM('9_1'!$A$12:$P$82,16,G72:G73)=COUNTIF('9_1'!$A$13:$A$82,G73),"","Regularice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VLOOKUP(G90,'9_1'!$A$12:$G$49,7,0)</f>
        <v>MIRABILE, ORLANDO A.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+'9_1'!$H$2</f>
        <v>Hijuela Tres Hermanos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VLOOKUP(G90,'9_1'!$A$12:$B$49,2,0)</f>
        <v>1245</v>
      </c>
      <c r="D92" s="76"/>
      <c r="E92" s="635" t="s">
        <v>184</v>
      </c>
      <c r="F92" s="347">
        <f>DSUM('9_1'!A$12:J$49,'9_1'!$J$12,G89:G90)</f>
        <v>4.3439566237654256E-2</v>
      </c>
      <c r="G92" s="382"/>
    </row>
    <row r="93" spans="1:7">
      <c r="A93" s="381"/>
      <c r="B93" s="635" t="s">
        <v>185</v>
      </c>
      <c r="C93" s="374">
        <v>25</v>
      </c>
      <c r="D93" s="76"/>
      <c r="E93" s="635" t="s">
        <v>186</v>
      </c>
      <c r="F93" s="368" t="str">
        <f>IF(VLOOKUP(G90,'9_1'!$A$12:$D$49,4,0)=2,"Eventual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DSUM('9_1'!$A$12:$H$49,'9_1'!$H$12,G89:G90)</f>
        <v>4.0343200000000001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DMIN('9_1'!A$12:K$49,'9_1'!$K$12,G89:G90)</f>
        <v>42974.63447546801</v>
      </c>
      <c r="E95" s="127" t="str">
        <f>IF(F95=1,"Domingo",IF(F95=2,"Lunes",IF(F95=3,"Martes",IF(F95=4,"Miercoles",IF(F95=5,"Jueves",IF(F95=6,"Viernes",IF(F95=7,"Sábado",0)))))))</f>
        <v>Domingo</v>
      </c>
      <c r="F95" s="128">
        <f>WEEKDAY(D95)</f>
        <v>1</v>
      </c>
      <c r="G95" s="385"/>
    </row>
    <row r="96" spans="1:7" ht="15.75">
      <c r="A96" s="381"/>
      <c r="B96" s="76"/>
      <c r="C96" s="635" t="s">
        <v>190</v>
      </c>
      <c r="D96" s="107">
        <f>DMAX('9_1'!A$12:L$49,'9_1'!$L$12,G89:G90)</f>
        <v>42974.740415034248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/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IF(DSUM('9_1'!$A$12:$P$82,16,G89:G90)=COUNTIF('9_1'!$A$13:$A$82,G90),"","Regularice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VLOOKUP(G107,'9_1'!$A$12:$G$49,7,0)</f>
        <v>SANCHEZ DE SOTO, ISABEL Y SOTO GONZALEZ, JUANA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+'9_1'!$H$2</f>
        <v>Hijuela Tres Hermanos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VLOOKUP(G107,'9_1'!$A$12:$B$49,2,0)</f>
        <v>1245</v>
      </c>
      <c r="D109" s="76"/>
      <c r="E109" s="635" t="s">
        <v>184</v>
      </c>
      <c r="F109" s="347">
        <f>DSUM('9_1'!A$12:J$49,'9_1'!$J$12,G106:G107)</f>
        <v>8.4150215664725546E-3</v>
      </c>
      <c r="G109" s="382"/>
    </row>
    <row r="110" spans="1:7">
      <c r="A110" s="381"/>
      <c r="B110" s="635" t="s">
        <v>185</v>
      </c>
      <c r="C110" s="374" t="s">
        <v>380</v>
      </c>
      <c r="D110" s="76"/>
      <c r="E110" s="635" t="s">
        <v>186</v>
      </c>
      <c r="F110" s="368" t="str">
        <f>IF(VLOOKUP(G107,'9_1'!$A$12:$D$49,4,0)=2,"Eventual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DSUM('9_1'!$A$12:$H$49,'9_1'!$H$12,G106:G107)</f>
        <v>0.78151999999999999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DMIN('9_1'!A$12:K$49,'9_1'!$K$12,G106:G107)</f>
        <v>42974.740415034248</v>
      </c>
      <c r="E112" s="127" t="str">
        <f>IF(F112=1,"Domingo",IF(F112=2,"Lunes",IF(F112=3,"Martes",IF(F112=4,"Miercoles",IF(F112=5,"Jueves",IF(F112=6,"Viernes",IF(F112=7,"Sábado",0)))))))</f>
        <v>Domingo</v>
      </c>
      <c r="F112" s="128">
        <f>WEEKDAY(D112)</f>
        <v>1</v>
      </c>
      <c r="G112" s="385"/>
    </row>
    <row r="113" spans="1:7" ht="15.75">
      <c r="A113" s="381"/>
      <c r="B113" s="76"/>
      <c r="C113" s="635" t="s">
        <v>190</v>
      </c>
      <c r="D113" s="107">
        <f>DMAX('9_1'!A$12:L$49,'9_1'!$L$12,G106:G107)</f>
        <v>42974.769663389146</v>
      </c>
      <c r="E113" s="127" t="str">
        <f>IF(F113=1,"Domingo",IF(F113=2,"Lunes",IF(F113=3,"Martes",IF(F113=4,"Miercoles",IF(F113=5,"Jueves",IF(F113=6,"Viernes",IF(F113=7,"Sábado",0)))))))</f>
        <v>Domingo</v>
      </c>
      <c r="F113" s="128">
        <f>WEEKDAY(D113)</f>
        <v>1</v>
      </c>
      <c r="G113" s="385"/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IF(DSUM('9_1'!$A$12:$P$82,16,G106:G107)=COUNTIF('9_1'!$A$13:$A$82,G107),"","Regularice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e">
        <f>VLOOKUP(G124,'9_1'!$A$12:$G$49,7,0)</f>
        <v>#N/A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+'9_1'!$H$2</f>
        <v>Hijuela Tres Hermanos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 t="e">
        <f>VLOOKUP(G124,'9_1'!$A$12:$B$49,2,0)</f>
        <v>#N/A</v>
      </c>
      <c r="D126" s="76"/>
      <c r="E126" s="635" t="s">
        <v>184</v>
      </c>
      <c r="F126" s="347">
        <f>DSUM('9_1'!A$12:J$49,'9_1'!$J$12,G123:G124)</f>
        <v>0</v>
      </c>
      <c r="G126" s="382"/>
    </row>
    <row r="127" spans="1:7">
      <c r="A127" s="381"/>
      <c r="B127" s="635" t="s">
        <v>185</v>
      </c>
      <c r="C127" s="374">
        <v>2</v>
      </c>
      <c r="D127" s="76"/>
      <c r="E127" s="635" t="s">
        <v>186</v>
      </c>
      <c r="F127" s="368" t="e">
        <f>IF(VLOOKUP(G124,'9_1'!$A$12:$D$49,4,0)=2,"Eventual 80%","Definitivo 100%")</f>
        <v>#N/A</v>
      </c>
      <c r="G127" s="382"/>
    </row>
    <row r="128" spans="1:7">
      <c r="A128" s="381"/>
      <c r="B128" s="635" t="s">
        <v>187</v>
      </c>
      <c r="C128" s="375">
        <f>DSUM('9_1'!$A$12:$H$49,'9_1'!$H$12,G123:G124)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DMIN('9_1'!A$12:K$49,'9_1'!$K$12,G123:G124)</f>
        <v>0</v>
      </c>
      <c r="E129" s="127" t="str">
        <f>IF(F129=1,"Domingo",IF(F129=2,"Lunes",IF(F129=3,"Martes",IF(F129=4,"Miercoles",IF(F129=5,"Jueves",IF(F129=6,"Viernes",IF(F129=7,"Sábado",0)))))))</f>
        <v>Sábado</v>
      </c>
      <c r="F129" s="128">
        <f>WEEKDAY(D129)</f>
        <v>7</v>
      </c>
      <c r="G129" s="385"/>
    </row>
    <row r="130" spans="1:7" ht="15.75">
      <c r="A130" s="381"/>
      <c r="B130" s="76"/>
      <c r="C130" s="635" t="s">
        <v>190</v>
      </c>
      <c r="D130" s="107">
        <f>DMAX('9_1'!A$12:L$49,'9_1'!$L$12,G123:G124)</f>
        <v>0</v>
      </c>
      <c r="E130" s="127" t="str">
        <f>IF(F130=1,"Domingo",IF(F130=2,"Lunes",IF(F130=3,"Martes",IF(F130=4,"Miercoles",IF(F130=5,"Jueves",IF(F130=6,"Viernes",IF(F130=7,"Sábado",0)))))))</f>
        <v>Sábado</v>
      </c>
      <c r="F130" s="128">
        <f>WEEKDAY(D130)</f>
        <v>7</v>
      </c>
      <c r="G130" s="385"/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IF(DSUM('9_1'!$A$12:$P$82,16,G123:G124)=COUNTIF('9_1'!$A$13:$A$82,G124),"","Regularice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VLOOKUP(G141,'9_1'!$A$12:$G$49,7,0)</f>
        <v>VANRRELL, JUAN FRANCISCO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+'9_1'!$H$2</f>
        <v>Hijuela Tres Hermanos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VLOOKUP(G141,'9_1'!$A$12:$B$49,2,0)</f>
        <v>1245</v>
      </c>
      <c r="D143" s="76"/>
      <c r="E143" s="635" t="s">
        <v>184</v>
      </c>
      <c r="F143" s="347">
        <f>DSUM('9_1'!A$12:J$49,'9_1'!$J$12,G140:G141)</f>
        <v>0.21353601762710078</v>
      </c>
      <c r="G143" s="382"/>
    </row>
    <row r="144" spans="1:7">
      <c r="A144" s="381"/>
      <c r="B144" s="635" t="s">
        <v>185</v>
      </c>
      <c r="C144" s="374">
        <v>39</v>
      </c>
      <c r="D144" s="76"/>
      <c r="E144" s="635" t="s">
        <v>186</v>
      </c>
      <c r="F144" s="368" t="str">
        <f>IF(VLOOKUP(G141,'9_1'!$A$12:$D$49,4,0)=2,"Eventual 80%","Definitivo 100%")</f>
        <v>Eventual 80%</v>
      </c>
      <c r="G144" s="382"/>
    </row>
    <row r="145" spans="1:7">
      <c r="A145" s="381"/>
      <c r="B145" s="635" t="s">
        <v>187</v>
      </c>
      <c r="C145" s="375">
        <f>DSUM('9_1'!$A$12:$H$49,'9_1'!$H$12,G140:G141)</f>
        <v>19.831520000000001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DMIN('9_1'!A$12:K$49,'9_1'!$K$12,G140:G141)</f>
        <v>42974.769663389146</v>
      </c>
      <c r="E146" s="127" t="str">
        <f>IF(F146=1,"Domingo",IF(F146=2,"Lunes",IF(F146=3,"Martes",IF(F146=4,"Miercoles",IF(F146=5,"Jueves",IF(F146=6,"Viernes",IF(F146=7,"Sábado",0)))))))</f>
        <v>Domingo</v>
      </c>
      <c r="F146" s="128">
        <f>WEEKDAY(D146)</f>
        <v>1</v>
      </c>
      <c r="G146" s="385"/>
    </row>
    <row r="147" spans="1:7" ht="15.75">
      <c r="A147" s="381"/>
      <c r="B147" s="76"/>
      <c r="C147" s="635" t="s">
        <v>190</v>
      </c>
      <c r="D147" s="107">
        <f>DMAX('9_1'!A$12:L$49,'9_1'!$L$12,G140:G141)</f>
        <v>42974.983199406772</v>
      </c>
      <c r="E147" s="127" t="str">
        <f>IF(F147=1,"Domingo",IF(F147=2,"Lunes",IF(F147=3,"Martes",IF(F147=4,"Miercoles",IF(F147=5,"Jueves",IF(F147=6,"Viernes",IF(F147=7,"Sábado",0)))))))</f>
        <v>Domingo</v>
      </c>
      <c r="F147" s="128">
        <f>WEEKDAY(D147)</f>
        <v>1</v>
      </c>
      <c r="G147" s="385"/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108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108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IF(DSUM('9_1'!$A$12:$P$82,16,G140:G141)=COUNTIF('9_1'!$A$13:$A$82,G141),"","Regularice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VLOOKUP(G158,'9_1'!$A$12:$G$49,7,0)</f>
        <v>PINTO MORALES, ALEJANDRO JOSE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+'9_1'!$H$2</f>
        <v>Hijuela Tres Hermanos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VLOOKUP(G158,'9_1'!$A$12:$B$49,2,0)</f>
        <v>1245</v>
      </c>
      <c r="D160" s="76"/>
      <c r="E160" s="635" t="s">
        <v>184</v>
      </c>
      <c r="F160" s="347">
        <f>DSUM('9_1'!A$12:J$49,'9_1'!$J$12,G157:G158)</f>
        <v>0.43070025419554481</v>
      </c>
      <c r="G160" s="382"/>
    </row>
    <row r="161" spans="1:7">
      <c r="A161" s="381"/>
      <c r="B161" s="635" t="s">
        <v>185</v>
      </c>
      <c r="C161" s="374" t="s">
        <v>381</v>
      </c>
      <c r="D161" s="76"/>
      <c r="E161" s="635" t="s">
        <v>186</v>
      </c>
      <c r="F161" s="368" t="str">
        <f>IF(VLOOKUP(G158,'9_1'!$A$12:$D$49,4,0)=2,"Eventual 80%","Definitivo 100%")</f>
        <v>Eventual 80%</v>
      </c>
      <c r="G161" s="382"/>
    </row>
    <row r="162" spans="1:7">
      <c r="A162" s="381"/>
      <c r="B162" s="635" t="s">
        <v>187</v>
      </c>
      <c r="C162" s="375">
        <f>DSUM('9_1'!$A$12:$H$49,'9_1'!$H$12,G157:G158)</f>
        <v>40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DMIN('9_1'!A$12:K$49,'9_1'!$K$12,G157:G158)</f>
        <v>42974.983199406772</v>
      </c>
      <c r="E163" s="127" t="str">
        <f>IF(F163=1,"Domingo",IF(F163=2,"Lunes",IF(F163=3,"Martes",IF(F163=4,"Miercoles",IF(F163=5,"Jueves",IF(F163=6,"Viernes",IF(F163=7,"Sábado",0)))))))</f>
        <v>Domingo</v>
      </c>
      <c r="F163" s="128">
        <f>WEEKDAY(D163)</f>
        <v>1</v>
      </c>
      <c r="G163" s="385"/>
    </row>
    <row r="164" spans="1:7" ht="15.75">
      <c r="A164" s="381"/>
      <c r="B164" s="76"/>
      <c r="C164" s="635" t="s">
        <v>190</v>
      </c>
      <c r="D164" s="107">
        <f>DMAX('9_1'!A$12:L$49,'9_1'!$L$12,G157:G158)</f>
        <v>42975.413899660969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385"/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108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108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IF(DSUM('9_1'!$A$12:$P$82,16,G157:G158)=COUNTIF('9_1'!$A$13:$A$82,G158),"","Regularice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VLOOKUP(G175,'9_1'!$A$12:$G$49,7,0)</f>
        <v>CORTEZ, CIRILO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+'9_1'!$H$2</f>
        <v>Hijuela Tres Hermanos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VLOOKUP(G175,'9_1'!$A$12:$B$49,2,0)</f>
        <v>1245</v>
      </c>
      <c r="D177" s="76"/>
      <c r="E177" s="635" t="s">
        <v>184</v>
      </c>
      <c r="F177" s="347">
        <f>DSUM('9_1'!A$12:J$49,'9_1'!$J$12,G174:G175)</f>
        <v>0.2153501270977724</v>
      </c>
      <c r="G177" s="382"/>
    </row>
    <row r="178" spans="1:7">
      <c r="A178" s="381"/>
      <c r="B178" s="635" t="s">
        <v>185</v>
      </c>
      <c r="C178" s="374">
        <v>36</v>
      </c>
      <c r="D178" s="76"/>
      <c r="E178" s="635" t="s">
        <v>186</v>
      </c>
      <c r="F178" s="368" t="str">
        <f>IF(VLOOKUP(G175,'9_1'!$A$12:$D$49,4,0)=2,"Eventual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DSUM('9_1'!$A$12:$H$49,'9_1'!$H$12,G174:G175)</f>
        <v>20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DMIN('9_1'!A$12:K$49,'9_1'!$K$12,G174:G175)</f>
        <v>42975.413899660969</v>
      </c>
      <c r="E180" s="127" t="str">
        <f>IF(F180=1,"Domingo",IF(F180=2,"Lunes",IF(F180=3,"Martes",IF(F180=4,"Miercoles",IF(F180=5,"Jueves",IF(F180=6,"Viernes",IF(F180=7,"Sábado",0)))))))</f>
        <v>Lunes</v>
      </c>
      <c r="F180" s="128">
        <f>WEEKDAY(D180)</f>
        <v>2</v>
      </c>
      <c r="G180" s="385"/>
    </row>
    <row r="181" spans="1:7" ht="15.75">
      <c r="A181" s="381"/>
      <c r="B181" s="76"/>
      <c r="C181" s="635" t="s">
        <v>190</v>
      </c>
      <c r="D181" s="107">
        <f>DMAX('9_1'!A$12:L$49,'9_1'!$L$12,G174:G175)</f>
        <v>42975.6500831214</v>
      </c>
      <c r="E181" s="127" t="str">
        <f>IF(F181=1,"Domingo",IF(F181=2,"Lunes",IF(F181=3,"Martes",IF(F181=4,"Miercoles",IF(F181=5,"Jueves",IF(F181=6,"Viernes",IF(F181=7,"Sábado",0)))))))</f>
        <v>Lunes</v>
      </c>
      <c r="F181" s="128">
        <f>WEEKDAY(D181)</f>
        <v>2</v>
      </c>
      <c r="G181" s="385"/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108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108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IF(DSUM('9_1'!$A$12:$P$82,16,G174:G175)=COUNTIF('9_1'!$A$13:$A$82,G175),"","Regularice su Deuda")</f>
        <v/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">
        <v>82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VLOOKUP(G192,'9_1'!$A$12:$G$49,7,0)</f>
        <v>GOGOl, SERGIO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76" t="str">
        <f>+'9_1'!$H$2</f>
        <v>Hijuela Tres Hermanos</v>
      </c>
      <c r="D192" s="76"/>
      <c r="E192" s="76"/>
      <c r="F192" s="76"/>
      <c r="G192" s="383">
        <v>12</v>
      </c>
    </row>
    <row r="193" spans="1:7">
      <c r="A193" s="381"/>
      <c r="B193" s="76"/>
      <c r="C193" s="76"/>
      <c r="D193" s="76"/>
      <c r="E193" s="76"/>
      <c r="F193" s="76"/>
      <c r="G193" s="382"/>
    </row>
    <row r="194" spans="1:7">
      <c r="A194" s="381"/>
      <c r="B194" s="635" t="s">
        <v>183</v>
      </c>
      <c r="C194" s="331">
        <f>VLOOKUP(G192,'9_1'!$A$12:$B$49,2,0)</f>
        <v>1245</v>
      </c>
      <c r="D194" s="76"/>
      <c r="E194" s="635" t="s">
        <v>184</v>
      </c>
      <c r="F194" s="347">
        <f>DSUM('9_1'!A$12:J$49,'9_1'!$J$12,G191:G192)</f>
        <v>0.2153785533145493</v>
      </c>
      <c r="G194" s="382"/>
    </row>
    <row r="195" spans="1:7">
      <c r="A195" s="381"/>
      <c r="B195" s="635" t="s">
        <v>185</v>
      </c>
      <c r="C195" s="374">
        <v>3</v>
      </c>
      <c r="D195" s="76"/>
      <c r="E195" s="635" t="s">
        <v>186</v>
      </c>
      <c r="F195" s="368" t="str">
        <f>IF(VLOOKUP(G192,'9_1'!$A$12:$D$49,4,0)=2,"Eventual 80%","Definitivo 100%")</f>
        <v>Eventual 80%</v>
      </c>
      <c r="G195" s="382"/>
    </row>
    <row r="196" spans="1:7">
      <c r="A196" s="381"/>
      <c r="B196" s="635" t="s">
        <v>187</v>
      </c>
      <c r="C196" s="375">
        <f>DSUM('9_1'!$A$12:$H$49,'9_1'!$H$12,G191:G192)</f>
        <v>20.00264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635" t="s">
        <v>189</v>
      </c>
      <c r="D197" s="107">
        <f>DMIN('9_1'!A$12:K$49,'9_1'!$K$12,G191:G192)</f>
        <v>42975.6500831214</v>
      </c>
      <c r="E197" s="127" t="str">
        <f>IF(F197=1,"Domingo",IF(F197=2,"Lunes",IF(F197=3,"Martes",IF(F197=4,"Miercoles",IF(F197=5,"Jueves",IF(F197=6,"Viernes",IF(F197=7,"Sábado",0)))))))</f>
        <v>Lunes</v>
      </c>
      <c r="F197" s="128">
        <f>WEEKDAY(D197)</f>
        <v>2</v>
      </c>
      <c r="G197" s="385"/>
    </row>
    <row r="198" spans="1:7" ht="15.75">
      <c r="A198" s="381"/>
      <c r="B198" s="76"/>
      <c r="C198" s="635" t="s">
        <v>190</v>
      </c>
      <c r="D198" s="107">
        <f>DMAX('9_1'!A$12:L$49,'9_1'!$L$12,G191:G192)</f>
        <v>42975.886295008051</v>
      </c>
      <c r="E198" s="127" t="str">
        <f>IF(F198=1,"Domingo",IF(F198=2,"Lunes",IF(F198=3,"Martes",IF(F198=4,"Miercoles",IF(F198=5,"Jueves",IF(F198=6,"Viernes",IF(F198=7,"Sábado",0)))))))</f>
        <v>Lunes</v>
      </c>
      <c r="F198" s="128">
        <f>WEEKDAY(D198)</f>
        <v>2</v>
      </c>
      <c r="G198" s="385"/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108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108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IF(DSUM('9_1'!$A$12:$P$82,16,G191:G192)=COUNTIF('9_1'!$A$13:$A$82,G192),"","Regularice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">
        <v>82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VLOOKUP(G209,'9_1'!$A$12:$G$49,7,0)</f>
        <v>GONZALEZ, OSCAR OMAR C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76" t="str">
        <f>+'9_1'!$H$2</f>
        <v>Hijuela Tres Hermanos</v>
      </c>
      <c r="D209" s="76"/>
      <c r="E209" s="76"/>
      <c r="F209" s="76"/>
      <c r="G209" s="383">
        <v>13</v>
      </c>
    </row>
    <row r="210" spans="1:7">
      <c r="A210" s="381"/>
      <c r="B210" s="76"/>
      <c r="C210" s="76"/>
      <c r="D210" s="76"/>
      <c r="E210" s="76"/>
      <c r="F210" s="76"/>
      <c r="G210" s="382"/>
    </row>
    <row r="211" spans="1:7">
      <c r="A211" s="381"/>
      <c r="B211" s="635" t="s">
        <v>183</v>
      </c>
      <c r="C211" s="331">
        <f>VLOOKUP(G209,'9_1'!$A$12:$B$49,2,0)</f>
        <v>1245</v>
      </c>
      <c r="D211" s="76"/>
      <c r="E211" s="635" t="s">
        <v>184</v>
      </c>
      <c r="F211" s="347">
        <f>DSUM('9_1'!A$12:J$49,'9_1'!$J$12,G208:G209)</f>
        <v>0.16612797924728875</v>
      </c>
      <c r="G211" s="382"/>
    </row>
    <row r="212" spans="1:7">
      <c r="A212" s="381"/>
      <c r="B212" s="635" t="s">
        <v>185</v>
      </c>
      <c r="C212" s="374">
        <v>42</v>
      </c>
      <c r="D212" s="76"/>
      <c r="E212" s="635" t="s">
        <v>186</v>
      </c>
      <c r="F212" s="368" t="str">
        <f>IF(VLOOKUP(G209,'9_1'!$A$12:$D$49,4,0)=2,"Eventual 80%","Definitivo 100%")</f>
        <v>Eventual 80%</v>
      </c>
      <c r="G212" s="382"/>
    </row>
    <row r="213" spans="1:7">
      <c r="A213" s="381"/>
      <c r="B213" s="635" t="s">
        <v>187</v>
      </c>
      <c r="C213" s="375">
        <f>DSUM('9_1'!$A$12:$H$49,'9_1'!$H$12,G208:G209)</f>
        <v>15.42864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635" t="s">
        <v>189</v>
      </c>
      <c r="D214" s="107">
        <f>DMIN('9_1'!A$12:K$49,'9_1'!$K$12,G208:G209)</f>
        <v>42975.886295008051</v>
      </c>
      <c r="E214" s="127" t="str">
        <f>IF(F214=1,"Domingo",IF(F214=2,"Lunes",IF(F214=3,"Martes",IF(F214=4,"Miercoles",IF(F214=5,"Jueves",IF(F214=6,"Viernes",IF(F214=7,"Sábado",0)))))))</f>
        <v>Lunes</v>
      </c>
      <c r="F214" s="128">
        <f>WEEKDAY(D214)</f>
        <v>2</v>
      </c>
      <c r="G214" s="385"/>
    </row>
    <row r="215" spans="1:7" ht="15.75">
      <c r="A215" s="381"/>
      <c r="B215" s="76"/>
      <c r="C215" s="635" t="s">
        <v>190</v>
      </c>
      <c r="D215" s="107">
        <f>DMAX('9_1'!A$12:L$49,'9_1'!$L$12,G208:G209)</f>
        <v>42976.114922987297</v>
      </c>
      <c r="E215" s="127" t="str">
        <f>IF(F215=1,"Domingo",IF(F215=2,"Lunes",IF(F215=3,"Martes",IF(F215=4,"Miercoles",IF(F215=5,"Jueves",IF(F215=6,"Viernes",IF(F215=7,"Sábado",0)))))))</f>
        <v>Martes</v>
      </c>
      <c r="F215" s="128">
        <f>WEEKDAY(D215)</f>
        <v>3</v>
      </c>
      <c r="G215" s="385"/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108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108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IF(DSUM('9_1'!$A$12:$P$82,16,G208:G209)=COUNTIF('9_1'!$A$13:$A$82,G209),"","Regularice su Deuda")</f>
        <v/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">
        <v>82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str">
        <f>VLOOKUP(G226,'9_1'!$A$12:$G$49,7,0)</f>
        <v>MAROTO, MARIO ALBERTO Y MAROTO, JUAN JOSE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76" t="str">
        <f>+'9_1'!$H$2</f>
        <v>Hijuela Tres Hermanos</v>
      </c>
      <c r="D226" s="76"/>
      <c r="E226" s="76"/>
      <c r="F226" s="76"/>
      <c r="G226" s="383">
        <v>14</v>
      </c>
    </row>
    <row r="227" spans="1:7">
      <c r="A227" s="381"/>
      <c r="B227" s="76"/>
      <c r="C227" s="76"/>
      <c r="D227" s="76"/>
      <c r="E227" s="76"/>
      <c r="F227" s="76"/>
      <c r="G227" s="382"/>
    </row>
    <row r="228" spans="1:7">
      <c r="A228" s="381"/>
      <c r="B228" s="635" t="s">
        <v>183</v>
      </c>
      <c r="C228" s="331">
        <f>VLOOKUP(G226,'9_1'!$A$12:$B$49,2,0)</f>
        <v>1245</v>
      </c>
      <c r="D228" s="76"/>
      <c r="E228" s="635" t="s">
        <v>184</v>
      </c>
      <c r="F228" s="347">
        <f>DSUM('9_1'!A$12:J$49,'9_1'!$J$12,G225:G226)</f>
        <v>0.70850105675116282</v>
      </c>
      <c r="G228" s="382"/>
    </row>
    <row r="229" spans="1:7">
      <c r="A229" s="381"/>
      <c r="B229" s="635" t="s">
        <v>185</v>
      </c>
      <c r="C229" s="374" t="s">
        <v>382</v>
      </c>
      <c r="D229" s="76"/>
      <c r="E229" s="635" t="s">
        <v>186</v>
      </c>
      <c r="F229" s="368" t="str">
        <f>IF(VLOOKUP(G226,'9_1'!$A$12:$D$49,4,0)=2,"Eventual 80%","Definitivo 100%")</f>
        <v>Eventual 80%</v>
      </c>
      <c r="G229" s="382"/>
    </row>
    <row r="230" spans="1:7">
      <c r="A230" s="381"/>
      <c r="B230" s="635" t="s">
        <v>187</v>
      </c>
      <c r="C230" s="375">
        <f>DSUM('9_1'!$A$12:$H$49,'9_1'!$H$12,G225:G226)</f>
        <v>65.79992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635" t="s">
        <v>189</v>
      </c>
      <c r="D231" s="107">
        <f>DMIN('9_1'!A$12:K$49,'9_1'!$K$12,G225:G226)</f>
        <v>42976.114922987297</v>
      </c>
      <c r="E231" s="127" t="str">
        <f>IF(F231=1,"Domingo",IF(F231=2,"Lunes",IF(F231=3,"Martes",IF(F231=4,"Miercoles",IF(F231=5,"Jueves",IF(F231=6,"Viernes",IF(F231=7,"Sábado",0)))))))</f>
        <v>Martes</v>
      </c>
      <c r="F231" s="128">
        <f>WEEKDAY(D231)</f>
        <v>3</v>
      </c>
      <c r="G231" s="385"/>
    </row>
    <row r="232" spans="1:7" ht="15.75">
      <c r="A232" s="381"/>
      <c r="B232" s="76"/>
      <c r="C232" s="635" t="s">
        <v>190</v>
      </c>
      <c r="D232" s="107">
        <f>DMAX('9_1'!A$12:L$49,'9_1'!$L$12,G225:G226)</f>
        <v>42976.823424044051</v>
      </c>
      <c r="E232" s="127" t="str">
        <f>IF(F232=1,"Domingo",IF(F232=2,"Lunes",IF(F232=3,"Martes",IF(F232=4,"Miercoles",IF(F232=5,"Jueves",IF(F232=6,"Viernes",IF(F232=7,"Sábado",0)))))))</f>
        <v>Martes</v>
      </c>
      <c r="F232" s="128">
        <f>WEEKDAY(D232)</f>
        <v>3</v>
      </c>
      <c r="G232" s="385"/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108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108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IF(DSUM('9_1'!$A$12:$P$82,16,G225:G226)=COUNTIF('9_1'!$A$13:$A$82,G226),"","Regularice su Deuda")</f>
        <v/>
      </c>
      <c r="C237" s="326"/>
      <c r="D237" s="326"/>
      <c r="E237" s="326"/>
      <c r="F237" s="326"/>
      <c r="G237" s="388"/>
    </row>
    <row r="238" spans="1:7" ht="13.5" thickBot="1"/>
    <row r="239" spans="1:7">
      <c r="A239" s="378"/>
      <c r="B239" s="379"/>
      <c r="C239" s="379"/>
      <c r="D239" s="379"/>
      <c r="E239" s="379"/>
      <c r="F239" s="379"/>
      <c r="G239" s="380"/>
    </row>
    <row r="240" spans="1:7">
      <c r="A240" s="381"/>
      <c r="B240" s="109" t="s">
        <v>82</v>
      </c>
      <c r="C240" s="76"/>
      <c r="D240" s="76"/>
      <c r="E240" s="76"/>
      <c r="F240" s="76"/>
      <c r="G240" s="382"/>
    </row>
    <row r="241" spans="1:7">
      <c r="A241" s="381"/>
      <c r="B241" s="76"/>
      <c r="C241" s="76"/>
      <c r="D241" s="76"/>
      <c r="E241" s="76"/>
      <c r="F241" s="76"/>
      <c r="G241" s="382"/>
    </row>
    <row r="242" spans="1:7">
      <c r="A242" s="381"/>
      <c r="B242" s="76" t="s">
        <v>182</v>
      </c>
      <c r="C242" s="76" t="str">
        <f>VLOOKUP(G243,'9_1'!$A$12:$G$49,7,0)</f>
        <v>BRAGAGNOLO, MARIO FRANCISCO</v>
      </c>
      <c r="D242" s="76"/>
      <c r="E242" s="76"/>
      <c r="F242" s="76"/>
      <c r="G242" s="383" t="s">
        <v>134</v>
      </c>
    </row>
    <row r="243" spans="1:7">
      <c r="A243" s="381"/>
      <c r="B243" s="76" t="s">
        <v>91</v>
      </c>
      <c r="C243" s="76" t="str">
        <f>+'9_1'!$H$2</f>
        <v>Hijuela Tres Hermanos</v>
      </c>
      <c r="D243" s="76"/>
      <c r="E243" s="76"/>
      <c r="F243" s="76"/>
      <c r="G243" s="383">
        <v>15</v>
      </c>
    </row>
    <row r="244" spans="1:7">
      <c r="A244" s="381"/>
      <c r="B244" s="76"/>
      <c r="C244" s="76"/>
      <c r="D244" s="76"/>
      <c r="E244" s="76"/>
      <c r="F244" s="76"/>
      <c r="G244" s="382"/>
    </row>
    <row r="245" spans="1:7">
      <c r="A245" s="381"/>
      <c r="B245" s="635" t="s">
        <v>183</v>
      </c>
      <c r="C245" s="331">
        <f>VLOOKUP(G243,'9_1'!$A$12:$B$49,2,0)</f>
        <v>1245</v>
      </c>
      <c r="D245" s="76"/>
      <c r="E245" s="635" t="s">
        <v>184</v>
      </c>
      <c r="F245" s="347">
        <f>DSUM('9_1'!A$12:J$49,'9_1'!$J$12,G242:G243)</f>
        <v>5.9104134482746221E-2</v>
      </c>
      <c r="G245" s="382"/>
    </row>
    <row r="246" spans="1:7">
      <c r="A246" s="381"/>
      <c r="B246" s="635" t="s">
        <v>185</v>
      </c>
      <c r="C246" s="374">
        <v>73</v>
      </c>
      <c r="D246" s="76"/>
      <c r="E246" s="635" t="s">
        <v>186</v>
      </c>
      <c r="F246" s="368" t="str">
        <f>IF(VLOOKUP(G243,'9_1'!$A$12:$D$49,4,0)=2,"Eventual 80%","Definitivo 100%")</f>
        <v>Eventual 80%</v>
      </c>
      <c r="G246" s="382"/>
    </row>
    <row r="247" spans="1:7">
      <c r="A247" s="381"/>
      <c r="B247" s="635" t="s">
        <v>187</v>
      </c>
      <c r="C247" s="375">
        <f>DSUM('9_1'!$A$12:$H$49,'9_1'!$H$12,G242:G243)</f>
        <v>5.4891199999999998</v>
      </c>
      <c r="D247" s="76"/>
      <c r="E247" s="635" t="s">
        <v>188</v>
      </c>
      <c r="F247" s="369" t="str">
        <f>+Hijuelas!$G$5</f>
        <v>fracción</v>
      </c>
      <c r="G247" s="384"/>
    </row>
    <row r="248" spans="1:7" ht="15.75">
      <c r="A248" s="381"/>
      <c r="B248" s="76"/>
      <c r="C248" s="635" t="s">
        <v>189</v>
      </c>
      <c r="D248" s="107">
        <f>DMIN('9_1'!A$12:K$49,'9_1'!$K$12,G242:G243)</f>
        <v>42976.823424044051</v>
      </c>
      <c r="E248" s="127" t="str">
        <f>IF(F248=1,"Domingo",IF(F248=2,"Lunes",IF(F248=3,"Martes",IF(F248=4,"Miercoles",IF(F248=5,"Jueves",IF(F248=6,"Viernes",IF(F248=7,"Sábado",0)))))))</f>
        <v>Martes</v>
      </c>
      <c r="F248" s="128">
        <f>WEEKDAY(D248)</f>
        <v>3</v>
      </c>
      <c r="G248" s="385"/>
    </row>
    <row r="249" spans="1:7" ht="15.75">
      <c r="A249" s="381"/>
      <c r="B249" s="76"/>
      <c r="C249" s="635" t="s">
        <v>190</v>
      </c>
      <c r="D249" s="107">
        <f>DMAX('9_1'!A$12:L$49,'9_1'!$L$12,G242:G243)</f>
        <v>42976.965861511868</v>
      </c>
      <c r="E249" s="127" t="str">
        <f>IF(F249=1,"Domingo",IF(F249=2,"Lunes",IF(F249=3,"Martes",IF(F249=4,"Miercoles",IF(F249=5,"Jueves",IF(F249=6,"Viernes",IF(F249=7,"Sábado",0)))))))</f>
        <v>Martes</v>
      </c>
      <c r="F249" s="128">
        <f>WEEKDAY(D249)</f>
        <v>3</v>
      </c>
      <c r="G249" s="385"/>
    </row>
    <row r="250" spans="1:7">
      <c r="A250" s="381"/>
      <c r="B250" s="76"/>
      <c r="C250" s="76"/>
      <c r="D250" s="76"/>
      <c r="E250" s="76"/>
      <c r="F250" s="106"/>
      <c r="G250" s="384"/>
    </row>
    <row r="251" spans="1:7">
      <c r="A251" s="381"/>
      <c r="B251" s="108" t="str">
        <f>+Mensajes!$B$7</f>
        <v>PARA CUALQUIER MODIFICACION EN EL CUADRO DE TURNO COMUNIQUESE CON SU TOMERO</v>
      </c>
      <c r="C251" s="76"/>
      <c r="D251" s="76"/>
      <c r="E251" s="76"/>
      <c r="F251" s="76"/>
      <c r="G251" s="382"/>
    </row>
    <row r="252" spans="1:7">
      <c r="A252" s="381"/>
      <c r="B252" s="108" t="str">
        <f>+Mensajes!$B$12</f>
        <v>Recuerde que con 1 (una) cuotas vigentes impagas se restringirá el servicio.</v>
      </c>
      <c r="C252" s="76"/>
      <c r="D252" s="76"/>
      <c r="E252" s="76"/>
      <c r="F252" s="76"/>
      <c r="G252" s="382"/>
    </row>
    <row r="253" spans="1:7">
      <c r="A253" s="381"/>
      <c r="B253" s="108"/>
      <c r="C253" s="76"/>
      <c r="D253" s="76"/>
      <c r="E253" s="76"/>
      <c r="F253" s="76"/>
      <c r="G253" s="382"/>
    </row>
    <row r="254" spans="1:7" ht="13.5" thickBot="1">
      <c r="A254" s="386"/>
      <c r="B254" s="387" t="str">
        <f>IF(DSUM('9_1'!$A$12:$P$82,16,G242:G243)=COUNTIF('9_1'!$A$13:$A$82,G243),"","Regularice su Deuda")</f>
        <v/>
      </c>
      <c r="C254" s="326"/>
      <c r="D254" s="326"/>
      <c r="E254" s="326"/>
      <c r="F254" s="326"/>
      <c r="G254" s="388"/>
    </row>
    <row r="255" spans="1:7" ht="13.5" thickBot="1"/>
    <row r="256" spans="1:7">
      <c r="A256" s="378"/>
      <c r="B256" s="379"/>
      <c r="C256" s="379"/>
      <c r="D256" s="379"/>
      <c r="E256" s="379"/>
      <c r="F256" s="379"/>
      <c r="G256" s="380"/>
    </row>
    <row r="257" spans="1:7">
      <c r="A257" s="381"/>
      <c r="B257" s="109" t="s">
        <v>82</v>
      </c>
      <c r="C257" s="76"/>
      <c r="D257" s="76"/>
      <c r="E257" s="76"/>
      <c r="F257" s="76"/>
      <c r="G257" s="382"/>
    </row>
    <row r="258" spans="1:7">
      <c r="A258" s="381"/>
      <c r="B258" s="76"/>
      <c r="C258" s="76"/>
      <c r="D258" s="76"/>
      <c r="E258" s="76"/>
      <c r="F258" s="76"/>
      <c r="G258" s="382"/>
    </row>
    <row r="259" spans="1:7">
      <c r="A259" s="381"/>
      <c r="B259" s="76" t="s">
        <v>182</v>
      </c>
      <c r="C259" s="76" t="str">
        <f>VLOOKUP(G260,'9_1'!$A$12:$G$49,7,0)</f>
        <v>(ATILIO)BRAGAGNOLO, FRANCISCO Y BRAGAGNOLO, LUIS</v>
      </c>
      <c r="D259" s="76"/>
      <c r="E259" s="76"/>
      <c r="F259" s="76"/>
      <c r="G259" s="383" t="s">
        <v>134</v>
      </c>
    </row>
    <row r="260" spans="1:7">
      <c r="A260" s="381"/>
      <c r="B260" s="76" t="s">
        <v>91</v>
      </c>
      <c r="C260" s="76" t="str">
        <f>+'9_1'!$H$2</f>
        <v>Hijuela Tres Hermanos</v>
      </c>
      <c r="D260" s="76"/>
      <c r="E260" s="76"/>
      <c r="F260" s="76"/>
      <c r="G260" s="383">
        <v>16</v>
      </c>
    </row>
    <row r="261" spans="1:7">
      <c r="A261" s="381"/>
      <c r="B261" s="76"/>
      <c r="C261" s="76"/>
      <c r="D261" s="76"/>
      <c r="E261" s="76"/>
      <c r="F261" s="76"/>
      <c r="G261" s="382"/>
    </row>
    <row r="262" spans="1:7">
      <c r="A262" s="381"/>
      <c r="B262" s="635" t="s">
        <v>183</v>
      </c>
      <c r="C262" s="331">
        <f>VLOOKUP(G260,'9_1'!$A$12:$B$49,2,0)</f>
        <v>1245</v>
      </c>
      <c r="D262" s="76"/>
      <c r="E262" s="635" t="s">
        <v>184</v>
      </c>
      <c r="F262" s="347">
        <f>DSUM('9_1'!A$12:J$49,'9_1'!$J$12,G259:G260)</f>
        <v>3.9641651396157947E-2</v>
      </c>
      <c r="G262" s="382"/>
    </row>
    <row r="263" spans="1:7">
      <c r="A263" s="381"/>
      <c r="B263" s="635" t="s">
        <v>185</v>
      </c>
      <c r="C263" s="374" t="s">
        <v>383</v>
      </c>
      <c r="D263" s="76"/>
      <c r="E263" s="635" t="s">
        <v>186</v>
      </c>
      <c r="F263" s="368" t="str">
        <f>IF(VLOOKUP(G260,'9_1'!$A$12:$D$49,4,0)=2,"Eventual 80%","Definitivo 100%")</f>
        <v>Eventual 80%</v>
      </c>
      <c r="G263" s="382"/>
    </row>
    <row r="264" spans="1:7">
      <c r="A264" s="381"/>
      <c r="B264" s="635" t="s">
        <v>187</v>
      </c>
      <c r="C264" s="375">
        <f>DSUM('9_1'!$A$12:$H$49,'9_1'!$H$12,G259:G260)</f>
        <v>3.6816000000000004</v>
      </c>
      <c r="D264" s="76"/>
      <c r="E264" s="635" t="s">
        <v>188</v>
      </c>
      <c r="F264" s="369" t="str">
        <f>+Hijuelas!$G$5</f>
        <v>fracción</v>
      </c>
      <c r="G264" s="384"/>
    </row>
    <row r="265" spans="1:7" ht="15.75">
      <c r="A265" s="381"/>
      <c r="B265" s="76"/>
      <c r="C265" s="635" t="s">
        <v>189</v>
      </c>
      <c r="D265" s="107">
        <f>DMIN('9_1'!A$12:K$49,'9_1'!$K$12,G259:G260)</f>
        <v>42976.965861511868</v>
      </c>
      <c r="E265" s="127" t="str">
        <f>IF(F265=1,"Domingo",IF(F265=2,"Lunes",IF(F265=3,"Martes",IF(F265=4,"Miercoles",IF(F265=5,"Jueves",IF(F265=6,"Viernes",IF(F265=7,"Sábado",0)))))))</f>
        <v>Martes</v>
      </c>
      <c r="F265" s="128">
        <f>WEEKDAY(D265)</f>
        <v>3</v>
      </c>
      <c r="G265" s="385"/>
    </row>
    <row r="266" spans="1:7" ht="15.75">
      <c r="A266" s="381"/>
      <c r="B266" s="76"/>
      <c r="C266" s="635" t="s">
        <v>190</v>
      </c>
      <c r="D266" s="107">
        <f>DMAX('9_1'!A$12:L$49,'9_1'!$L$12,G259:G260)</f>
        <v>42977.026336496601</v>
      </c>
      <c r="E266" s="127" t="str">
        <f>IF(F266=1,"Domingo",IF(F266=2,"Lunes",IF(F266=3,"Martes",IF(F266=4,"Miercoles",IF(F266=5,"Jueves",IF(F266=6,"Viernes",IF(F266=7,"Sábado",0)))))))</f>
        <v>Miercoles</v>
      </c>
      <c r="F266" s="128">
        <f>WEEKDAY(D266)</f>
        <v>4</v>
      </c>
      <c r="G266" s="385"/>
    </row>
    <row r="267" spans="1:7">
      <c r="A267" s="381"/>
      <c r="B267" s="76"/>
      <c r="C267" s="76"/>
      <c r="D267" s="76"/>
      <c r="E267" s="76"/>
      <c r="F267" s="106"/>
      <c r="G267" s="384"/>
    </row>
    <row r="268" spans="1:7">
      <c r="A268" s="381"/>
      <c r="B268" s="108" t="str">
        <f>+Mensajes!$B$7</f>
        <v>PARA CUALQUIER MODIFICACION EN EL CUADRO DE TURNO COMUNIQUESE CON SU TOMERO</v>
      </c>
      <c r="C268" s="76"/>
      <c r="D268" s="76"/>
      <c r="E268" s="76"/>
      <c r="F268" s="76"/>
      <c r="G268" s="382"/>
    </row>
    <row r="269" spans="1:7">
      <c r="A269" s="381"/>
      <c r="B269" s="108" t="str">
        <f>+Mensajes!$B$12</f>
        <v>Recuerde que con 1 (una) cuotas vigentes impagas se restringirá el servicio.</v>
      </c>
      <c r="C269" s="76"/>
      <c r="D269" s="76"/>
      <c r="E269" s="76"/>
      <c r="F269" s="76"/>
      <c r="G269" s="382"/>
    </row>
    <row r="270" spans="1:7">
      <c r="A270" s="381"/>
      <c r="B270" s="108"/>
      <c r="C270" s="76"/>
      <c r="D270" s="76"/>
      <c r="E270" s="76"/>
      <c r="F270" s="76"/>
      <c r="G270" s="382"/>
    </row>
    <row r="271" spans="1:7" ht="13.5" thickBot="1">
      <c r="A271" s="386"/>
      <c r="B271" s="387" t="str">
        <f>IF(DSUM('9_1'!$A$12:$P$82,16,G259:G260)=COUNTIF('9_1'!$A$13:$A$82,G260),"","Regularice su Deuda")</f>
        <v/>
      </c>
      <c r="C271" s="326"/>
      <c r="D271" s="326"/>
      <c r="E271" s="326"/>
      <c r="F271" s="326"/>
      <c r="G271" s="388"/>
    </row>
    <row r="272" spans="1:7" ht="13.5" thickBot="1"/>
    <row r="273" spans="1:7">
      <c r="A273" s="378"/>
      <c r="B273" s="379"/>
      <c r="C273" s="379"/>
      <c r="D273" s="379"/>
      <c r="E273" s="379"/>
      <c r="F273" s="379"/>
      <c r="G273" s="380"/>
    </row>
    <row r="274" spans="1:7">
      <c r="A274" s="381"/>
      <c r="B274" s="109" t="s">
        <v>82</v>
      </c>
      <c r="C274" s="76"/>
      <c r="D274" s="76"/>
      <c r="E274" s="76"/>
      <c r="F274" s="76"/>
      <c r="G274" s="382"/>
    </row>
    <row r="275" spans="1:7">
      <c r="A275" s="381"/>
      <c r="B275" s="76"/>
      <c r="C275" s="76"/>
      <c r="D275" s="76"/>
      <c r="E275" s="76"/>
      <c r="F275" s="76"/>
      <c r="G275" s="382"/>
    </row>
    <row r="276" spans="1:7">
      <c r="A276" s="381"/>
      <c r="B276" s="76" t="s">
        <v>182</v>
      </c>
      <c r="C276" s="76" t="str">
        <f>VLOOKUP(G277,'9_1'!$A$12:$G$49,7,0)</f>
        <v>(RODOLFO)BRAGAGNOLO, FRANCISCO Y BRAGAGNOLO, LUIS</v>
      </c>
      <c r="D276" s="76"/>
      <c r="E276" s="76"/>
      <c r="F276" s="76"/>
      <c r="G276" s="383" t="s">
        <v>134</v>
      </c>
    </row>
    <row r="277" spans="1:7">
      <c r="A277" s="381"/>
      <c r="B277" s="76" t="s">
        <v>91</v>
      </c>
      <c r="C277" s="76" t="str">
        <f>+'9_1'!$H$2</f>
        <v>Hijuela Tres Hermanos</v>
      </c>
      <c r="D277" s="76"/>
      <c r="E277" s="76"/>
      <c r="F277" s="76"/>
      <c r="G277" s="383">
        <v>17</v>
      </c>
    </row>
    <row r="278" spans="1:7">
      <c r="A278" s="381"/>
      <c r="B278" s="76"/>
      <c r="C278" s="76"/>
      <c r="D278" s="76"/>
      <c r="E278" s="76"/>
      <c r="F278" s="76"/>
      <c r="G278" s="382"/>
    </row>
    <row r="279" spans="1:7">
      <c r="A279" s="381"/>
      <c r="B279" s="635" t="s">
        <v>183</v>
      </c>
      <c r="C279" s="331">
        <f>VLOOKUP(G277,'9_1'!$A$12:$B$49,2,0)</f>
        <v>1245</v>
      </c>
      <c r="D279" s="76"/>
      <c r="E279" s="635" t="s">
        <v>184</v>
      </c>
      <c r="F279" s="347">
        <f>DSUM('9_1'!A$12:J$49,'9_1'!$J$12,G276:G277)</f>
        <v>4.0470318685230176E-2</v>
      </c>
      <c r="G279" s="382"/>
    </row>
    <row r="280" spans="1:7">
      <c r="A280" s="381"/>
      <c r="B280" s="635" t="s">
        <v>185</v>
      </c>
      <c r="C280" s="374" t="s">
        <v>384</v>
      </c>
      <c r="D280" s="76"/>
      <c r="E280" s="635" t="s">
        <v>186</v>
      </c>
      <c r="F280" s="368" t="str">
        <f>IF(VLOOKUP(G277,'9_1'!$A$12:$D$49,4,0)=2,"Eventual 80%","Definitivo 100%")</f>
        <v>Eventual 80%</v>
      </c>
      <c r="G280" s="382"/>
    </row>
    <row r="281" spans="1:7">
      <c r="A281" s="381"/>
      <c r="B281" s="635" t="s">
        <v>187</v>
      </c>
      <c r="C281" s="375">
        <f>DSUM('9_1'!$A$12:$H$49,'9_1'!$H$12,G276:G277)</f>
        <v>3.7585600000000001</v>
      </c>
      <c r="D281" s="76"/>
      <c r="E281" s="635" t="s">
        <v>188</v>
      </c>
      <c r="F281" s="369" t="str">
        <f>+Hijuelas!$G$5</f>
        <v>fracción</v>
      </c>
      <c r="G281" s="384"/>
    </row>
    <row r="282" spans="1:7" ht="15.75">
      <c r="A282" s="381"/>
      <c r="B282" s="76"/>
      <c r="C282" s="635" t="s">
        <v>189</v>
      </c>
      <c r="D282" s="107">
        <f>DMIN('9_1'!A$12:K$49,'9_1'!$K$12,G276:G277)</f>
        <v>42977.026336496601</v>
      </c>
      <c r="E282" s="127" t="str">
        <f>IF(F282=1,"Domingo",IF(F282=2,"Lunes",IF(F282=3,"Martes",IF(F282=4,"Miercoles",IF(F282=5,"Jueves",IF(F282=6,"Viernes",IF(F282=7,"Sábado",0)))))))</f>
        <v>Miercoles</v>
      </c>
      <c r="F282" s="128">
        <f>WEEKDAY(D282)</f>
        <v>4</v>
      </c>
      <c r="G282" s="385"/>
    </row>
    <row r="283" spans="1:7" ht="15.75">
      <c r="A283" s="381"/>
      <c r="B283" s="76"/>
      <c r="C283" s="635" t="s">
        <v>190</v>
      </c>
      <c r="D283" s="107">
        <f>DMAX('9_1'!A$12:L$49,'9_1'!$L$12,G276:G277)</f>
        <v>42977.087640148624</v>
      </c>
      <c r="E283" s="127" t="str">
        <f>IF(F283=1,"Domingo",IF(F283=2,"Lunes",IF(F283=3,"Martes",IF(F283=4,"Miercoles",IF(F283=5,"Jueves",IF(F283=6,"Viernes",IF(F283=7,"Sábado",0)))))))</f>
        <v>Miercoles</v>
      </c>
      <c r="F283" s="128">
        <f>WEEKDAY(D283)</f>
        <v>4</v>
      </c>
      <c r="G283" s="385"/>
    </row>
    <row r="284" spans="1:7">
      <c r="A284" s="381"/>
      <c r="B284" s="76"/>
      <c r="C284" s="76"/>
      <c r="D284" s="76"/>
      <c r="E284" s="76"/>
      <c r="F284" s="106"/>
      <c r="G284" s="384"/>
    </row>
    <row r="285" spans="1:7">
      <c r="A285" s="381"/>
      <c r="B285" s="108" t="str">
        <f>+Mensajes!$B$7</f>
        <v>PARA CUALQUIER MODIFICACION EN EL CUADRO DE TURNO COMUNIQUESE CON SU TOMERO</v>
      </c>
      <c r="C285" s="76"/>
      <c r="D285" s="76"/>
      <c r="E285" s="76"/>
      <c r="F285" s="76"/>
      <c r="G285" s="382"/>
    </row>
    <row r="286" spans="1:7">
      <c r="A286" s="381"/>
      <c r="B286" s="108" t="str">
        <f>+Mensajes!$B$12</f>
        <v>Recuerde que con 1 (una) cuotas vigentes impagas se restringirá el servicio.</v>
      </c>
      <c r="C286" s="76"/>
      <c r="D286" s="76"/>
      <c r="E286" s="76"/>
      <c r="F286" s="76"/>
      <c r="G286" s="382"/>
    </row>
    <row r="287" spans="1:7">
      <c r="A287" s="381"/>
      <c r="B287" s="108"/>
      <c r="C287" s="76"/>
      <c r="D287" s="76"/>
      <c r="E287" s="76"/>
      <c r="F287" s="76"/>
      <c r="G287" s="382"/>
    </row>
    <row r="288" spans="1:7" ht="13.5" thickBot="1">
      <c r="A288" s="386"/>
      <c r="B288" s="387" t="str">
        <f>IF(DSUM('9_1'!$A$12:$P$82,16,G276:G277)=COUNTIF('9_1'!$A$13:$A$82,G277),"","Regularice su Deuda")</f>
        <v/>
      </c>
      <c r="C288" s="326"/>
      <c r="D288" s="326"/>
      <c r="E288" s="326"/>
      <c r="F288" s="326"/>
      <c r="G288" s="388"/>
    </row>
    <row r="289" spans="1:7" ht="13.5" thickBot="1"/>
    <row r="290" spans="1:7">
      <c r="A290" s="378"/>
      <c r="B290" s="379"/>
      <c r="C290" s="379"/>
      <c r="D290" s="379"/>
      <c r="E290" s="379"/>
      <c r="F290" s="379"/>
      <c r="G290" s="380"/>
    </row>
    <row r="291" spans="1:7">
      <c r="A291" s="381"/>
      <c r="B291" s="109" t="s">
        <v>82</v>
      </c>
      <c r="C291" s="76"/>
      <c r="D291" s="76"/>
      <c r="E291" s="76"/>
      <c r="F291" s="76"/>
      <c r="G291" s="382"/>
    </row>
    <row r="292" spans="1:7">
      <c r="A292" s="381"/>
      <c r="B292" s="76"/>
      <c r="C292" s="76"/>
      <c r="D292" s="76"/>
      <c r="E292" s="76"/>
      <c r="F292" s="76"/>
      <c r="G292" s="382"/>
    </row>
    <row r="293" spans="1:7">
      <c r="A293" s="381"/>
      <c r="B293" s="76" t="s">
        <v>182</v>
      </c>
      <c r="C293" s="76" t="str">
        <f>VLOOKUP(G294,'9_1'!$A$12:$G$49,7,0)</f>
        <v>(ORLANDO)BRAGAGNOLO, FRANCISCO Y BRAGAGNOLO, LUIS</v>
      </c>
      <c r="D293" s="76"/>
      <c r="E293" s="76"/>
      <c r="F293" s="76"/>
      <c r="G293" s="383" t="s">
        <v>134</v>
      </c>
    </row>
    <row r="294" spans="1:7">
      <c r="A294" s="381"/>
      <c r="B294" s="76" t="s">
        <v>91</v>
      </c>
      <c r="C294" s="76" t="str">
        <f>+'9_1'!$H$2</f>
        <v>Hijuela Tres Hermanos</v>
      </c>
      <c r="D294" s="76"/>
      <c r="E294" s="76"/>
      <c r="F294" s="76"/>
      <c r="G294" s="383">
        <v>18</v>
      </c>
    </row>
    <row r="295" spans="1:7">
      <c r="A295" s="381"/>
      <c r="B295" s="76"/>
      <c r="C295" s="76"/>
      <c r="D295" s="76"/>
      <c r="E295" s="76"/>
      <c r="F295" s="76"/>
      <c r="G295" s="382"/>
    </row>
    <row r="296" spans="1:7">
      <c r="A296" s="381"/>
      <c r="B296" s="635" t="s">
        <v>183</v>
      </c>
      <c r="C296" s="331">
        <f>VLOOKUP(G294,'9_1'!$A$12:$B$49,2,0)</f>
        <v>1245</v>
      </c>
      <c r="D296" s="76"/>
      <c r="E296" s="635" t="s">
        <v>184</v>
      </c>
      <c r="F296" s="347">
        <f>DSUM('9_1'!A$12:J$49,'9_1'!$J$12,G293:G294)</f>
        <v>5.0562487041540177E-2</v>
      </c>
      <c r="G296" s="382"/>
    </row>
    <row r="297" spans="1:7">
      <c r="A297" s="381"/>
      <c r="B297" s="635" t="s">
        <v>185</v>
      </c>
      <c r="C297" s="374" t="s">
        <v>385</v>
      </c>
      <c r="D297" s="76"/>
      <c r="E297" s="635" t="s">
        <v>186</v>
      </c>
      <c r="F297" s="368" t="str">
        <f>IF(VLOOKUP(G294,'9_1'!$A$12:$D$49,4,0)=2,"Eventual 80%","Definitivo 100%")</f>
        <v>Eventual 80%</v>
      </c>
      <c r="G297" s="382"/>
    </row>
    <row r="298" spans="1:7">
      <c r="A298" s="381"/>
      <c r="B298" s="635" t="s">
        <v>187</v>
      </c>
      <c r="C298" s="375">
        <f>DSUM('9_1'!$A$12:$H$49,'9_1'!$H$12,G293:G294)</f>
        <v>4.6958400000000005</v>
      </c>
      <c r="D298" s="76"/>
      <c r="E298" s="635" t="s">
        <v>188</v>
      </c>
      <c r="F298" s="369" t="str">
        <f>+Hijuelas!$G$5</f>
        <v>fracción</v>
      </c>
      <c r="G298" s="384"/>
    </row>
    <row r="299" spans="1:7" ht="15.75">
      <c r="A299" s="381"/>
      <c r="B299" s="76"/>
      <c r="C299" s="635" t="s">
        <v>189</v>
      </c>
      <c r="D299" s="107">
        <f>DMIN('9_1'!A$12:K$49,'9_1'!$K$12,G293:G294)</f>
        <v>42977.087640148624</v>
      </c>
      <c r="E299" s="127" t="str">
        <f>IF(F299=1,"Domingo",IF(F299=2,"Lunes",IF(F299=3,"Martes",IF(F299=4,"Miercoles",IF(F299=5,"Jueves",IF(F299=6,"Viernes",IF(F299=7,"Sábado",0)))))))</f>
        <v>Miercoles</v>
      </c>
      <c r="F299" s="128">
        <f>WEEKDAY(D299)</f>
        <v>4</v>
      </c>
      <c r="G299" s="385"/>
    </row>
    <row r="300" spans="1:7" ht="15.75">
      <c r="A300" s="381"/>
      <c r="B300" s="76"/>
      <c r="C300" s="635" t="s">
        <v>190</v>
      </c>
      <c r="D300" s="107">
        <f>DMAX('9_1'!A$12:L$49,'9_1'!$L$12,G293:G294)</f>
        <v>42977.17986930233</v>
      </c>
      <c r="E300" s="127" t="str">
        <f>IF(F300=1,"Domingo",IF(F300=2,"Lunes",IF(F300=3,"Martes",IF(F300=4,"Miercoles",IF(F300=5,"Jueves",IF(F300=6,"Viernes",IF(F300=7,"Sábado",0)))))))</f>
        <v>Miercoles</v>
      </c>
      <c r="F300" s="128">
        <f>WEEKDAY(D300)</f>
        <v>4</v>
      </c>
      <c r="G300" s="385"/>
    </row>
    <row r="301" spans="1:7">
      <c r="A301" s="381"/>
      <c r="B301" s="76"/>
      <c r="C301" s="76"/>
      <c r="D301" s="76"/>
      <c r="E301" s="76"/>
      <c r="F301" s="106"/>
      <c r="G301" s="384"/>
    </row>
    <row r="302" spans="1:7">
      <c r="A302" s="381"/>
      <c r="B302" s="108" t="str">
        <f>+Mensajes!$B$7</f>
        <v>PARA CUALQUIER MODIFICACION EN EL CUADRO DE TURNO COMUNIQUESE CON SU TOMERO</v>
      </c>
      <c r="C302" s="76"/>
      <c r="D302" s="76"/>
      <c r="E302" s="76"/>
      <c r="F302" s="76"/>
      <c r="G302" s="382"/>
    </row>
    <row r="303" spans="1:7">
      <c r="A303" s="381"/>
      <c r="B303" s="108" t="str">
        <f>+Mensajes!$B$12</f>
        <v>Recuerde que con 1 (una) cuotas vigentes impagas se restringirá el servicio.</v>
      </c>
      <c r="C303" s="76"/>
      <c r="D303" s="76"/>
      <c r="E303" s="76"/>
      <c r="F303" s="76"/>
      <c r="G303" s="382"/>
    </row>
    <row r="304" spans="1:7">
      <c r="A304" s="381"/>
      <c r="B304" s="108"/>
      <c r="C304" s="76"/>
      <c r="D304" s="76"/>
      <c r="E304" s="76"/>
      <c r="F304" s="76"/>
      <c r="G304" s="382"/>
    </row>
    <row r="305" spans="1:7" ht="13.5" thickBot="1">
      <c r="A305" s="386"/>
      <c r="B305" s="387" t="str">
        <f>IF(DSUM('9_1'!$A$12:$P$82,16,G293:G294)=COUNTIF('9_1'!$A$13:$A$82,G294),"","Regularice su Deuda")</f>
        <v/>
      </c>
      <c r="C305" s="326"/>
      <c r="D305" s="326"/>
      <c r="E305" s="326"/>
      <c r="F305" s="326"/>
      <c r="G305" s="388"/>
    </row>
    <row r="306" spans="1:7" ht="13.5" thickBot="1"/>
    <row r="307" spans="1:7">
      <c r="A307" s="378"/>
      <c r="B307" s="379"/>
      <c r="C307" s="379"/>
      <c r="D307" s="379"/>
      <c r="E307" s="379"/>
      <c r="F307" s="379"/>
      <c r="G307" s="380"/>
    </row>
    <row r="308" spans="1:7">
      <c r="A308" s="381"/>
      <c r="B308" s="109" t="s">
        <v>82</v>
      </c>
      <c r="C308" s="76"/>
      <c r="D308" s="76"/>
      <c r="E308" s="76"/>
      <c r="F308" s="76"/>
      <c r="G308" s="382"/>
    </row>
    <row r="309" spans="1:7">
      <c r="A309" s="381"/>
      <c r="B309" s="76"/>
      <c r="C309" s="76"/>
      <c r="D309" s="76"/>
      <c r="E309" s="76"/>
      <c r="F309" s="76"/>
      <c r="G309" s="382"/>
    </row>
    <row r="310" spans="1:7">
      <c r="A310" s="381"/>
      <c r="B310" s="76" t="s">
        <v>182</v>
      </c>
      <c r="C310" s="76" t="str">
        <f>VLOOKUP(G311,'9_1'!$A$12:$G$49,7,0)</f>
        <v>QUIROGA, YOLANDA RAQUEL</v>
      </c>
      <c r="D310" s="76"/>
      <c r="E310" s="76"/>
      <c r="F310" s="76"/>
      <c r="G310" s="383" t="s">
        <v>134</v>
      </c>
    </row>
    <row r="311" spans="1:7">
      <c r="A311" s="381"/>
      <c r="B311" s="76" t="s">
        <v>91</v>
      </c>
      <c r="C311" s="76" t="str">
        <f>+'9_1'!$H$2</f>
        <v>Hijuela Tres Hermanos</v>
      </c>
      <c r="D311" s="76"/>
      <c r="E311" s="76"/>
      <c r="F311" s="76"/>
      <c r="G311" s="383">
        <v>19</v>
      </c>
    </row>
    <row r="312" spans="1:7">
      <c r="A312" s="381"/>
      <c r="B312" s="76"/>
      <c r="C312" s="76"/>
      <c r="D312" s="76"/>
      <c r="E312" s="76"/>
      <c r="F312" s="76"/>
      <c r="G312" s="382"/>
    </row>
    <row r="313" spans="1:7">
      <c r="A313" s="381"/>
      <c r="B313" s="635" t="s">
        <v>183</v>
      </c>
      <c r="C313" s="331">
        <f>VLOOKUP(G311,'9_1'!$A$12:$B$49,2,0)</f>
        <v>1245</v>
      </c>
      <c r="D313" s="76"/>
      <c r="E313" s="635" t="s">
        <v>184</v>
      </c>
      <c r="F313" s="347">
        <f>DSUM('9_1'!A$12:J$49,'9_1'!$J$12,G310:G311)</f>
        <v>2.6055642577813679E-2</v>
      </c>
      <c r="G313" s="382"/>
    </row>
    <row r="314" spans="1:7">
      <c r="A314" s="381"/>
      <c r="B314" s="635" t="s">
        <v>185</v>
      </c>
      <c r="C314" s="374">
        <v>16</v>
      </c>
      <c r="D314" s="76"/>
      <c r="E314" s="635" t="s">
        <v>186</v>
      </c>
      <c r="F314" s="368" t="str">
        <f>IF(VLOOKUP(G311,'9_1'!$A$12:$D$49,4,0)=2,"Eventual 80%","Definitivo 100%")</f>
        <v>Eventual 80%</v>
      </c>
      <c r="G314" s="382"/>
    </row>
    <row r="315" spans="1:7">
      <c r="A315" s="381"/>
      <c r="B315" s="635" t="s">
        <v>187</v>
      </c>
      <c r="C315" s="375">
        <f>DSUM('9_1'!$A$12:$H$49,'9_1'!$H$12,G310:G311)</f>
        <v>2.4198400000000002</v>
      </c>
      <c r="D315" s="76"/>
      <c r="E315" s="635" t="s">
        <v>188</v>
      </c>
      <c r="F315" s="369" t="str">
        <f>+Hijuelas!$G$5</f>
        <v>fracción</v>
      </c>
      <c r="G315" s="384"/>
    </row>
    <row r="316" spans="1:7" ht="15.75">
      <c r="A316" s="381"/>
      <c r="B316" s="76"/>
      <c r="C316" s="635" t="s">
        <v>189</v>
      </c>
      <c r="D316" s="107">
        <f>DMIN('9_1'!A$12:K$49,'9_1'!$K$12,G310:G311)</f>
        <v>42977.314793023193</v>
      </c>
      <c r="E316" s="127" t="str">
        <f>IF(F316=1,"Domingo",IF(F316=2,"Lunes",IF(F316=3,"Martes",IF(F316=4,"Miercoles",IF(F316=5,"Jueves",IF(F316=6,"Viernes",IF(F316=7,"Sábado",0)))))))</f>
        <v>Miercoles</v>
      </c>
      <c r="F316" s="128">
        <f>WEEKDAY(D316)</f>
        <v>4</v>
      </c>
      <c r="G316" s="385"/>
    </row>
    <row r="317" spans="1:7" ht="15.75">
      <c r="A317" s="381"/>
      <c r="B317" s="76"/>
      <c r="C317" s="635" t="s">
        <v>190</v>
      </c>
      <c r="D317" s="107">
        <f>DMAX('9_1'!A$12:L$49,'9_1'!$L$12,G310:G311)</f>
        <v>42977.424181999108</v>
      </c>
      <c r="E317" s="127" t="str">
        <f>IF(F317=1,"Domingo",IF(F317=2,"Lunes",IF(F317=3,"Martes",IF(F317=4,"Miercoles",IF(F317=5,"Jueves",IF(F317=6,"Viernes",IF(F317=7,"Sábado",0)))))))</f>
        <v>Miercoles</v>
      </c>
      <c r="F317" s="128">
        <f>WEEKDAY(D317)</f>
        <v>4</v>
      </c>
      <c r="G317" s="385"/>
    </row>
    <row r="318" spans="1:7">
      <c r="A318" s="381"/>
      <c r="B318" s="76"/>
      <c r="C318" s="76"/>
      <c r="D318" s="76"/>
      <c r="E318" s="76"/>
      <c r="F318" s="106"/>
      <c r="G318" s="384"/>
    </row>
    <row r="319" spans="1:7">
      <c r="A319" s="381"/>
      <c r="B319" s="108" t="str">
        <f>+Mensajes!$B$7</f>
        <v>PARA CUALQUIER MODIFICACION EN EL CUADRO DE TURNO COMUNIQUESE CON SU TOMERO</v>
      </c>
      <c r="C319" s="76"/>
      <c r="D319" s="76"/>
      <c r="E319" s="76"/>
      <c r="F319" s="76"/>
      <c r="G319" s="382"/>
    </row>
    <row r="320" spans="1:7">
      <c r="A320" s="381"/>
      <c r="B320" s="108" t="str">
        <f>+Mensajes!$B$12</f>
        <v>Recuerde que con 1 (una) cuotas vigentes impagas se restringirá el servicio.</v>
      </c>
      <c r="C320" s="76"/>
      <c r="D320" s="76"/>
      <c r="E320" s="76"/>
      <c r="F320" s="76"/>
      <c r="G320" s="382"/>
    </row>
    <row r="321" spans="1:7">
      <c r="A321" s="381"/>
      <c r="B321" s="108"/>
      <c r="C321" s="76"/>
      <c r="D321" s="76"/>
      <c r="E321" s="76"/>
      <c r="F321" s="76"/>
      <c r="G321" s="382"/>
    </row>
    <row r="322" spans="1:7" ht="13.5" thickBot="1">
      <c r="A322" s="386"/>
      <c r="B322" s="387" t="str">
        <f>IF(DSUM('9_1'!$A$12:$P$82,16,G310:G311)=COUNTIF('9_1'!$A$13:$A$82,G311),"","Regularice su Deuda")</f>
        <v/>
      </c>
      <c r="C322" s="326"/>
      <c r="D322" s="326"/>
      <c r="E322" s="326"/>
      <c r="F322" s="326"/>
      <c r="G322" s="388"/>
    </row>
    <row r="323" spans="1:7" ht="13.5" thickBot="1"/>
    <row r="324" spans="1:7">
      <c r="A324" s="378"/>
      <c r="B324" s="379"/>
      <c r="C324" s="379"/>
      <c r="D324" s="379"/>
      <c r="E324" s="379"/>
      <c r="F324" s="379"/>
      <c r="G324" s="380"/>
    </row>
    <row r="325" spans="1:7">
      <c r="A325" s="381"/>
      <c r="B325" s="109" t="s">
        <v>82</v>
      </c>
      <c r="C325" s="76"/>
      <c r="D325" s="76"/>
      <c r="E325" s="76"/>
      <c r="F325" s="76"/>
      <c r="G325" s="382"/>
    </row>
    <row r="326" spans="1:7">
      <c r="A326" s="381"/>
      <c r="B326" s="76"/>
      <c r="C326" s="76"/>
      <c r="D326" s="76"/>
      <c r="E326" s="76"/>
      <c r="F326" s="76"/>
      <c r="G326" s="382"/>
    </row>
    <row r="327" spans="1:7">
      <c r="A327" s="381"/>
      <c r="B327" s="76" t="s">
        <v>182</v>
      </c>
      <c r="C327" s="76" t="str">
        <f>VLOOKUP(G328,'9_1'!$A$12:$G$49,7,0)</f>
        <v>QUIROGA, PEDRO</v>
      </c>
      <c r="D327" s="76"/>
      <c r="E327" s="76"/>
      <c r="F327" s="76"/>
      <c r="G327" s="383" t="s">
        <v>134</v>
      </c>
    </row>
    <row r="328" spans="1:7">
      <c r="A328" s="381"/>
      <c r="B328" s="76" t="s">
        <v>91</v>
      </c>
      <c r="C328" s="76" t="str">
        <f>+'9_1'!$H$2</f>
        <v>Hijuela Tres Hermanos</v>
      </c>
      <c r="D328" s="76"/>
      <c r="E328" s="76"/>
      <c r="F328" s="76"/>
      <c r="G328" s="383">
        <v>20</v>
      </c>
    </row>
    <row r="329" spans="1:7">
      <c r="A329" s="381"/>
      <c r="B329" s="76"/>
      <c r="C329" s="76"/>
      <c r="D329" s="76"/>
      <c r="E329" s="76"/>
      <c r="F329" s="76"/>
      <c r="G329" s="382"/>
    </row>
    <row r="330" spans="1:7">
      <c r="A330" s="381"/>
      <c r="B330" s="635" t="s">
        <v>183</v>
      </c>
      <c r="C330" s="331">
        <f>VLOOKUP(G328,'9_1'!$A$12:$B$49,2,0)</f>
        <v>1245</v>
      </c>
      <c r="D330" s="76"/>
      <c r="E330" s="635" t="s">
        <v>184</v>
      </c>
      <c r="F330" s="347">
        <f>DSUM('9_1'!A$12:J$49,'9_1'!$J$12,G327:G328)</f>
        <v>1.4630026234514265E-2</v>
      </c>
      <c r="G330" s="382"/>
    </row>
    <row r="331" spans="1:7">
      <c r="A331" s="381"/>
      <c r="B331" s="635" t="s">
        <v>185</v>
      </c>
      <c r="C331" s="374">
        <v>22</v>
      </c>
      <c r="D331" s="76"/>
      <c r="E331" s="635" t="s">
        <v>186</v>
      </c>
      <c r="F331" s="368" t="str">
        <f>IF(VLOOKUP(G328,'9_1'!$A$12:$D$49,4,0)=2,"Eventual 80%","Definitivo 100%")</f>
        <v>Eventual 80%</v>
      </c>
      <c r="G331" s="382"/>
    </row>
    <row r="332" spans="1:7">
      <c r="A332" s="381"/>
      <c r="B332" s="635" t="s">
        <v>187</v>
      </c>
      <c r="C332" s="375">
        <f>DSUM('9_1'!$A$12:$H$49,'9_1'!$H$12,G327:G328)</f>
        <v>1.3587199999999999</v>
      </c>
      <c r="D332" s="76"/>
      <c r="E332" s="635" t="s">
        <v>188</v>
      </c>
      <c r="F332" s="369" t="str">
        <f>+Hijuelas!$G$5</f>
        <v>fracción</v>
      </c>
      <c r="G332" s="384"/>
    </row>
    <row r="333" spans="1:7" ht="15.75">
      <c r="A333" s="381"/>
      <c r="B333" s="76"/>
      <c r="C333" s="635" t="s">
        <v>189</v>
      </c>
      <c r="D333" s="107">
        <f>DMIN('9_1'!A$12:K$49,'9_1'!$K$12,G327:G328)</f>
        <v>42977.227246330294</v>
      </c>
      <c r="E333" s="127" t="str">
        <f>IF(F333=1,"Domingo",IF(F333=2,"Lunes",IF(F333=3,"Martes",IF(F333=4,"Miercoles",IF(F333=5,"Jueves",IF(F333=6,"Viernes",IF(F333=7,"Sábado",0)))))))</f>
        <v>Miercoles</v>
      </c>
      <c r="F333" s="128">
        <f>WEEKDAY(D333)</f>
        <v>4</v>
      </c>
      <c r="G333" s="385"/>
    </row>
    <row r="334" spans="1:7" ht="15.75">
      <c r="A334" s="381"/>
      <c r="B334" s="76"/>
      <c r="C334" s="635" t="s">
        <v>190</v>
      </c>
      <c r="D334" s="107">
        <f>DMAX('9_1'!A$12:L$49,'9_1'!$L$12,G327:G328)</f>
        <v>42977.314793023193</v>
      </c>
      <c r="E334" s="127" t="str">
        <f>IF(F334=1,"Domingo",IF(F334=2,"Lunes",IF(F334=3,"Martes",IF(F334=4,"Miercoles",IF(F334=5,"Jueves",IF(F334=6,"Viernes",IF(F334=7,"Sábado",0)))))))</f>
        <v>Miercoles</v>
      </c>
      <c r="F334" s="128">
        <f>WEEKDAY(D334)</f>
        <v>4</v>
      </c>
      <c r="G334" s="385"/>
    </row>
    <row r="335" spans="1:7">
      <c r="A335" s="381"/>
      <c r="B335" s="76"/>
      <c r="C335" s="76"/>
      <c r="D335" s="76"/>
      <c r="E335" s="76"/>
      <c r="F335" s="106"/>
      <c r="G335" s="384"/>
    </row>
    <row r="336" spans="1:7">
      <c r="A336" s="381"/>
      <c r="B336" s="108" t="str">
        <f>+Mensajes!$B$7</f>
        <v>PARA CUALQUIER MODIFICACION EN EL CUADRO DE TURNO COMUNIQUESE CON SU TOMERO</v>
      </c>
      <c r="C336" s="76"/>
      <c r="D336" s="76"/>
      <c r="E336" s="76"/>
      <c r="F336" s="76"/>
      <c r="G336" s="382"/>
    </row>
    <row r="337" spans="1:7">
      <c r="A337" s="381"/>
      <c r="B337" s="108" t="str">
        <f>+Mensajes!$B$12</f>
        <v>Recuerde que con 1 (una) cuotas vigentes impagas se restringirá el servicio.</v>
      </c>
      <c r="C337" s="76"/>
      <c r="D337" s="76"/>
      <c r="E337" s="76"/>
      <c r="F337" s="76"/>
      <c r="G337" s="382"/>
    </row>
    <row r="338" spans="1:7">
      <c r="A338" s="381"/>
      <c r="B338" s="108"/>
      <c r="C338" s="76"/>
      <c r="D338" s="76"/>
      <c r="E338" s="76"/>
      <c r="F338" s="76"/>
      <c r="G338" s="382"/>
    </row>
    <row r="339" spans="1:7" ht="13.5" thickBot="1">
      <c r="A339" s="386"/>
      <c r="B339" s="387" t="str">
        <f>IF(DSUM('9_1'!$A$12:$P$82,16,G327:G328)=COUNTIF('9_1'!$A$13:$A$82,G328),"","Regularice su Deuda")</f>
        <v/>
      </c>
      <c r="C339" s="326"/>
      <c r="D339" s="326"/>
      <c r="E339" s="326"/>
      <c r="F339" s="326"/>
      <c r="G339" s="388"/>
    </row>
    <row r="340" spans="1:7" ht="13.5" thickBot="1"/>
    <row r="341" spans="1:7">
      <c r="A341" s="378"/>
      <c r="B341" s="379"/>
      <c r="C341" s="379"/>
      <c r="D341" s="379"/>
      <c r="E341" s="379"/>
      <c r="F341" s="379"/>
      <c r="G341" s="380"/>
    </row>
    <row r="342" spans="1:7">
      <c r="A342" s="381"/>
      <c r="B342" s="109" t="s">
        <v>82</v>
      </c>
      <c r="C342" s="76"/>
      <c r="D342" s="76"/>
      <c r="E342" s="76"/>
      <c r="F342" s="76"/>
      <c r="G342" s="382"/>
    </row>
    <row r="343" spans="1:7">
      <c r="A343" s="381"/>
      <c r="B343" s="76"/>
      <c r="C343" s="76"/>
      <c r="D343" s="76"/>
      <c r="E343" s="76"/>
      <c r="F343" s="76"/>
      <c r="G343" s="382"/>
    </row>
    <row r="344" spans="1:7">
      <c r="A344" s="381"/>
      <c r="B344" s="76" t="s">
        <v>182</v>
      </c>
      <c r="C344" s="76" t="str">
        <f>VLOOKUP(G345,'9_1'!$A$12:$G$49,7,0)</f>
        <v>BENENATTI, ARIEL</v>
      </c>
      <c r="D344" s="76"/>
      <c r="E344" s="76"/>
      <c r="F344" s="76"/>
      <c r="G344" s="383" t="s">
        <v>134</v>
      </c>
    </row>
    <row r="345" spans="1:7">
      <c r="A345" s="381"/>
      <c r="B345" s="76" t="s">
        <v>91</v>
      </c>
      <c r="C345" s="76" t="str">
        <f>+'9_1'!$H$2</f>
        <v>Hijuela Tres Hermanos</v>
      </c>
      <c r="D345" s="76"/>
      <c r="E345" s="76"/>
      <c r="F345" s="76"/>
      <c r="G345" s="383">
        <v>21</v>
      </c>
    </row>
    <row r="346" spans="1:7">
      <c r="A346" s="381"/>
      <c r="B346" s="76"/>
      <c r="C346" s="76"/>
      <c r="D346" s="76"/>
      <c r="E346" s="76"/>
      <c r="F346" s="76"/>
      <c r="G346" s="382"/>
    </row>
    <row r="347" spans="1:7">
      <c r="A347" s="381"/>
      <c r="B347" s="635" t="s">
        <v>183</v>
      </c>
      <c r="C347" s="331">
        <f>VLOOKUP(G345,'9_1'!$A$12:$B$49,2,0)</f>
        <v>1245</v>
      </c>
      <c r="D347" s="76"/>
      <c r="E347" s="635" t="s">
        <v>184</v>
      </c>
      <c r="F347" s="347">
        <f>DSUM('9_1'!A$12:J$49,'9_1'!$J$12,G344:G345)</f>
        <v>4.7377027961509929E-2</v>
      </c>
      <c r="G347" s="382"/>
    </row>
    <row r="348" spans="1:7">
      <c r="A348" s="381"/>
      <c r="B348" s="635" t="s">
        <v>185</v>
      </c>
      <c r="C348" s="374">
        <v>72</v>
      </c>
      <c r="D348" s="76"/>
      <c r="E348" s="635" t="s">
        <v>186</v>
      </c>
      <c r="F348" s="368" t="str">
        <f>IF(VLOOKUP(G345,'9_1'!$A$12:$D$49,4,0)=2,"Eventual 80%","Definitivo 100%")</f>
        <v>Eventual 80%</v>
      </c>
      <c r="G348" s="382"/>
    </row>
    <row r="349" spans="1:7">
      <c r="A349" s="381"/>
      <c r="B349" s="635" t="s">
        <v>187</v>
      </c>
      <c r="C349" s="375">
        <f>DSUM('9_1'!$A$12:$H$49,'9_1'!$H$12,G344:G345)</f>
        <v>4.4000000000000004</v>
      </c>
      <c r="D349" s="76"/>
      <c r="E349" s="635" t="s">
        <v>188</v>
      </c>
      <c r="F349" s="369" t="str">
        <f>+Hijuelas!$G$5</f>
        <v>fracción</v>
      </c>
      <c r="G349" s="384"/>
    </row>
    <row r="350" spans="1:7" ht="15.75">
      <c r="A350" s="381"/>
      <c r="B350" s="76"/>
      <c r="C350" s="635" t="s">
        <v>189</v>
      </c>
      <c r="D350" s="107">
        <f>DMIN('9_1'!A$12:K$49,'9_1'!$K$12,G344:G345)</f>
        <v>42977.17986930233</v>
      </c>
      <c r="E350" s="127" t="str">
        <f>IF(F350=1,"Domingo",IF(F350=2,"Lunes",IF(F350=3,"Martes",IF(F350=4,"Miercoles",IF(F350=5,"Jueves",IF(F350=6,"Viernes",IF(F350=7,"Sábado",0)))))))</f>
        <v>Miercoles</v>
      </c>
      <c r="F350" s="128">
        <f>WEEKDAY(D350)</f>
        <v>4</v>
      </c>
      <c r="G350" s="385"/>
    </row>
    <row r="351" spans="1:7" ht="15.75">
      <c r="A351" s="381"/>
      <c r="B351" s="76"/>
      <c r="C351" s="635" t="s">
        <v>190</v>
      </c>
      <c r="D351" s="107">
        <f>DMAX('9_1'!A$12:L$49,'9_1'!$L$12,G344:G345)</f>
        <v>42977.227246330294</v>
      </c>
      <c r="E351" s="127" t="str">
        <f>IF(F351=1,"Domingo",IF(F351=2,"Lunes",IF(F351=3,"Martes",IF(F351=4,"Miercoles",IF(F351=5,"Jueves",IF(F351=6,"Viernes",IF(F351=7,"Sábado",0)))))))</f>
        <v>Miercoles</v>
      </c>
      <c r="F351" s="128">
        <f>WEEKDAY(D351)</f>
        <v>4</v>
      </c>
      <c r="G351" s="385"/>
    </row>
    <row r="352" spans="1:7">
      <c r="A352" s="381"/>
      <c r="B352" s="76"/>
      <c r="C352" s="76"/>
      <c r="D352" s="76"/>
      <c r="E352" s="76"/>
      <c r="F352" s="106"/>
      <c r="G352" s="384"/>
    </row>
    <row r="353" spans="1:7">
      <c r="A353" s="381"/>
      <c r="B353" s="108" t="str">
        <f>+Mensajes!$B$7</f>
        <v>PARA CUALQUIER MODIFICACION EN EL CUADRO DE TURNO COMUNIQUESE CON SU TOMERO</v>
      </c>
      <c r="C353" s="76"/>
      <c r="D353" s="76"/>
      <c r="E353" s="76"/>
      <c r="F353" s="76"/>
      <c r="G353" s="382"/>
    </row>
    <row r="354" spans="1:7">
      <c r="A354" s="381"/>
      <c r="B354" s="108" t="str">
        <f>+Mensajes!$B$12</f>
        <v>Recuerde que con 1 (una) cuotas vigentes impagas se restringirá el servicio.</v>
      </c>
      <c r="C354" s="76"/>
      <c r="D354" s="76"/>
      <c r="E354" s="76"/>
      <c r="F354" s="76"/>
      <c r="G354" s="382"/>
    </row>
    <row r="355" spans="1:7">
      <c r="A355" s="381"/>
      <c r="B355" s="108"/>
      <c r="C355" s="76"/>
      <c r="D355" s="76"/>
      <c r="E355" s="76"/>
      <c r="F355" s="76"/>
      <c r="G355" s="382"/>
    </row>
    <row r="356" spans="1:7" ht="13.5" thickBot="1">
      <c r="A356" s="386"/>
      <c r="B356" s="387" t="str">
        <f>IF(DSUM('9_1'!$A$12:$P$82,16,G344:G345)=COUNTIF('9_1'!$A$13:$A$82,G345),"","Regularice su Deuda")</f>
        <v/>
      </c>
      <c r="C356" s="326"/>
      <c r="D356" s="326"/>
      <c r="E356" s="326"/>
      <c r="F356" s="326"/>
      <c r="G356" s="388"/>
    </row>
    <row r="357" spans="1:7" ht="13.5" thickBot="1"/>
    <row r="358" spans="1:7">
      <c r="A358" s="378"/>
      <c r="B358" s="379"/>
      <c r="C358" s="379"/>
      <c r="D358" s="379"/>
      <c r="E358" s="379"/>
      <c r="F358" s="379"/>
      <c r="G358" s="380"/>
    </row>
    <row r="359" spans="1:7">
      <c r="A359" s="381"/>
      <c r="B359" s="109" t="s">
        <v>82</v>
      </c>
      <c r="C359" s="76"/>
      <c r="D359" s="76"/>
      <c r="E359" s="76"/>
      <c r="F359" s="76"/>
      <c r="G359" s="382"/>
    </row>
    <row r="360" spans="1:7">
      <c r="A360" s="381"/>
      <c r="B360" s="76"/>
      <c r="C360" s="76"/>
      <c r="D360" s="76"/>
      <c r="E360" s="76"/>
      <c r="F360" s="76"/>
      <c r="G360" s="382"/>
    </row>
    <row r="361" spans="1:7">
      <c r="A361" s="381"/>
      <c r="B361" s="76" t="s">
        <v>182</v>
      </c>
      <c r="C361" s="76" t="str">
        <f>VLOOKUP(G362,'9_1'!$A$12:$G$49,7,0)</f>
        <v>CECCHIN VDA.DE RIGHI, MARIA ANA O QUIROGA</v>
      </c>
      <c r="D361" s="76"/>
      <c r="E361" s="76"/>
      <c r="F361" s="76"/>
      <c r="G361" s="383" t="s">
        <v>134</v>
      </c>
    </row>
    <row r="362" spans="1:7">
      <c r="A362" s="381"/>
      <c r="B362" s="76" t="s">
        <v>91</v>
      </c>
      <c r="C362" s="76" t="str">
        <f>+'9_1'!$H$2</f>
        <v>Hijuela Tres Hermanos</v>
      </c>
      <c r="D362" s="76"/>
      <c r="E362" s="76"/>
      <c r="F362" s="76"/>
      <c r="G362" s="383">
        <v>22</v>
      </c>
    </row>
    <row r="363" spans="1:7">
      <c r="A363" s="381"/>
      <c r="B363" s="76"/>
      <c r="C363" s="76"/>
      <c r="D363" s="76"/>
      <c r="E363" s="76"/>
      <c r="F363" s="76"/>
      <c r="G363" s="382"/>
    </row>
    <row r="364" spans="1:7">
      <c r="A364" s="381"/>
      <c r="B364" s="635" t="s">
        <v>183</v>
      </c>
      <c r="C364" s="331">
        <f>VLOOKUP(G362,'9_1'!$A$12:$B$49,2,0)</f>
        <v>1245</v>
      </c>
      <c r="D364" s="76"/>
      <c r="E364" s="635" t="s">
        <v>184</v>
      </c>
      <c r="F364" s="347">
        <f>DSUM('9_1'!A$12:J$49,'9_1'!$J$12,G361:G362)</f>
        <v>4.4568000903646585E-2</v>
      </c>
      <c r="G364" s="382"/>
    </row>
    <row r="365" spans="1:7">
      <c r="A365" s="381"/>
      <c r="B365" s="635" t="s">
        <v>185</v>
      </c>
      <c r="C365" s="374">
        <v>28</v>
      </c>
      <c r="D365" s="76"/>
      <c r="E365" s="635" t="s">
        <v>186</v>
      </c>
      <c r="F365" s="368" t="str">
        <f>IF(VLOOKUP(G362,'9_1'!$A$12:$D$49,4,0)=2,"Eventual 80%","Definitivo 100%")</f>
        <v>Eventual 80%</v>
      </c>
      <c r="G365" s="382"/>
    </row>
    <row r="366" spans="1:7">
      <c r="A366" s="381"/>
      <c r="B366" s="635" t="s">
        <v>187</v>
      </c>
      <c r="C366" s="375">
        <f>DSUM('9_1'!$A$12:$H$49,'9_1'!$H$12,G361:G362)</f>
        <v>4.1391200000000001</v>
      </c>
      <c r="D366" s="76"/>
      <c r="E366" s="635" t="s">
        <v>188</v>
      </c>
      <c r="F366" s="369" t="str">
        <f>+Hijuelas!$G$5</f>
        <v>fracción</v>
      </c>
      <c r="G366" s="384"/>
    </row>
    <row r="367" spans="1:7" ht="15.75">
      <c r="A367" s="381"/>
      <c r="B367" s="76"/>
      <c r="C367" s="635" t="s">
        <v>189</v>
      </c>
      <c r="D367" s="107">
        <f>DMIN('9_1'!A$12:K$49,'9_1'!$K$12,G361:G362)</f>
        <v>42977.424181999108</v>
      </c>
      <c r="E367" s="127" t="str">
        <f>IF(F367=1,"Domingo",IF(F367=2,"Lunes",IF(F367=3,"Martes",IF(F367=4,"Miercoles",IF(F367=5,"Jueves",IF(F367=6,"Viernes",IF(F367=7,"Sábado",0)))))))</f>
        <v>Miercoles</v>
      </c>
      <c r="F367" s="128">
        <f>WEEKDAY(D367)</f>
        <v>4</v>
      </c>
      <c r="G367" s="385"/>
    </row>
    <row r="368" spans="1:7" ht="15.75">
      <c r="A368" s="381"/>
      <c r="B368" s="76"/>
      <c r="C368" s="635" t="s">
        <v>190</v>
      </c>
      <c r="D368" s="107">
        <f>DMAX('9_1'!A$12:L$49,'9_1'!$L$12,G361:G362)</f>
        <v>42977.531250000015</v>
      </c>
      <c r="E368" s="127" t="str">
        <f>IF(F368=1,"Domingo",IF(F368=2,"Lunes",IF(F368=3,"Martes",IF(F368=4,"Miercoles",IF(F368=5,"Jueves",IF(F368=6,"Viernes",IF(F368=7,"Sábado",0)))))))</f>
        <v>Miercoles</v>
      </c>
      <c r="F368" s="128">
        <f>WEEKDAY(D368)</f>
        <v>4</v>
      </c>
      <c r="G368" s="385"/>
    </row>
    <row r="369" spans="1:7">
      <c r="A369" s="381"/>
      <c r="B369" s="76"/>
      <c r="C369" s="76"/>
      <c r="D369" s="76"/>
      <c r="E369" s="76"/>
      <c r="F369" s="106"/>
      <c r="G369" s="384"/>
    </row>
    <row r="370" spans="1:7">
      <c r="A370" s="381"/>
      <c r="B370" s="108" t="str">
        <f>+Mensajes!$B$7</f>
        <v>PARA CUALQUIER MODIFICACION EN EL CUADRO DE TURNO COMUNIQUESE CON SU TOMERO</v>
      </c>
      <c r="C370" s="76"/>
      <c r="D370" s="76"/>
      <c r="E370" s="76"/>
      <c r="F370" s="76"/>
      <c r="G370" s="382"/>
    </row>
    <row r="371" spans="1:7">
      <c r="A371" s="381"/>
      <c r="B371" s="108" t="str">
        <f>+Mensajes!$B$12</f>
        <v>Recuerde que con 1 (una) cuotas vigentes impagas se restringirá el servicio.</v>
      </c>
      <c r="C371" s="76"/>
      <c r="D371" s="76"/>
      <c r="E371" s="76"/>
      <c r="F371" s="76"/>
      <c r="G371" s="382"/>
    </row>
    <row r="372" spans="1:7">
      <c r="A372" s="381"/>
      <c r="B372" s="108"/>
      <c r="C372" s="76"/>
      <c r="D372" s="76"/>
      <c r="E372" s="76"/>
      <c r="F372" s="76"/>
      <c r="G372" s="382"/>
    </row>
    <row r="373" spans="1:7" ht="13.5" thickBot="1">
      <c r="A373" s="386"/>
      <c r="B373" s="387" t="str">
        <f>IF(DSUM('9_1'!$A$12:$P$82,16,G361:G362)=COUNTIF('9_1'!$A$13:$A$82,G362),"","Regularice su Deuda")</f>
        <v/>
      </c>
      <c r="C373" s="326"/>
      <c r="D373" s="326"/>
      <c r="E373" s="326"/>
      <c r="F373" s="326"/>
      <c r="G373" s="388"/>
    </row>
    <row r="374" spans="1:7" ht="13.5" thickBot="1"/>
    <row r="375" spans="1:7">
      <c r="A375" s="378"/>
      <c r="B375" s="379"/>
      <c r="C375" s="379"/>
      <c r="D375" s="379"/>
      <c r="E375" s="379"/>
      <c r="F375" s="379"/>
      <c r="G375" s="380"/>
    </row>
    <row r="376" spans="1:7">
      <c r="A376" s="381"/>
      <c r="B376" s="109" t="s">
        <v>82</v>
      </c>
      <c r="C376" s="76"/>
      <c r="D376" s="76"/>
      <c r="E376" s="76"/>
      <c r="F376" s="76"/>
      <c r="G376" s="382"/>
    </row>
    <row r="377" spans="1:7">
      <c r="A377" s="381"/>
      <c r="B377" s="76"/>
      <c r="C377" s="76"/>
      <c r="D377" s="76"/>
      <c r="E377" s="76"/>
      <c r="F377" s="76"/>
      <c r="G377" s="382"/>
    </row>
    <row r="378" spans="1:7">
      <c r="A378" s="381"/>
      <c r="B378" s="76" t="s">
        <v>182</v>
      </c>
      <c r="C378" s="76" t="str">
        <f>VLOOKUP(G379,'9_1'!$A$12:$G$49,7,0)</f>
        <v>DI MARCO, JUAN</v>
      </c>
      <c r="D378" s="76"/>
      <c r="E378" s="76"/>
      <c r="F378" s="76"/>
      <c r="G378" s="383" t="s">
        <v>134</v>
      </c>
    </row>
    <row r="379" spans="1:7">
      <c r="A379" s="381"/>
      <c r="B379" s="76" t="s">
        <v>91</v>
      </c>
      <c r="C379" s="76" t="str">
        <f>+'9_1'!$H$2</f>
        <v>Hijuela Tres Hermanos</v>
      </c>
      <c r="D379" s="76"/>
      <c r="E379" s="76"/>
      <c r="F379" s="76"/>
      <c r="G379" s="383">
        <v>23</v>
      </c>
    </row>
    <row r="380" spans="1:7">
      <c r="A380" s="381"/>
      <c r="B380" s="76"/>
      <c r="C380" s="76"/>
      <c r="D380" s="76"/>
      <c r="E380" s="76"/>
      <c r="F380" s="76"/>
      <c r="G380" s="382"/>
    </row>
    <row r="381" spans="1:7">
      <c r="A381" s="381"/>
      <c r="B381" s="635" t="s">
        <v>183</v>
      </c>
      <c r="C381" s="331">
        <f>VLOOKUP(G379,'9_1'!$A$12:$B$49,2,0)</f>
        <v>1245</v>
      </c>
      <c r="D381" s="76"/>
      <c r="E381" s="635" t="s">
        <v>184</v>
      </c>
      <c r="F381" s="347">
        <f>DSUM('9_1'!A$12:J$49,'9_1'!$J$12,G378:G379)</f>
        <v>0</v>
      </c>
      <c r="G381" s="382"/>
    </row>
    <row r="382" spans="1:7">
      <c r="A382" s="381"/>
      <c r="B382" s="635" t="s">
        <v>185</v>
      </c>
      <c r="C382" s="374" t="s">
        <v>386</v>
      </c>
      <c r="D382" s="76"/>
      <c r="E382" s="635" t="s">
        <v>186</v>
      </c>
      <c r="F382" s="368" t="str">
        <f>IF(VLOOKUP(G379,'9_1'!$A$12:$D$49,4,0)=2,"Eventual 80%","Definitivo 100%")</f>
        <v>Eventual 80%</v>
      </c>
      <c r="G382" s="382"/>
    </row>
    <row r="383" spans="1:7">
      <c r="A383" s="381"/>
      <c r="B383" s="635" t="s">
        <v>187</v>
      </c>
      <c r="C383" s="375">
        <f>DSUM('9_1'!$A$12:$H$49,'9_1'!$H$12,G378:G379)</f>
        <v>0</v>
      </c>
      <c r="D383" s="76"/>
      <c r="E383" s="635" t="s">
        <v>188</v>
      </c>
      <c r="F383" s="369" t="str">
        <f>+Hijuelas!$G$5</f>
        <v>fracción</v>
      </c>
      <c r="G383" s="384"/>
    </row>
    <row r="384" spans="1:7" ht="15.75">
      <c r="A384" s="381"/>
      <c r="B384" s="76"/>
      <c r="C384" s="635" t="s">
        <v>189</v>
      </c>
      <c r="D384" s="107">
        <f>DMIN('9_1'!A$12:K$49,'9_1'!$K$12,G378:G379)</f>
        <v>42977.531250000015</v>
      </c>
      <c r="E384" s="127" t="str">
        <f>IF(F384=1,"Domingo",IF(F384=2,"Lunes",IF(F384=3,"Martes",IF(F384=4,"Miercoles",IF(F384=5,"Jueves",IF(F384=6,"Viernes",IF(F384=7,"Sábado",0)))))))</f>
        <v>Miercoles</v>
      </c>
      <c r="F384" s="128">
        <f>WEEKDAY(D384)</f>
        <v>4</v>
      </c>
      <c r="G384" s="385"/>
    </row>
    <row r="385" spans="1:7" ht="15.75">
      <c r="A385" s="381"/>
      <c r="B385" s="76"/>
      <c r="C385" s="635" t="s">
        <v>190</v>
      </c>
      <c r="D385" s="107">
        <f>DMAX('9_1'!A$12:L$49,'9_1'!$L$12,G378:G379)</f>
        <v>42977.531250000015</v>
      </c>
      <c r="E385" s="127" t="str">
        <f>IF(F385=1,"Domingo",IF(F385=2,"Lunes",IF(F385=3,"Martes",IF(F385=4,"Miercoles",IF(F385=5,"Jueves",IF(F385=6,"Viernes",IF(F385=7,"Sábado",0)))))))</f>
        <v>Miercoles</v>
      </c>
      <c r="F385" s="128">
        <f>WEEKDAY(D385)</f>
        <v>4</v>
      </c>
      <c r="G385" s="385"/>
    </row>
    <row r="386" spans="1:7">
      <c r="A386" s="381"/>
      <c r="B386" s="76"/>
      <c r="C386" s="76"/>
      <c r="D386" s="76"/>
      <c r="E386" s="76"/>
      <c r="F386" s="106"/>
      <c r="G386" s="384"/>
    </row>
    <row r="387" spans="1:7">
      <c r="A387" s="381"/>
      <c r="B387" s="108" t="str">
        <f>+Mensajes!$B$7</f>
        <v>PARA CUALQUIER MODIFICACION EN EL CUADRO DE TURNO COMUNIQUESE CON SU TOMERO</v>
      </c>
      <c r="C387" s="76"/>
      <c r="D387" s="76"/>
      <c r="E387" s="76"/>
      <c r="F387" s="76"/>
      <c r="G387" s="382"/>
    </row>
    <row r="388" spans="1:7">
      <c r="A388" s="381"/>
      <c r="B388" s="108" t="str">
        <f>+Mensajes!$B$12</f>
        <v>Recuerde que con 1 (una) cuotas vigentes impagas se restringirá el servicio.</v>
      </c>
      <c r="C388" s="76"/>
      <c r="D388" s="76"/>
      <c r="E388" s="76"/>
      <c r="F388" s="76"/>
      <c r="G388" s="382"/>
    </row>
    <row r="389" spans="1:7">
      <c r="A389" s="381"/>
      <c r="B389" s="108"/>
      <c r="C389" s="76"/>
      <c r="D389" s="76"/>
      <c r="E389" s="76"/>
      <c r="F389" s="76"/>
      <c r="G389" s="382"/>
    </row>
    <row r="390" spans="1:7" ht="13.5" thickBot="1">
      <c r="A390" s="386"/>
      <c r="B390" s="387" t="str">
        <f>IF(DSUM('9_1'!$A$12:$P$82,16,G378:G379)=COUNTIF('9_1'!$A$13:$A$82,G379),"","Regularice su Deuda")</f>
        <v>Regularice su Deuda</v>
      </c>
      <c r="C390" s="326"/>
      <c r="D390" s="326"/>
      <c r="E390" s="326"/>
      <c r="F390" s="326"/>
      <c r="G390" s="388"/>
    </row>
    <row r="399" spans="1:7">
      <c r="C399" t="s">
        <v>387</v>
      </c>
    </row>
    <row r="416" spans="3:3">
      <c r="C416" t="s">
        <v>388</v>
      </c>
    </row>
  </sheetData>
  <phoneticPr fontId="0" type="noConversion"/>
  <pageMargins left="0.62992125984251968" right="0.51181102362204722" top="0.15748031496062992" bottom="0.19685039370078741" header="0" footer="0"/>
  <pageSetup paperSize="9" scale="68" orientation="portrait" horizontalDpi="300" verticalDpi="300" r:id="rId1"/>
  <headerFooter alignWithMargins="0"/>
  <rowBreaks count="4" manualBreakCount="4">
    <brk id="84" max="6" man="1"/>
    <brk id="169" max="6" man="1"/>
    <brk id="255" max="6" man="1"/>
    <brk id="340" max="6" man="1"/>
  </rowBreaks>
  <colBreaks count="1" manualBreakCount="1">
    <brk id="8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5"/>
  <dimension ref="A1:T30"/>
  <sheetViews>
    <sheetView topLeftCell="A14" zoomScale="75" zoomScaleNormal="100" workbookViewId="0" xr3:uid="{2C1BA805-FFAE-53D9-94C0-3D95D45B0C9C}">
      <selection activeCell="C19" sqref="C19"/>
    </sheetView>
  </sheetViews>
  <sheetFormatPr defaultRowHeight="12.75"/>
  <cols>
    <col min="1" max="1" width="7.28515625" customWidth="1"/>
    <col min="2" max="2" width="7" customWidth="1"/>
    <col min="3" max="3" width="7.42578125" customWidth="1"/>
    <col min="4" max="4" width="8.7109375" bestFit="1" customWidth="1"/>
    <col min="5" max="5" width="12.5703125" customWidth="1"/>
    <col min="6" max="6" width="11" customWidth="1"/>
    <col min="7" max="7" width="24.28515625" customWidth="1"/>
    <col min="8" max="8" width="10.140625" customWidth="1"/>
    <col min="9" max="9" width="6.42578125" bestFit="1" customWidth="1"/>
    <col min="10" max="10" width="7.85546875" customWidth="1"/>
    <col min="11" max="11" width="15.42578125" customWidth="1"/>
    <col min="12" max="12" width="17.28515625" bestFit="1" customWidth="1"/>
    <col min="13" max="14" width="28.140625" customWidth="1"/>
    <col min="15" max="15" width="11.42578125" customWidth="1"/>
    <col min="16" max="18" width="11.5703125" bestFit="1" customWidth="1"/>
    <col min="19" max="19" width="12.28515625" bestFit="1" customWidth="1"/>
    <col min="20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105" t="s">
        <v>123</v>
      </c>
      <c r="C2" s="99"/>
      <c r="D2" s="99"/>
      <c r="E2" s="99"/>
      <c r="F2" s="99"/>
      <c r="G2" s="99"/>
      <c r="H2" s="99" t="s">
        <v>389</v>
      </c>
      <c r="I2" s="99"/>
      <c r="J2" s="99"/>
      <c r="K2" s="99"/>
      <c r="L2" s="99"/>
      <c r="M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>
      <c r="A5" s="662" t="s">
        <v>124</v>
      </c>
      <c r="B5" s="663"/>
      <c r="C5" s="659">
        <f>+Hijuelas!D19</f>
        <v>42973.541666666664</v>
      </c>
      <c r="D5" s="667"/>
      <c r="E5" s="660"/>
      <c r="F5" s="305"/>
      <c r="G5" s="306" t="s">
        <v>125</v>
      </c>
      <c r="H5" s="307">
        <f>+Hijuelas!G4</f>
        <v>3.9895833333333335</v>
      </c>
      <c r="I5" s="99"/>
      <c r="J5" s="99"/>
      <c r="K5" s="99"/>
      <c r="L5" s="99"/>
      <c r="M5" s="99"/>
    </row>
    <row r="6" spans="1:20" ht="13.5" thickBot="1">
      <c r="A6" s="664" t="s">
        <v>126</v>
      </c>
      <c r="B6" s="665"/>
      <c r="C6" s="668">
        <f>+C5+H5</f>
        <v>42977.53125</v>
      </c>
      <c r="D6" s="669"/>
      <c r="E6" s="670"/>
      <c r="F6" s="305"/>
      <c r="G6" s="265" t="s">
        <v>127</v>
      </c>
      <c r="H6" s="308">
        <v>0.125</v>
      </c>
      <c r="I6" s="305"/>
      <c r="J6" s="99"/>
      <c r="K6" s="309"/>
      <c r="L6" s="99"/>
      <c r="M6" s="99"/>
    </row>
    <row r="7" spans="1:20">
      <c r="A7" s="99"/>
      <c r="B7" s="99"/>
      <c r="C7" s="99"/>
      <c r="D7" s="99"/>
      <c r="E7" s="312">
        <f>+C6-C5</f>
        <v>3.9895833333357587</v>
      </c>
      <c r="F7" s="99"/>
      <c r="G7" s="418" t="s">
        <v>128</v>
      </c>
      <c r="H7" s="308">
        <v>0</v>
      </c>
      <c r="I7" s="99"/>
      <c r="J7" s="99"/>
      <c r="K7" s="99"/>
      <c r="L7" s="99"/>
      <c r="M7" s="99"/>
    </row>
    <row r="8" spans="1:20" ht="13.5" thickBot="1">
      <c r="A8" s="99"/>
      <c r="B8" s="99"/>
      <c r="C8" s="99"/>
      <c r="D8" s="99"/>
      <c r="E8" s="99"/>
      <c r="F8" s="99"/>
      <c r="G8" s="310" t="s">
        <v>255</v>
      </c>
      <c r="H8" s="432">
        <f>+I30</f>
        <v>8.1944444444444445E-2</v>
      </c>
      <c r="I8" s="99"/>
      <c r="J8" s="99"/>
      <c r="K8" s="99"/>
      <c r="L8" s="99"/>
      <c r="M8" s="99"/>
    </row>
    <row r="9" spans="1:20">
      <c r="A9" s="666" t="s">
        <v>129</v>
      </c>
      <c r="B9" s="666"/>
      <c r="C9" s="312">
        <f>+H5-H6-H7-H8</f>
        <v>3.7826388888888891</v>
      </c>
      <c r="D9" s="636" t="s">
        <v>130</v>
      </c>
      <c r="E9" s="317">
        <f>+C9*60</f>
        <v>226.95833333333334</v>
      </c>
      <c r="F9" s="636" t="s">
        <v>131</v>
      </c>
      <c r="G9" s="327">
        <f>+H30</f>
        <v>92.508880000000005</v>
      </c>
      <c r="H9" s="636" t="s">
        <v>132</v>
      </c>
      <c r="I9" s="314">
        <f>+E9/G9</f>
        <v>2.4533680802678979</v>
      </c>
      <c r="J9" s="99"/>
      <c r="K9" s="99"/>
      <c r="L9" s="99"/>
      <c r="M9" s="99"/>
    </row>
    <row r="10" spans="1:20" ht="13.5" thickBot="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</row>
    <row r="11" spans="1:20" ht="13.5" thickBot="1">
      <c r="A11" s="291" t="s">
        <v>134</v>
      </c>
      <c r="B11" s="292" t="s">
        <v>135</v>
      </c>
      <c r="C11" s="292" t="s">
        <v>136</v>
      </c>
      <c r="D11" s="292" t="s">
        <v>341</v>
      </c>
      <c r="E11" s="292" t="s">
        <v>138</v>
      </c>
      <c r="F11" s="292" t="s">
        <v>192</v>
      </c>
      <c r="G11" s="354" t="s">
        <v>140</v>
      </c>
      <c r="H11" s="292" t="s">
        <v>257</v>
      </c>
      <c r="I11" s="292" t="s">
        <v>142</v>
      </c>
      <c r="J11" s="292" t="s">
        <v>143</v>
      </c>
      <c r="K11" s="292" t="s">
        <v>193</v>
      </c>
      <c r="L11" s="292" t="s">
        <v>194</v>
      </c>
      <c r="M11" s="292" t="s">
        <v>146</v>
      </c>
      <c r="N11" s="292" t="s">
        <v>204</v>
      </c>
      <c r="O11" s="292" t="s">
        <v>148</v>
      </c>
      <c r="P11" s="292" t="s">
        <v>149</v>
      </c>
      <c r="Q11" s="292" t="s">
        <v>150</v>
      </c>
      <c r="R11" s="292" t="s">
        <v>151</v>
      </c>
      <c r="S11" s="292" t="s">
        <v>152</v>
      </c>
      <c r="T11" s="294" t="s">
        <v>153</v>
      </c>
    </row>
    <row r="12" spans="1:20" ht="26.25" customHeight="1" thickTop="1">
      <c r="A12" s="98">
        <v>1</v>
      </c>
      <c r="B12" s="47">
        <v>1246</v>
      </c>
      <c r="C12" s="260">
        <v>3</v>
      </c>
      <c r="D12" s="260">
        <v>2</v>
      </c>
      <c r="E12" s="85">
        <v>20.1557</v>
      </c>
      <c r="F12" s="85" t="str">
        <f>IF(P12=0,"NO",IF(P12=1,"SI","CONDICIONAL"))</f>
        <v>SI</v>
      </c>
      <c r="G12" s="334" t="s">
        <v>390</v>
      </c>
      <c r="H12" s="125">
        <f>IF(Hijuelas!$G$5="fracción",IF(F12="NO",0,IF(Hijuelas!$G$6="si",IF(D12=1,E12,E12*0.8),E12)),IF(F12="NO",0,IF(Hijuelas!$G$6="si",IF(D12=1,ROUNDUP(E12,0),ROUNDUP(E12*0.8,0)),ROUNDUP(E12,0))))</f>
        <v>16.124559999999999</v>
      </c>
      <c r="I12" s="123">
        <v>0</v>
      </c>
      <c r="J12" s="123">
        <f>+$I$9/60*H12</f>
        <v>0.65932468020607549</v>
      </c>
      <c r="K12" s="95">
        <f>+C5+H6</f>
        <v>42973.666666666664</v>
      </c>
      <c r="L12" s="95">
        <f>+K12+J12</f>
        <v>42974.325991346872</v>
      </c>
      <c r="M12" s="47"/>
      <c r="N12" s="47"/>
      <c r="O12" s="47" t="str">
        <f>+CONCATENATE(B12,C12)</f>
        <v>12463</v>
      </c>
      <c r="P12" s="112">
        <f>VLOOKUP(O12,deuda!A$1:H$551,4,0)</f>
        <v>1</v>
      </c>
      <c r="Q12" s="112">
        <f>VLOOKUP(O12,deuda!A$1:H$551,5,0)</f>
        <v>0</v>
      </c>
      <c r="R12" s="112" t="str">
        <f>IF(VLOOKUP(O12,deuda!A$1:H$551,6,0)=0,"",VLOOKUP(O12,deuda!A$1:H$551,6,0))</f>
        <v/>
      </c>
      <c r="S12" s="113" t="str">
        <f>IF((VLOOKUP(O12,deuda!A$1:H$551,7,0))=0,"",VLOOKUP(O12,deuda!A$1:H$551,7,0))</f>
        <v/>
      </c>
      <c r="T12" s="114" t="str">
        <f>IF((VLOOKUP(O12,deuda!A$1:H$551,8,0))=0,"",VLOOKUP(O12,deuda!A$1:H$551,8,0))</f>
        <v/>
      </c>
    </row>
    <row r="13" spans="1:20" ht="25.5">
      <c r="A13" s="24">
        <v>1</v>
      </c>
      <c r="B13" s="5">
        <v>1246</v>
      </c>
      <c r="C13" s="250">
        <v>5</v>
      </c>
      <c r="D13" s="250">
        <v>2</v>
      </c>
      <c r="E13" s="9">
        <v>2.84</v>
      </c>
      <c r="F13" s="85" t="str">
        <f t="shared" ref="F13:F24" si="0">IF(P13=0,"NO",IF(P13=1,"SI","CONDICIONAL"))</f>
        <v>SI</v>
      </c>
      <c r="G13" s="335" t="s">
        <v>390</v>
      </c>
      <c r="H13" s="125">
        <f>IF(Hijuelas!$G$5="fracción",IF(F13="NO",0,IF(Hijuelas!$G$6="si",IF(D13=1,E13,E13*0.8),E13)),IF(F13="NO",0,IF(Hijuelas!$G$6="si",IF(D13=1,ROUNDUP(E13,0),ROUNDUP(E13*0.8,0)),ROUNDUP(E13,0))))</f>
        <v>2.2719999999999998</v>
      </c>
      <c r="I13" s="119">
        <v>0</v>
      </c>
      <c r="J13" s="123">
        <f t="shared" ref="J13:J29" si="1">+$I$9/60*H13</f>
        <v>9.2900871306144384E-2</v>
      </c>
      <c r="K13" s="95">
        <f>+L12</f>
        <v>42974.325991346872</v>
      </c>
      <c r="L13" s="95">
        <f>+K13+J13+I13</f>
        <v>42974.418892218178</v>
      </c>
      <c r="M13" s="5"/>
      <c r="N13" s="5"/>
      <c r="O13" s="47" t="str">
        <f t="shared" ref="O13:O29" si="2">+CONCATENATE(B13,C13)</f>
        <v>12465</v>
      </c>
      <c r="P13" s="112">
        <f>VLOOKUP(O13,deuda!A$1:H$551,4,0)</f>
        <v>1</v>
      </c>
      <c r="Q13" s="112">
        <f>VLOOKUP(O13,deuda!A$1:H$551,5,0)</f>
        <v>0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26.1" customHeight="1">
      <c r="A14" s="24">
        <v>2</v>
      </c>
      <c r="B14" s="5">
        <v>1246</v>
      </c>
      <c r="C14" s="250">
        <v>2</v>
      </c>
      <c r="D14" s="250">
        <v>2</v>
      </c>
      <c r="E14" s="9">
        <v>2.4864000000000002</v>
      </c>
      <c r="F14" s="85" t="str">
        <f t="shared" si="0"/>
        <v>SI</v>
      </c>
      <c r="G14" s="335" t="s">
        <v>391</v>
      </c>
      <c r="H14" s="125">
        <f>IF(Hijuelas!$G$5="fracción",IF(F14="NO",0,IF(Hijuelas!$G$6="si",IF(D14=1,E14,E14*0.8),E14)),IF(F14="NO",0,IF(Hijuelas!$G$6="si",IF(D14=1,ROUNDUP(E14,0),ROUNDUP(E14*0.8,0)),ROUNDUP(E14,0))))</f>
        <v>1.9891200000000002</v>
      </c>
      <c r="I14" s="119">
        <v>0</v>
      </c>
      <c r="J14" s="123">
        <f t="shared" si="1"/>
        <v>8.1334058597041348E-2</v>
      </c>
      <c r="K14" s="95">
        <f t="shared" ref="K14:K29" si="3">+L13</f>
        <v>42974.418892218178</v>
      </c>
      <c r="L14" s="95">
        <f t="shared" ref="L14:L29" si="4">+K14+J14+I14</f>
        <v>42974.500226276774</v>
      </c>
      <c r="M14" s="5"/>
      <c r="N14" s="5"/>
      <c r="O14" s="47" t="str">
        <f t="shared" si="2"/>
        <v>12462</v>
      </c>
      <c r="P14" s="112">
        <f>VLOOKUP(O14,deuda!A$1:H$551,4,0)</f>
        <v>1</v>
      </c>
      <c r="Q14" s="112">
        <f>VLOOKUP(O14,deuda!A$1:H$551,5,0)</f>
        <v>0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26.1" customHeight="1">
      <c r="A15" s="24">
        <v>2</v>
      </c>
      <c r="B15" s="5">
        <v>1246</v>
      </c>
      <c r="C15" s="250">
        <v>6</v>
      </c>
      <c r="D15" s="250">
        <v>2</v>
      </c>
      <c r="E15" s="9">
        <v>3.9872000000000001</v>
      </c>
      <c r="F15" s="85" t="str">
        <f t="shared" si="0"/>
        <v>SI</v>
      </c>
      <c r="G15" s="335" t="s">
        <v>391</v>
      </c>
      <c r="H15" s="125">
        <f>IF(Hijuelas!$G$5="fracción",IF(F15="NO",0,IF(Hijuelas!$G$6="si",IF(D15=1,E15,E15*0.8),E15)),IF(F15="NO",0,IF(Hijuelas!$G$6="si",IF(D15=1,ROUNDUP(E15,0),ROUNDUP(E15*0.8,0)),ROUNDUP(E15,0))))</f>
        <v>3.1897600000000002</v>
      </c>
      <c r="I15" s="119">
        <v>0</v>
      </c>
      <c r="J15" s="123">
        <f t="shared" si="1"/>
        <v>0.13042758946192215</v>
      </c>
      <c r="K15" s="95">
        <f t="shared" si="3"/>
        <v>42974.500226276774</v>
      </c>
      <c r="L15" s="95">
        <f t="shared" si="4"/>
        <v>42974.630653866239</v>
      </c>
      <c r="M15" s="5"/>
      <c r="N15" s="5"/>
      <c r="O15" s="47" t="str">
        <f t="shared" si="2"/>
        <v>12466</v>
      </c>
      <c r="P15" s="112">
        <f>VLOOKUP(O15,deuda!A$1:H$551,4,0)</f>
        <v>1</v>
      </c>
      <c r="Q15" s="112">
        <f>VLOOKUP(O15,deuda!A$1:H$551,5,0)</f>
        <v>0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25.5">
      <c r="A16" s="24">
        <v>3</v>
      </c>
      <c r="B16" s="5">
        <v>1246</v>
      </c>
      <c r="C16" s="250">
        <v>18</v>
      </c>
      <c r="D16" s="250">
        <v>2</v>
      </c>
      <c r="E16" s="9">
        <v>3.6217000000000001</v>
      </c>
      <c r="F16" s="85" t="str">
        <f t="shared" si="0"/>
        <v>SI</v>
      </c>
      <c r="G16" s="335" t="s">
        <v>392</v>
      </c>
      <c r="H16" s="125">
        <f>IF(Hijuelas!$G$5="fracción",IF(F16="NO",0,IF(Hijuelas!$G$6="si",IF(D16=1,E16,E16*0.8),E16)),IF(F16="NO",0,IF(Hijuelas!$G$6="si",IF(D16=1,ROUNDUP(E16,0),ROUNDUP(E16*0.8,0)),ROUNDUP(E16,0))))</f>
        <v>2.8973600000000004</v>
      </c>
      <c r="I16" s="119">
        <v>2.0833333333333332E-2</v>
      </c>
      <c r="J16" s="123">
        <f t="shared" si="1"/>
        <v>0.11847150901741661</v>
      </c>
      <c r="K16" s="95">
        <f t="shared" si="3"/>
        <v>42974.630653866239</v>
      </c>
      <c r="L16" s="95">
        <f t="shared" si="4"/>
        <v>42974.769958708595</v>
      </c>
      <c r="M16" s="5"/>
      <c r="N16" s="5"/>
      <c r="O16" s="47" t="str">
        <f t="shared" si="2"/>
        <v>124618</v>
      </c>
      <c r="P16" s="112">
        <f>VLOOKUP(O16,deuda!A$1:H$551,4,0)</f>
        <v>1</v>
      </c>
      <c r="Q16" s="112">
        <f>VLOOKUP(O16,deuda!A$1:H$551,5,0)</f>
        <v>0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30" customHeight="1">
      <c r="A17" s="24">
        <v>4</v>
      </c>
      <c r="B17" s="5">
        <v>1246</v>
      </c>
      <c r="C17" s="250">
        <v>36</v>
      </c>
      <c r="D17" s="250">
        <v>2</v>
      </c>
      <c r="E17" s="9">
        <v>3.7136999999999998</v>
      </c>
      <c r="F17" s="85" t="str">
        <f t="shared" si="0"/>
        <v>SI</v>
      </c>
      <c r="G17" s="335" t="s">
        <v>392</v>
      </c>
      <c r="H17" s="125">
        <f>IF(Hijuelas!$G$5="fracción",IF(F17="NO",0,IF(Hijuelas!$G$6="si",IF(D17=1,E17,E17*0.8),E17)),IF(F17="NO",0,IF(Hijuelas!$G$6="si",IF(D17=1,ROUNDUP(E17,0),ROUNDUP(E17*0.8,0)),ROUNDUP(E17,0))))</f>
        <v>2.9709599999999998</v>
      </c>
      <c r="I17" s="119">
        <v>0</v>
      </c>
      <c r="J17" s="123">
        <f t="shared" si="1"/>
        <v>0.12148097386254521</v>
      </c>
      <c r="K17" s="95">
        <f t="shared" si="3"/>
        <v>42974.769958708595</v>
      </c>
      <c r="L17" s="95">
        <f t="shared" si="4"/>
        <v>42974.891439682455</v>
      </c>
      <c r="M17" s="5"/>
      <c r="N17" s="5"/>
      <c r="O17" s="47" t="str">
        <f t="shared" si="2"/>
        <v>124636</v>
      </c>
      <c r="P17" s="112">
        <f>VLOOKUP(O17,deuda!A$1:H$551,4,0)</f>
        <v>1</v>
      </c>
      <c r="Q17" s="112">
        <f>VLOOKUP(O17,deuda!A$1:H$551,5,0)</f>
        <v>0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24.95" customHeight="1">
      <c r="A18" s="24">
        <v>5</v>
      </c>
      <c r="B18" s="5">
        <v>1246</v>
      </c>
      <c r="C18" s="250">
        <v>41</v>
      </c>
      <c r="D18" s="250">
        <v>2</v>
      </c>
      <c r="E18" s="9">
        <v>5.1528</v>
      </c>
      <c r="F18" s="85" t="str">
        <f t="shared" si="0"/>
        <v>SI</v>
      </c>
      <c r="G18" s="335" t="s">
        <v>393</v>
      </c>
      <c r="H18" s="125">
        <f>IF(Hijuelas!$G$5="fracción",IF(F18="NO",0,IF(Hijuelas!$G$6="si",IF(D18=1,E18,E18*0.8),E18)),IF(F18="NO",0,IF(Hijuelas!$G$6="si",IF(D18=1,ROUNDUP(E18,0),ROUNDUP(E18*0.8,0)),ROUNDUP(E18,0))))</f>
        <v>4.1222400000000006</v>
      </c>
      <c r="I18" s="119">
        <v>2.0833333333333332E-2</v>
      </c>
      <c r="J18" s="123">
        <f t="shared" si="1"/>
        <v>0.16855620058672566</v>
      </c>
      <c r="K18" s="95">
        <f t="shared" si="3"/>
        <v>42974.891439682455</v>
      </c>
      <c r="L18" s="95">
        <f t="shared" si="4"/>
        <v>42975.080829216378</v>
      </c>
      <c r="M18" s="5"/>
      <c r="N18" s="5"/>
      <c r="O18" s="47" t="str">
        <f t="shared" si="2"/>
        <v>124641</v>
      </c>
      <c r="P18" s="112">
        <f>VLOOKUP(O18,deuda!A$1:H$551,4,0)</f>
        <v>1</v>
      </c>
      <c r="Q18" s="112">
        <f>VLOOKUP(O18,deuda!A$1:H$551,5,0)</f>
        <v>2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24.95" customHeight="1">
      <c r="A19" s="24">
        <v>6</v>
      </c>
      <c r="B19" s="5">
        <v>1246</v>
      </c>
      <c r="C19" s="582">
        <v>40</v>
      </c>
      <c r="D19" s="250">
        <v>2</v>
      </c>
      <c r="E19" s="9">
        <v>5.1178999999999997</v>
      </c>
      <c r="F19" s="85" t="str">
        <f t="shared" si="0"/>
        <v>SI</v>
      </c>
      <c r="G19" s="335" t="s">
        <v>394</v>
      </c>
      <c r="H19" s="125">
        <f>IF(Hijuelas!$G$5="fracción",IF(F19="NO",0,IF(Hijuelas!$G$6="si",IF(D19=1,E19,E19*0.8),E19)),IF(F19="NO",0,IF(Hijuelas!$G$6="si",IF(D19=1,ROUNDUP(E19,0),ROUNDUP(E19*0.8,0)),ROUNDUP(E19,0))))</f>
        <v>4.0943199999999997</v>
      </c>
      <c r="I19" s="119">
        <v>0</v>
      </c>
      <c r="J19" s="123">
        <f t="shared" si="1"/>
        <v>0.16741456664004098</v>
      </c>
      <c r="K19" s="95">
        <f t="shared" si="3"/>
        <v>42975.080829216378</v>
      </c>
      <c r="L19" s="95">
        <f t="shared" si="4"/>
        <v>42975.248243783019</v>
      </c>
      <c r="M19" s="5"/>
      <c r="N19" s="5"/>
      <c r="O19" s="47" t="str">
        <f t="shared" si="2"/>
        <v>124640</v>
      </c>
      <c r="P19" s="112">
        <f>VLOOKUP(O19,deuda!A$1:H$551,4,0)</f>
        <v>1</v>
      </c>
      <c r="Q19" s="112">
        <f>VLOOKUP(O19,deuda!A$1:H$551,5,0)</f>
        <v>2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s="73" customFormat="1" ht="25.5">
      <c r="A20" s="248">
        <v>7</v>
      </c>
      <c r="B20" s="71">
        <v>1246</v>
      </c>
      <c r="C20" s="179">
        <v>38</v>
      </c>
      <c r="D20" s="179">
        <v>2</v>
      </c>
      <c r="E20" s="20">
        <v>10.5817</v>
      </c>
      <c r="F20" s="245" t="str">
        <f t="shared" si="0"/>
        <v>SI</v>
      </c>
      <c r="G20" s="392" t="s">
        <v>395</v>
      </c>
      <c r="H20" s="575">
        <f>IF(Hijuelas!$G$5="fracción",IF(F20="NO",0,IF(Hijuelas!$G$6="si",IF(D20=1,E20,E20*0.8),E20)),IF(F20="NO",0,IF(Hijuelas!$G$6="si",IF(D20=1,ROUNDUP(E20,0),ROUNDUP(E20*0.8,0)),ROUNDUP(E20,0))))</f>
        <v>8.4653600000000004</v>
      </c>
      <c r="I20" s="498">
        <v>0</v>
      </c>
      <c r="J20" s="528">
        <f t="shared" si="1"/>
        <v>0.34614406686627752</v>
      </c>
      <c r="K20" s="95">
        <f t="shared" si="3"/>
        <v>42975.248243783019</v>
      </c>
      <c r="L20" s="95">
        <f t="shared" si="4"/>
        <v>42975.594387849887</v>
      </c>
      <c r="M20" s="71"/>
      <c r="N20" s="71"/>
      <c r="O20" s="47" t="str">
        <f t="shared" si="2"/>
        <v>124638</v>
      </c>
      <c r="P20" s="112">
        <f>VLOOKUP(O20,deuda!A$1:H$551,4,0)</f>
        <v>1</v>
      </c>
      <c r="Q20" s="112">
        <f>VLOOKUP(O20,deuda!A$1:H$551,5,0)</f>
        <v>2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25.5">
      <c r="A21" s="24">
        <v>8</v>
      </c>
      <c r="B21" s="5">
        <v>1246</v>
      </c>
      <c r="C21" s="250">
        <v>21</v>
      </c>
      <c r="D21" s="250">
        <v>2</v>
      </c>
      <c r="E21" s="9">
        <v>4</v>
      </c>
      <c r="F21" s="85" t="str">
        <f t="shared" si="0"/>
        <v>SI</v>
      </c>
      <c r="G21" s="335" t="s">
        <v>396</v>
      </c>
      <c r="H21" s="125">
        <f>IF(Hijuelas!$G$5="fracción",IF(F21="NO",0,IF(Hijuelas!$G$6="si",IF(D21=1,E21,E21*0.8),E21)),IF(F21="NO",0,IF(Hijuelas!$G$6="si",IF(D21=1,ROUNDUP(E21,0),ROUNDUP(E21*0.8,0)),ROUNDUP(E21,0))))</f>
        <v>3.2</v>
      </c>
      <c r="I21" s="119">
        <v>0</v>
      </c>
      <c r="J21" s="123">
        <f t="shared" si="1"/>
        <v>0.13084629761428787</v>
      </c>
      <c r="K21" s="95">
        <f t="shared" si="3"/>
        <v>42975.594387849887</v>
      </c>
      <c r="L21" s="95">
        <f t="shared" si="4"/>
        <v>42975.725234147503</v>
      </c>
      <c r="M21" s="5"/>
      <c r="N21" s="5"/>
      <c r="O21" s="47" t="str">
        <f t="shared" si="2"/>
        <v>124621</v>
      </c>
      <c r="P21" s="112">
        <f>VLOOKUP(O21,deuda!A$1:H$551,4,0)</f>
        <v>1</v>
      </c>
      <c r="Q21" s="112">
        <f>VLOOKUP(O21,deuda!A$1:H$551,5,0)</f>
        <v>2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25.5">
      <c r="A22" s="24">
        <v>8</v>
      </c>
      <c r="B22" s="5">
        <v>1246</v>
      </c>
      <c r="C22" s="250">
        <v>19</v>
      </c>
      <c r="D22" s="250">
        <v>2</v>
      </c>
      <c r="E22" s="9">
        <v>2</v>
      </c>
      <c r="F22" s="85" t="str">
        <f t="shared" si="0"/>
        <v>SI</v>
      </c>
      <c r="G22" s="421" t="s">
        <v>396</v>
      </c>
      <c r="H22" s="125">
        <f>IF(Hijuelas!$G$5="fracción",IF(F22="NO",0,IF(Hijuelas!$G$6="si",IF(D22=1,E22,E22*0.8),E22)),IF(F22="NO",0,IF(Hijuelas!$G$6="si",IF(D22=1,ROUNDUP(E22,0),ROUNDUP(E22*0.8,0)),ROUNDUP(E22,0))))</f>
        <v>1.6</v>
      </c>
      <c r="I22" s="119">
        <v>0</v>
      </c>
      <c r="J22" s="123">
        <f t="shared" si="1"/>
        <v>6.5423148807143935E-2</v>
      </c>
      <c r="K22" s="95">
        <f t="shared" si="3"/>
        <v>42975.725234147503</v>
      </c>
      <c r="L22" s="95">
        <f t="shared" si="4"/>
        <v>42975.790657296311</v>
      </c>
      <c r="M22" s="5"/>
      <c r="N22" s="5"/>
      <c r="O22" s="47" t="str">
        <f t="shared" si="2"/>
        <v>124619</v>
      </c>
      <c r="P22" s="112">
        <f>VLOOKUP(O22,deuda!A$1:H$551,4,0)</f>
        <v>1</v>
      </c>
      <c r="Q22" s="112">
        <f>VLOOKUP(O22,deuda!A$1:H$551,5,0)</f>
        <v>1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25.5" customHeight="1">
      <c r="A23" s="24">
        <v>8</v>
      </c>
      <c r="B23" s="5">
        <v>1246</v>
      </c>
      <c r="C23" s="250">
        <v>22</v>
      </c>
      <c r="D23" s="250">
        <v>2</v>
      </c>
      <c r="E23" s="9">
        <v>1.1533</v>
      </c>
      <c r="F23" s="85" t="str">
        <f t="shared" si="0"/>
        <v>SI</v>
      </c>
      <c r="G23" s="335" t="s">
        <v>397</v>
      </c>
      <c r="H23" s="125">
        <f>IF(Hijuelas!$G$5="fracción",IF(F23="NO",0,IF(Hijuelas!$G$6="si",IF(D23=1,E23,E23*0.8),E23)),IF(F23="NO",0,IF(Hijuelas!$G$6="si",IF(D23=1,ROUNDUP(E23,0),ROUNDUP(E23*0.8,0)),ROUNDUP(E23,0))))</f>
        <v>0.92264000000000002</v>
      </c>
      <c r="I23" s="119">
        <v>0</v>
      </c>
      <c r="J23" s="123">
        <f t="shared" si="1"/>
        <v>3.7726258759639551E-2</v>
      </c>
      <c r="K23" s="95">
        <f t="shared" si="3"/>
        <v>42975.790657296311</v>
      </c>
      <c r="L23" s="95">
        <f t="shared" si="4"/>
        <v>42975.828383555068</v>
      </c>
      <c r="M23" s="5"/>
      <c r="N23" s="5"/>
      <c r="O23" s="47" t="str">
        <f t="shared" si="2"/>
        <v>124622</v>
      </c>
      <c r="P23" s="112">
        <f>VLOOKUP(O23,deuda!A$1:H$551,4,0)</f>
        <v>1</v>
      </c>
      <c r="Q23" s="112">
        <f>VLOOKUP(O23,deuda!A$1:H$551,5,0)</f>
        <v>1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27" customHeight="1">
      <c r="A24" s="24">
        <v>9</v>
      </c>
      <c r="B24" s="5">
        <v>1246</v>
      </c>
      <c r="C24" s="250">
        <v>42</v>
      </c>
      <c r="D24" s="250">
        <v>2</v>
      </c>
      <c r="E24" s="9">
        <v>1.9973000000000001</v>
      </c>
      <c r="F24" s="85" t="str">
        <f t="shared" si="0"/>
        <v>SI</v>
      </c>
      <c r="G24" s="335" t="s">
        <v>392</v>
      </c>
      <c r="H24" s="125">
        <f>IF(Hijuelas!$G$5="fracción",IF(F24="NO",0,IF(Hijuelas!$G$6="si",IF(D24=1,E24,E24*0.8),E24)),IF(F24="NO",0,IF(Hijuelas!$G$6="si",IF(D24=1,ROUNDUP(E24,0),ROUNDUP(E24*0.8,0)),ROUNDUP(E24,0))))</f>
        <v>1.5978400000000001</v>
      </c>
      <c r="I24" s="119">
        <v>2.013888888888889E-2</v>
      </c>
      <c r="J24" s="123">
        <f t="shared" si="1"/>
        <v>6.5334827556254305E-2</v>
      </c>
      <c r="K24" s="95">
        <f t="shared" si="3"/>
        <v>42975.828383555068</v>
      </c>
      <c r="L24" s="95">
        <f t="shared" si="4"/>
        <v>42975.913857271516</v>
      </c>
      <c r="M24" s="5"/>
      <c r="N24" s="5"/>
      <c r="O24" s="47" t="str">
        <f t="shared" si="2"/>
        <v>124642</v>
      </c>
      <c r="P24" s="112">
        <f>VLOOKUP(O24,deuda!A$1:H$551,4,0)</f>
        <v>1</v>
      </c>
      <c r="Q24" s="112">
        <f>VLOOKUP(O24,deuda!A$1:H$551,5,0)</f>
        <v>0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24.95" customHeight="1">
      <c r="A25" s="24">
        <v>10</v>
      </c>
      <c r="B25" s="5">
        <v>1246</v>
      </c>
      <c r="C25" s="250">
        <v>39</v>
      </c>
      <c r="D25" s="250">
        <v>2</v>
      </c>
      <c r="E25" s="9">
        <v>1.9972000000000001</v>
      </c>
      <c r="F25" s="85" t="str">
        <f>IF(P25=0,"NO",IF(P25=1,"SI","CONDICIONAL"))</f>
        <v>SI</v>
      </c>
      <c r="G25" s="335" t="s">
        <v>398</v>
      </c>
      <c r="H25" s="125">
        <f>IF(Hijuelas!$G$5="fracción",IF(F25="NO",0,IF(Hijuelas!$G$6="si",IF(D25=1,E25,E25*0.8),E25)),IF(F25="NO",0,IF(Hijuelas!$G$6="si",IF(D25=1,ROUNDUP(E25,0),ROUNDUP(E25*0.8,0)),ROUNDUP(E25,0))))</f>
        <v>1.5977600000000001</v>
      </c>
      <c r="I25" s="119">
        <v>2.013888888888889E-2</v>
      </c>
      <c r="J25" s="123">
        <f t="shared" si="1"/>
        <v>6.5331556398813939E-2</v>
      </c>
      <c r="K25" s="95">
        <f t="shared" si="3"/>
        <v>42975.913857271516</v>
      </c>
      <c r="L25" s="95">
        <f t="shared" si="4"/>
        <v>42975.999327716803</v>
      </c>
      <c r="M25" s="5"/>
      <c r="N25" s="5"/>
      <c r="O25" s="47" t="str">
        <f t="shared" si="2"/>
        <v>124639</v>
      </c>
      <c r="P25" s="112">
        <f>VLOOKUP(O25,deuda!A$1:H$551,4,0)</f>
        <v>1</v>
      </c>
      <c r="Q25" s="112">
        <f>VLOOKUP(O25,deuda!A$1:H$551,5,0)</f>
        <v>1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24.95" customHeight="1">
      <c r="A26" s="24">
        <v>11</v>
      </c>
      <c r="B26" s="5">
        <v>1246</v>
      </c>
      <c r="C26" s="250">
        <v>23</v>
      </c>
      <c r="D26" s="250">
        <v>2</v>
      </c>
      <c r="E26" s="9">
        <v>12.9725</v>
      </c>
      <c r="F26" s="85" t="str">
        <f>IF(P26=0,"NO",IF(P26=1,"SI","CONDICIONAL"))</f>
        <v>SI</v>
      </c>
      <c r="G26" s="335" t="s">
        <v>399</v>
      </c>
      <c r="H26" s="125">
        <f>IF(Hijuelas!$G$5="fracción",IF(F26="NO",0,IF(Hijuelas!$G$6="si",IF(D26=1,E26,E26*0.8),E26)),IF(F26="NO",0,IF(Hijuelas!$G$6="si",IF(D26=1,ROUNDUP(E26,0),ROUNDUP(E26*0.8,0)),ROUNDUP(E26,0))))</f>
        <v>10.378</v>
      </c>
      <c r="I26" s="119">
        <v>0</v>
      </c>
      <c r="J26" s="123">
        <f t="shared" si="1"/>
        <v>0.4243508989503374</v>
      </c>
      <c r="K26" s="95">
        <f t="shared" si="3"/>
        <v>42975.999327716803</v>
      </c>
      <c r="L26" s="95">
        <f t="shared" si="4"/>
        <v>42976.423678615756</v>
      </c>
      <c r="M26" s="5"/>
      <c r="N26" s="5"/>
      <c r="O26" s="47" t="str">
        <f t="shared" si="2"/>
        <v>124623</v>
      </c>
      <c r="P26" s="112">
        <f>VLOOKUP(O26,deuda!A$1:H$551,4,0)</f>
        <v>1</v>
      </c>
      <c r="Q26" s="112">
        <f>VLOOKUP(O26,deuda!A$1:H$551,5,0)</f>
        <v>1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25.5">
      <c r="A27" s="24">
        <v>12</v>
      </c>
      <c r="B27" s="5">
        <v>1246</v>
      </c>
      <c r="C27" s="250">
        <v>26</v>
      </c>
      <c r="D27" s="250">
        <v>2</v>
      </c>
      <c r="E27" s="9">
        <v>9.1574000000000009</v>
      </c>
      <c r="F27" s="85" t="str">
        <f>IF(P27=0,"NO",IF(P27=1,"SI","CONDICIONAL"))</f>
        <v>SI</v>
      </c>
      <c r="G27" s="335" t="s">
        <v>400</v>
      </c>
      <c r="H27" s="125">
        <f>IF(Hijuelas!$G$5="fracción",IF(F27="NO",0,IF(Hijuelas!$G$6="si",IF(D27=1,E27,E27*0.8),E27)),IF(F27="NO",0,IF(Hijuelas!$G$6="si",IF(D27=1,ROUNDUP(E27,0),ROUNDUP(E27*0.8,0)),ROUNDUP(E27,0))))</f>
        <v>7.3259200000000009</v>
      </c>
      <c r="I27" s="119">
        <v>0</v>
      </c>
      <c r="J27" s="123">
        <f t="shared" si="1"/>
        <v>0.29955297144326998</v>
      </c>
      <c r="K27" s="95">
        <f t="shared" si="3"/>
        <v>42976.423678615756</v>
      </c>
      <c r="L27" s="95">
        <f t="shared" si="4"/>
        <v>42976.723231587202</v>
      </c>
      <c r="M27" s="5"/>
      <c r="N27" s="5"/>
      <c r="O27" s="47" t="str">
        <f t="shared" si="2"/>
        <v>124626</v>
      </c>
      <c r="P27" s="112">
        <f>VLOOKUP(O27,deuda!A$1:H$551,4,0)</f>
        <v>1</v>
      </c>
      <c r="Q27" s="112">
        <f>VLOOKUP(O27,deuda!A$1:H$551,5,0)</f>
        <v>1</v>
      </c>
      <c r="R27" s="112" t="str">
        <f>IF(VLOOKUP(O27,deuda!A$1:H$551,6,0)=0,"",VLOOKUP(O27,deuda!A$1:H$551,6,0))</f>
        <v/>
      </c>
      <c r="S27" s="113" t="str">
        <f>IF((VLOOKUP(O27,deuda!A$1:H$551,7,0))=0,"",VLOOKUP(O27,deuda!A$1:H$551,7,0))</f>
        <v/>
      </c>
      <c r="T27" s="114" t="str">
        <f>IF((VLOOKUP(O27,deuda!A$1:H$551,8,0))=0,"",VLOOKUP(O27,deuda!A$1:H$551,8,0))</f>
        <v/>
      </c>
    </row>
    <row r="28" spans="1:20" ht="24.95" customHeight="1">
      <c r="A28" s="24">
        <v>13</v>
      </c>
      <c r="B28" s="5">
        <v>1246</v>
      </c>
      <c r="C28" s="250">
        <v>37</v>
      </c>
      <c r="D28" s="250">
        <v>2</v>
      </c>
      <c r="E28" s="9">
        <v>8.3046000000000006</v>
      </c>
      <c r="F28" s="85" t="str">
        <f>IF(P28=0,"NO",IF(P28=1,"SI","CONDICIONAL"))</f>
        <v>SI</v>
      </c>
      <c r="G28" s="335" t="s">
        <v>401</v>
      </c>
      <c r="H28" s="125">
        <f>IF(Hijuelas!$G$5="fracción",IF(F28="NO",0,IF(Hijuelas!$G$6="si",IF(D28=1,E28,E28*0.8),E28)),IF(F28="NO",0,IF(Hijuelas!$G$6="si",IF(D28=1,ROUNDUP(E28,0),ROUNDUP(E28*0.8,0)),ROUNDUP(E28,0))))</f>
        <v>6.6436800000000007</v>
      </c>
      <c r="I28" s="119">
        <v>0</v>
      </c>
      <c r="J28" s="123">
        <f t="shared" si="1"/>
        <v>0.27165654079190382</v>
      </c>
      <c r="K28" s="95">
        <f t="shared" si="3"/>
        <v>42976.723231587202</v>
      </c>
      <c r="L28" s="95">
        <f t="shared" si="4"/>
        <v>42976.994888127992</v>
      </c>
      <c r="M28" s="5"/>
      <c r="N28" s="5"/>
      <c r="O28" s="47" t="str">
        <f t="shared" si="2"/>
        <v>124637</v>
      </c>
      <c r="P28" s="112">
        <f>VLOOKUP(O28,deuda!A$1:H$551,4,0)</f>
        <v>1</v>
      </c>
      <c r="Q28" s="112">
        <f>VLOOKUP(O28,deuda!A$1:H$551,5,0)</f>
        <v>0</v>
      </c>
      <c r="R28" s="112" t="str">
        <f>IF(VLOOKUP(O28,deuda!A$1:H$551,6,0)=0,"",VLOOKUP(O28,deuda!A$1:H$551,6,0))</f>
        <v/>
      </c>
      <c r="S28" s="113" t="str">
        <f>IF((VLOOKUP(O28,deuda!A$1:H$551,7,0))=0,"",VLOOKUP(O28,deuda!A$1:H$551,7,0))</f>
        <v/>
      </c>
      <c r="T28" s="114" t="str">
        <f>IF((VLOOKUP(O28,deuda!A$1:H$551,8,0))=0,"",VLOOKUP(O28,deuda!A$1:H$551,8,0))</f>
        <v/>
      </c>
    </row>
    <row r="29" spans="1:20" ht="26.25" thickBot="1">
      <c r="A29" s="97">
        <v>14</v>
      </c>
      <c r="B29" s="27">
        <v>1246</v>
      </c>
      <c r="C29" s="256">
        <v>1</v>
      </c>
      <c r="D29" s="256">
        <v>2</v>
      </c>
      <c r="E29" s="138">
        <v>16.396699999999999</v>
      </c>
      <c r="F29" s="85" t="str">
        <f>IF(P29=0,"NO",IF(P29=1,"SI","CONDICIONAL"))</f>
        <v>SI</v>
      </c>
      <c r="G29" s="337" t="s">
        <v>402</v>
      </c>
      <c r="H29" s="125">
        <f>IF(Hijuelas!$G$5="fracción",IF(F29="NO",0,IF(Hijuelas!$G$6="si",IF(D29=1,E29,E29*0.8),E29)),IF(F29="NO",0,IF(Hijuelas!$G$6="si",IF(D29=1,ROUNDUP(E29,0),ROUNDUP(E29*0.8,0)),ROUNDUP(E29,0))))</f>
        <v>13.11736</v>
      </c>
      <c r="I29" s="413">
        <v>0</v>
      </c>
      <c r="J29" s="123">
        <f t="shared" si="1"/>
        <v>0.53636187202304852</v>
      </c>
      <c r="K29" s="95">
        <f t="shared" si="3"/>
        <v>42976.994888127992</v>
      </c>
      <c r="L29" s="95">
        <f t="shared" si="4"/>
        <v>42977.531250000015</v>
      </c>
      <c r="M29" s="27"/>
      <c r="N29" s="27"/>
      <c r="O29" s="47" t="str">
        <f t="shared" si="2"/>
        <v>12461</v>
      </c>
      <c r="P29" s="112">
        <f>VLOOKUP(O29,deuda!A$1:H$551,4,0)</f>
        <v>1</v>
      </c>
      <c r="Q29" s="112">
        <f>VLOOKUP(O29,deuda!A$1:H$551,5,0)</f>
        <v>0</v>
      </c>
      <c r="R29" s="112" t="str">
        <f>IF(VLOOKUP(O29,deuda!A$1:H$551,6,0)=0,"",VLOOKUP(O29,deuda!A$1:H$551,6,0))</f>
        <v/>
      </c>
      <c r="S29" s="113" t="str">
        <f>IF((VLOOKUP(O29,deuda!A$1:H$551,7,0))=0,"",VLOOKUP(O29,deuda!A$1:H$551,7,0))</f>
        <v/>
      </c>
      <c r="T29" s="114" t="str">
        <f>IF((VLOOKUP(O29,deuda!A$1:H$551,8,0))=0,"",VLOOKUP(O29,deuda!A$1:H$551,8,0))</f>
        <v/>
      </c>
    </row>
    <row r="30" spans="1:20" ht="24.95" customHeight="1">
      <c r="E30" s="471">
        <f>SUM(E12:E29)</f>
        <v>115.63609999999998</v>
      </c>
      <c r="F30" s="14"/>
      <c r="H30" s="471">
        <f>SUM(H12:H29)</f>
        <v>92.508880000000005</v>
      </c>
      <c r="I30" s="119">
        <f>SUM(I12:I29)</f>
        <v>8.1944444444444445E-2</v>
      </c>
      <c r="J30" s="472">
        <f>SUM(J12:J29)</f>
        <v>3.7826388888888882</v>
      </c>
    </row>
  </sheetData>
  <mergeCells count="5">
    <mergeCell ref="A9:B9"/>
    <mergeCell ref="A5:B5"/>
    <mergeCell ref="C5:E5"/>
    <mergeCell ref="A6:B6"/>
    <mergeCell ref="C6:E6"/>
  </mergeCells>
  <phoneticPr fontId="0" type="noConversion"/>
  <dataValidations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2:P29" xr:uid="{00000000-0002-0000-1800-000000000000}">
      <formula1>2</formula1>
      <formula2>2</formula2>
    </dataValidation>
  </dataValidations>
  <pageMargins left="0.39370078740157483" right="0.39370078740157483" top="0.78740157480314965" bottom="0.78740157480314965" header="0" footer="0"/>
  <pageSetup paperSize="9" scale="8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5"/>
  <dimension ref="A1:H237"/>
  <sheetViews>
    <sheetView view="pageBreakPreview" zoomScale="60" zoomScaleNormal="75" workbookViewId="0" xr3:uid="{94BC7849-1D55-59FD-A4A3-F33B65D9F6CB}">
      <selection activeCell="K22" sqref="K22"/>
    </sheetView>
  </sheetViews>
  <sheetFormatPr defaultRowHeight="12.75"/>
  <cols>
    <col min="1" max="2" width="11.42578125" customWidth="1"/>
    <col min="3" max="3" width="11.7109375" bestFit="1" customWidth="1"/>
    <col min="4" max="4" width="22" bestFit="1" customWidth="1"/>
    <col min="5" max="5" width="11.42578125" customWidth="1"/>
    <col min="6" max="6" width="11.7109375" bestFit="1" customWidth="1"/>
    <col min="7" max="7" width="28.710937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VLOOKUP(G5,'10_1'!$A$11:$G$29,7,0)</f>
        <v>DECURGEZ ARRIGHI, GERMAN EDUARDO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+'10_1'!$H$2</f>
        <v>Hijuela Ortega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VLOOKUP(G5,'10_1'!$A$11:$B$29,2,0)</f>
        <v>1246</v>
      </c>
      <c r="D7" s="76"/>
      <c r="E7" s="635" t="s">
        <v>184</v>
      </c>
      <c r="F7" s="373">
        <f>DSUM('10_1'!A$11:J$29,'10_1'!$J$11,G4:G5)</f>
        <v>0.75222555151221981</v>
      </c>
      <c r="G7" s="382"/>
      <c r="H7" s="76"/>
    </row>
    <row r="8" spans="1:8">
      <c r="A8" s="381"/>
      <c r="B8" s="635" t="s">
        <v>185</v>
      </c>
      <c r="C8" s="374">
        <v>5</v>
      </c>
      <c r="D8" s="76"/>
      <c r="E8" s="635" t="s">
        <v>186</v>
      </c>
      <c r="F8" s="368" t="str">
        <f>IF(VLOOKUP(G5,'10_1'!$A$11:$D$29,4,0)=2,"Eventual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DSUM('10_1'!$A$11:$H$29,'10_1'!$H$11,G4:G5)</f>
        <v>18.396559999999997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DMIN('10_1'!A$11:K$29,'10_1'!$K$11,G4:G5)</f>
        <v>42973.666666666664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 t="s">
        <v>70</v>
      </c>
      <c r="H10" s="76"/>
    </row>
    <row r="11" spans="1:8" ht="15.75">
      <c r="A11" s="381"/>
      <c r="B11" s="76"/>
      <c r="C11" s="635" t="s">
        <v>190</v>
      </c>
      <c r="D11" s="107">
        <f>DMAX('10_1'!A$11:L$29,'10_1'!$L$11,G4:G5)</f>
        <v>42974.418892218178</v>
      </c>
      <c r="E11" s="127" t="str">
        <f>IF(F11=1,"Domingo",IF(F11=2,"Lunes",IF(F11=3,"Martes",IF(F11=4,"Miercoles",IF(F11=5,"Jueves",IF(F11=6,"Viernes",IF(F11=7,"Sábado",0)))))))</f>
        <v>Domingo</v>
      </c>
      <c r="F11" s="128">
        <f>WEEKDAY(D11)</f>
        <v>1</v>
      </c>
      <c r="G11" s="385">
        <f>WEEKDAY(D11)</f>
        <v>1</v>
      </c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IF(DSUM('10_1'!$A$11:$P$89,16,G4:G5)=COUNTIF('10_1'!$A$12:$A$89,G5),"","Regularice su Deuda")</f>
        <v/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VLOOKUP(G22,'10_1'!$A$11:$G$29,7,0)</f>
        <v>SGRIGNIERI, JOSE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+'10_1'!$H$2</f>
        <v>Hijuela Ortega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VLOOKUP(G22,'10_1'!$A$11:$B$29,2,0)</f>
        <v>1246</v>
      </c>
      <c r="D24" s="76"/>
      <c r="E24" s="635" t="s">
        <v>184</v>
      </c>
      <c r="F24" s="373">
        <f>DSUM('10_1'!A$11:J$29,'10_1'!$J$11,G21:G22)</f>
        <v>0.2117616480589635</v>
      </c>
      <c r="G24" s="382"/>
    </row>
    <row r="25" spans="1:7">
      <c r="A25" s="381"/>
      <c r="B25" s="635" t="s">
        <v>185</v>
      </c>
      <c r="C25" s="374" t="s">
        <v>403</v>
      </c>
      <c r="D25" s="76"/>
      <c r="E25" s="635" t="s">
        <v>186</v>
      </c>
      <c r="F25" s="368" t="str">
        <f>IF(VLOOKUP(G22,'10_1'!$A$11:$D$29,4,0)=2,"Eventual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DSUM('10_1'!$A$11:$H$29,'10_1'!$H$11,G21:G22)</f>
        <v>5.1788800000000004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DMIN('10_1'!A$11:K$29,'10_1'!$K$11,G21:G22)</f>
        <v>42974.418892218178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DMAX('10_1'!A$11:L$29,'10_1'!$L$11,G21:G22)</f>
        <v>42974.630653866239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385">
        <f>WEEKDAY(D28)</f>
        <v>1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IF(DSUM('10_1'!$A$11:$P$89,16,G21:G22)=COUNTIF('10_1'!$A$12:$A$89,G22),"","Regularice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VLOOKUP(G39,'10_1'!$A$11:$G$29,7,0)</f>
        <v>SARABIA, JORGE RICARDO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+'10_1'!$H$2</f>
        <v>Hijuela Ortega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VLOOKUP(G39,'10_1'!$A$11:$B$29,2,0)</f>
        <v>1246</v>
      </c>
      <c r="D41" s="76"/>
      <c r="E41" s="635" t="s">
        <v>184</v>
      </c>
      <c r="F41" s="373">
        <f>DSUM('10_1'!A$11:J$29,'10_1'!$J$11,G38:G39)</f>
        <v>0.11847150901741661</v>
      </c>
      <c r="G41" s="382"/>
    </row>
    <row r="42" spans="1:7">
      <c r="A42" s="381"/>
      <c r="B42" s="635" t="s">
        <v>185</v>
      </c>
      <c r="C42" s="374">
        <v>18</v>
      </c>
      <c r="D42" s="76"/>
      <c r="E42" s="635" t="s">
        <v>186</v>
      </c>
      <c r="F42" s="368" t="str">
        <f>IF(VLOOKUP(G39,'10_1'!$A$11:$D$29,4,0)=2,"Eventual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DSUM('10_1'!$A$11:$H$29,'10_1'!$H$11,G38:G39)</f>
        <v>2.8973600000000004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DMIN('10_1'!A$11:K$29,'10_1'!$K$11,G38:G39)</f>
        <v>42974.630653866239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DMAX('10_1'!A$11:L$29,'10_1'!$L$11,G38:G39)</f>
        <v>42974.769958708595</v>
      </c>
      <c r="E45" s="127" t="str">
        <f>IF(F45=1,"Domingo",IF(F45=2,"Lunes",IF(F45=3,"Martes",IF(F45=4,"Miercoles",IF(F45=5,"Jueves",IF(F45=6,"Viernes",IF(F45=7,"Sábado",0)))))))</f>
        <v>Domingo</v>
      </c>
      <c r="F45" s="128">
        <f>WEEKDAY(D45)</f>
        <v>1</v>
      </c>
      <c r="G45" s="385">
        <f>WEEKDAY(D45)</f>
        <v>1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IF(DSUM('10_1'!$A$11:$P$89,16,G38:G39)=COUNTIF('10_1'!$A$12:$A$89,G39),"","Regularice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VLOOKUP(G56,'10_1'!$A$11:$G$29,7,0)</f>
        <v>SARABIA, JORGE RICARDO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+'10_1'!$H$2</f>
        <v>Hijuela Ortega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VLOOKUP(G56,'10_1'!$A$11:$B$29,2,0)</f>
        <v>1246</v>
      </c>
      <c r="D58" s="76"/>
      <c r="E58" s="635" t="s">
        <v>184</v>
      </c>
      <c r="F58" s="373">
        <f>DSUM('10_1'!A$11:J$29,'10_1'!$J$11,G55:G56)</f>
        <v>0.12148097386254521</v>
      </c>
      <c r="G58" s="382"/>
    </row>
    <row r="59" spans="1:7">
      <c r="A59" s="381"/>
      <c r="B59" s="635" t="s">
        <v>185</v>
      </c>
      <c r="C59" s="374">
        <v>36</v>
      </c>
      <c r="D59" s="76"/>
      <c r="E59" s="635" t="s">
        <v>186</v>
      </c>
      <c r="F59" s="368" t="str">
        <f>IF(VLOOKUP(G56,'10_1'!$A$11:$D$29,4,0)=2,"Eventual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DSUM('10_1'!$A$11:$H$29,'10_1'!$H$11,G55:G56)</f>
        <v>2.9709599999999998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DMIN('10_1'!A$11:K$29,'10_1'!$K$11,G55:G56)</f>
        <v>42974.769958708595</v>
      </c>
      <c r="E61" s="127" t="str">
        <f>IF(F61=1,"Domingo",IF(F61=2,"Lunes",IF(F61=3,"Martes",IF(F61=4,"Miercoles",IF(F61=5,"Jueves",IF(F61=6,"Viernes",IF(F61=7,"Sábado",0)))))))</f>
        <v>Domingo</v>
      </c>
      <c r="F61" s="128">
        <f>WEEKDAY(D61)</f>
        <v>1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DMAX('10_1'!A$11:L$29,'10_1'!$L$11,G55:G56)</f>
        <v>42974.891439682455</v>
      </c>
      <c r="E62" s="127" t="str">
        <f>IF(F62=1,"Domingo",IF(F62=2,"Lunes",IF(F62=3,"Martes",IF(F62=4,"Miercoles",IF(F62=5,"Jueves",IF(F62=6,"Viernes",IF(F62=7,"Sábado",0)))))))</f>
        <v>Domingo</v>
      </c>
      <c r="F62" s="128">
        <f>WEEKDAY(D62)</f>
        <v>1</v>
      </c>
      <c r="G62" s="385">
        <f>WEEKDAY(D62)</f>
        <v>1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IF(DSUM('10_1'!$A$11:$P$89,16,G55:G56)=COUNTIF('10_1'!$A$12:$A$89,G56),"","Regularice su Deuda")</f>
        <v/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VLOOKUP(G73,'10_1'!$A$11:$G$29,7,0)</f>
        <v>VALENZUELA, NORMA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+'10_1'!$H$2</f>
        <v>Hijuela Ortega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VLOOKUP(G73,'10_1'!$A$11:$B$29,2,0)</f>
        <v>1246</v>
      </c>
      <c r="D75" s="76"/>
      <c r="E75" s="635" t="s">
        <v>184</v>
      </c>
      <c r="F75" s="373">
        <f>DSUM('10_1'!A$11:J$29,'10_1'!$J$11,G72:G73)</f>
        <v>0.16855620058672566</v>
      </c>
      <c r="G75" s="382"/>
    </row>
    <row r="76" spans="1:7">
      <c r="A76" s="381"/>
      <c r="B76" s="635" t="s">
        <v>185</v>
      </c>
      <c r="C76" s="374">
        <v>41</v>
      </c>
      <c r="D76" s="76"/>
      <c r="E76" s="635" t="s">
        <v>186</v>
      </c>
      <c r="F76" s="368" t="str">
        <f>IF(VLOOKUP(G73,'10_1'!$A$11:$D$29,4,0)=2,"Eventual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DSUM('10_1'!$A$11:$H$29,'10_1'!$H$11,G72:G73)</f>
        <v>4.1222400000000006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DMIN('10_1'!A$11:K$29,'10_1'!$K$11,G72:G73)</f>
        <v>42974.891439682455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 t="s">
        <v>70</v>
      </c>
    </row>
    <row r="79" spans="1:7" ht="15.75">
      <c r="A79" s="381"/>
      <c r="B79" s="76"/>
      <c r="C79" s="635" t="s">
        <v>190</v>
      </c>
      <c r="D79" s="107">
        <f>DMAX('10_1'!A$11:L$29,'10_1'!$L$11,G72:G73)</f>
        <v>42975.080829216378</v>
      </c>
      <c r="E79" s="127" t="str">
        <f>IF(F79=1,"Domingo",IF(F79=2,"Lunes",IF(F79=3,"Martes",IF(F79=4,"Miercoles",IF(F79=5,"Jueves",IF(F79=6,"Viernes",IF(F79=7,"Sábado",0)))))))</f>
        <v>Lunes</v>
      </c>
      <c r="F79" s="128">
        <f>WEEKDAY(D79)</f>
        <v>2</v>
      </c>
      <c r="G79" s="385">
        <f>WEEKDAY(D79)</f>
        <v>2</v>
      </c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IF(DSUM('10_1'!$A$11:$P$89,16,G72:G73)=COUNTIF('10_1'!$A$12:$A$89,G73),"","Regularice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VLOOKUP(G90,'10_1'!$A$11:$G$29,7,0)</f>
        <v>QUINTIERI, LUIS CARLOS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+'10_1'!$H$2</f>
        <v>Hijuela Ortega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VLOOKUP(G90,'10_1'!$A$11:$B$29,2,0)</f>
        <v>1246</v>
      </c>
      <c r="D92" s="76"/>
      <c r="E92" s="635" t="s">
        <v>184</v>
      </c>
      <c r="F92" s="373">
        <f>DSUM('10_1'!A$11:J$29,'10_1'!$J$11,G89:G90)</f>
        <v>0.16741456664004098</v>
      </c>
      <c r="G92" s="382"/>
    </row>
    <row r="93" spans="1:7">
      <c r="A93" s="381"/>
      <c r="B93" s="635" t="s">
        <v>185</v>
      </c>
      <c r="C93" s="374">
        <v>40</v>
      </c>
      <c r="D93" s="76"/>
      <c r="E93" s="635" t="s">
        <v>186</v>
      </c>
      <c r="F93" s="368" t="str">
        <f>IF(VLOOKUP(G90,'10_1'!$A$11:$D$29,4,0)=2,"Eventual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DSUM('10_1'!$A$11:$H$29,'10_1'!$H$11,G89:G90)</f>
        <v>4.0943199999999997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DMIN('10_1'!A$11:K$29,'10_1'!$K$11,G89:G90)</f>
        <v>42975.080829216378</v>
      </c>
      <c r="E95" s="127" t="str">
        <f>IF(F95=1,"Domingo",IF(F95=2,"Lunes",IF(F95=3,"Martes",IF(F95=4,"Miercoles",IF(F95=5,"Jueves",IF(F95=6,"Viernes",IF(F95=7,"Sábado",0)))))))</f>
        <v>Lunes</v>
      </c>
      <c r="F95" s="128">
        <f>WEEKDAY(D95)</f>
        <v>2</v>
      </c>
      <c r="G95" s="385" t="s">
        <v>70</v>
      </c>
    </row>
    <row r="96" spans="1:7" ht="15.75">
      <c r="A96" s="381"/>
      <c r="B96" s="76"/>
      <c r="C96" s="635" t="s">
        <v>190</v>
      </c>
      <c r="D96" s="107">
        <f>DMAX('10_1'!A$11:L$29,'10_1'!$L$11,G89:G90)</f>
        <v>42975.248243783019</v>
      </c>
      <c r="E96" s="127" t="str">
        <f>IF(F96=1,"Domingo",IF(F96=2,"Lunes",IF(F96=3,"Martes",IF(F96=4,"Miercoles",IF(F96=5,"Jueves",IF(F96=6,"Viernes",IF(F96=7,"Sábado",0)))))))</f>
        <v>Lunes</v>
      </c>
      <c r="F96" s="128">
        <f>WEEKDAY(D96)</f>
        <v>2</v>
      </c>
      <c r="G96" s="385">
        <f>WEEKDAY(D96)</f>
        <v>2</v>
      </c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IF(DSUM('10_1'!$A$11:$P$89,16,G89:G90)=COUNTIF('10_1'!$A$12:$A$89,G90),"","Regularice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VLOOKUP(G107,'10_1'!$A$11:$G$29,7,0)</f>
        <v>QUINTERI, MIGUEL ANGEL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+'10_1'!$H$2</f>
        <v>Hijuela Ortega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VLOOKUP(G107,'10_1'!$A$11:$B$29,2,0)</f>
        <v>1246</v>
      </c>
      <c r="D109" s="76"/>
      <c r="E109" s="635" t="s">
        <v>184</v>
      </c>
      <c r="F109" s="373">
        <f>DSUM('10_1'!A$11:J$29,'10_1'!$J$11,G106:G107)</f>
        <v>0.34614406686627752</v>
      </c>
      <c r="G109" s="382"/>
    </row>
    <row r="110" spans="1:7">
      <c r="A110" s="381"/>
      <c r="B110" s="635" t="s">
        <v>185</v>
      </c>
      <c r="C110" s="374">
        <v>38</v>
      </c>
      <c r="D110" s="76"/>
      <c r="E110" s="635" t="s">
        <v>186</v>
      </c>
      <c r="F110" s="368" t="str">
        <f>IF(VLOOKUP(G107,'10_1'!$A$11:$D$29,4,0)=2,"Eventual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DSUM('10_1'!$A$11:$H$29,'10_1'!$H$11,G106:G107)</f>
        <v>8.4653600000000004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DMIN('10_1'!A$11:K$29,'10_1'!$K$11,G106:G107)</f>
        <v>42975.248243783019</v>
      </c>
      <c r="E112" s="127" t="str">
        <f>IF(F112=1,"Domingo",IF(F112=2,"Lunes",IF(F112=3,"Martes",IF(F112=4,"Miercoles",IF(F112=5,"Jueves",IF(F112=6,"Viernes",IF(F112=7,"Sábado",0)))))))</f>
        <v>Lunes</v>
      </c>
      <c r="F112" s="128">
        <f>WEEKDAY(D112)</f>
        <v>2</v>
      </c>
      <c r="G112" s="385" t="s">
        <v>70</v>
      </c>
    </row>
    <row r="113" spans="1:7" ht="15.75">
      <c r="A113" s="381"/>
      <c r="B113" s="76"/>
      <c r="C113" s="635" t="s">
        <v>190</v>
      </c>
      <c r="D113" s="107">
        <f>DMAX('10_1'!A$11:L$29,'10_1'!$L$11,G106:G107)</f>
        <v>42975.594387849887</v>
      </c>
      <c r="E113" s="127" t="str">
        <f>IF(F113=1,"Domingo",IF(F113=2,"Lunes",IF(F113=3,"Martes",IF(F113=4,"Miercoles",IF(F113=5,"Jueves",IF(F113=6,"Viernes",IF(F113=7,"Sábado",0)))))))</f>
        <v>Lunes</v>
      </c>
      <c r="F113" s="128">
        <f>WEEKDAY(D113)</f>
        <v>2</v>
      </c>
      <c r="G113" s="385">
        <f>WEEKDAY(D113)</f>
        <v>2</v>
      </c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IF(DSUM('10_1'!$A$11:$P$89,16,G106:G107)=COUNTIF('10_1'!$A$12:$A$89,G107),"","Regularice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VLOOKUP(G124,'10_1'!$A$11:$G$29,7,0)</f>
        <v>TEJENO, GUSTAVO JESUS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+'10_1'!$H$2</f>
        <v>Hijuela Ortega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VLOOKUP(G124,'10_1'!$A$11:$B$29,2,0)</f>
        <v>1246</v>
      </c>
      <c r="D126" s="76"/>
      <c r="E126" s="635" t="s">
        <v>184</v>
      </c>
      <c r="F126" s="373">
        <f>DSUM('10_1'!A$11:J$29,'10_1'!$J$11,G123:G124)</f>
        <v>0.23399570518107135</v>
      </c>
      <c r="G126" s="382"/>
    </row>
    <row r="127" spans="1:7">
      <c r="A127" s="381"/>
      <c r="B127" s="635" t="s">
        <v>185</v>
      </c>
      <c r="C127" s="374" t="s">
        <v>404</v>
      </c>
      <c r="D127" s="76"/>
      <c r="E127" s="635" t="s">
        <v>186</v>
      </c>
      <c r="F127" s="368" t="str">
        <f>IF(VLOOKUP(G124,'10_1'!$A$11:$D$29,4,0)=2,"Eventual 80%","Definitivo 100%")</f>
        <v>Eventual 80%</v>
      </c>
      <c r="G127" s="382"/>
    </row>
    <row r="128" spans="1:7">
      <c r="A128" s="381"/>
      <c r="B128" s="635" t="s">
        <v>187</v>
      </c>
      <c r="C128" s="375">
        <f>DSUM('10_1'!$A$11:$H$29,'10_1'!$H$11,G123:G124)</f>
        <v>5.7226400000000011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DMIN('10_1'!A$11:K$29,'10_1'!$K$11,G123:G124)</f>
        <v>42975.594387849887</v>
      </c>
      <c r="E129" s="127" t="str">
        <f>IF(F129=1,"Domingo",IF(F129=2,"Lunes",IF(F129=3,"Martes",IF(F129=4,"Miercoles",IF(F129=5,"Jueves",IF(F129=6,"Viernes",IF(F129=7,"Sábado",0)))))))</f>
        <v>Lunes</v>
      </c>
      <c r="F129" s="128">
        <f>WEEKDAY(D129)</f>
        <v>2</v>
      </c>
      <c r="G129" s="385" t="s">
        <v>70</v>
      </c>
    </row>
    <row r="130" spans="1:7" ht="15.75">
      <c r="A130" s="381"/>
      <c r="B130" s="76"/>
      <c r="C130" s="635" t="s">
        <v>190</v>
      </c>
      <c r="D130" s="107">
        <f>DMAX('10_1'!A$11:L$29,'10_1'!$L$11,G123:G124)</f>
        <v>42975.828383555068</v>
      </c>
      <c r="E130" s="127" t="str">
        <f>IF(F130=1,"Domingo",IF(F130=2,"Lunes",IF(F130=3,"Martes",IF(F130=4,"Miercoles",IF(F130=5,"Jueves",IF(F130=6,"Viernes",IF(F130=7,"Sábado",0)))))))</f>
        <v>Lunes</v>
      </c>
      <c r="F130" s="128">
        <f>WEEKDAY(D130)</f>
        <v>2</v>
      </c>
      <c r="G130" s="385">
        <f>WEEKDAY(D130)</f>
        <v>2</v>
      </c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IF(DSUM('10_1'!$A$11:$P$89,16,G123:G124)=COUNTIF('10_1'!$A$12:$A$89,G124),"","Regularice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VLOOKUP(G141,'10_1'!$A$11:$G$29,7,0)</f>
        <v>SARABIA, JORGE RICARDO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+'10_1'!$H$2</f>
        <v>Hijuela Ortega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VLOOKUP(G141,'10_1'!$A$11:$B$29,2,0)</f>
        <v>1246</v>
      </c>
      <c r="D143" s="76"/>
      <c r="E143" s="635" t="s">
        <v>184</v>
      </c>
      <c r="F143" s="373">
        <f>DSUM('10_1'!A$11:J$29,'10_1'!$J$11,G140:G141)</f>
        <v>6.5334827556254305E-2</v>
      </c>
      <c r="G143" s="382"/>
    </row>
    <row r="144" spans="1:7">
      <c r="A144" s="381"/>
      <c r="B144" s="635" t="s">
        <v>185</v>
      </c>
      <c r="C144" s="374">
        <v>42</v>
      </c>
      <c r="D144" s="76"/>
      <c r="E144" s="635" t="s">
        <v>186</v>
      </c>
      <c r="F144" s="368" t="str">
        <f>IF(VLOOKUP(G141,'10_1'!$A$11:$D$29,4,0)=2,"Eventual 80%","Definitivo 100%")</f>
        <v>Eventual 80%</v>
      </c>
      <c r="G144" s="382"/>
    </row>
    <row r="145" spans="1:7">
      <c r="A145" s="381"/>
      <c r="B145" s="635" t="s">
        <v>187</v>
      </c>
      <c r="C145" s="375">
        <f>DSUM('10_1'!$A$11:$H$29,'10_1'!$H$11,G140:G141)</f>
        <v>1.5978400000000001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DMIN('10_1'!A$11:K$29,'10_1'!$K$11,G140:G141)</f>
        <v>42975.828383555068</v>
      </c>
      <c r="E146" s="127" t="str">
        <f>IF(F146=1,"Domingo",IF(F146=2,"Lunes",IF(F146=3,"Martes",IF(F146=4,"Miercoles",IF(F146=5,"Jueves",IF(F146=6,"Viernes",IF(F146=7,"Sábado",0)))))))</f>
        <v>Lunes</v>
      </c>
      <c r="F146" s="128">
        <f>WEEKDAY(D146)</f>
        <v>2</v>
      </c>
      <c r="G146" s="385" t="s">
        <v>70</v>
      </c>
    </row>
    <row r="147" spans="1:7" ht="15.75">
      <c r="A147" s="381"/>
      <c r="B147" s="76"/>
      <c r="C147" s="635" t="s">
        <v>190</v>
      </c>
      <c r="D147" s="107">
        <f>DMAX('10_1'!A$11:L$29,'10_1'!$L$11,G140:G141)</f>
        <v>42975.913857271516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385">
        <f>WEEKDAY(D147)</f>
        <v>2</v>
      </c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108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108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IF(DSUM('10_1'!$A$11:$P$89,16,G140:G141)=COUNTIF('10_1'!$A$12:$A$89,G141),"","Regularice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VLOOKUP(G158,'10_1'!$A$11:$G$29,7,0)</f>
        <v>GALDEANO, SERAFIN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+'10_1'!$H$2</f>
        <v>Hijuela Ortega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VLOOKUP(G158,'10_1'!$A$11:$B$29,2,0)</f>
        <v>1246</v>
      </c>
      <c r="D160" s="76"/>
      <c r="E160" s="635" t="s">
        <v>184</v>
      </c>
      <c r="F160" s="373">
        <f>DSUM('10_1'!A$11:J$29,'10_1'!$J$11,G157:G158)</f>
        <v>6.5331556398813939E-2</v>
      </c>
      <c r="G160" s="382"/>
    </row>
    <row r="161" spans="1:7">
      <c r="A161" s="381"/>
      <c r="B161" s="635" t="s">
        <v>185</v>
      </c>
      <c r="C161" s="374">
        <v>39</v>
      </c>
      <c r="D161" s="76"/>
      <c r="E161" s="635" t="s">
        <v>186</v>
      </c>
      <c r="F161" s="368" t="str">
        <f>IF(VLOOKUP(G158,'10_1'!$A$11:$D$29,4,0)=2,"Eventual 80%","Definitivo 100%")</f>
        <v>Eventual 80%</v>
      </c>
      <c r="G161" s="382"/>
    </row>
    <row r="162" spans="1:7">
      <c r="A162" s="381"/>
      <c r="B162" s="635" t="s">
        <v>187</v>
      </c>
      <c r="C162" s="375">
        <f>DSUM('10_1'!$A$11:$H$29,'10_1'!$H$11,G157:G158)</f>
        <v>1.5977600000000001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DMIN('10_1'!A$11:K$29,'10_1'!$K$11,G157:G158)</f>
        <v>42975.913857271516</v>
      </c>
      <c r="E163" s="127" t="str">
        <f>IF(F163=1,"Domingo",IF(F163=2,"Lunes",IF(F163=3,"Martes",IF(F163=4,"Miercoles",IF(F163=5,"Jueves",IF(F163=6,"Viernes",IF(F163=7,"Sábado",0)))))))</f>
        <v>Lunes</v>
      </c>
      <c r="F163" s="128">
        <f>WEEKDAY(D163)</f>
        <v>2</v>
      </c>
      <c r="G163" s="385" t="s">
        <v>70</v>
      </c>
    </row>
    <row r="164" spans="1:7" ht="15.75">
      <c r="A164" s="381"/>
      <c r="B164" s="76"/>
      <c r="C164" s="635" t="s">
        <v>190</v>
      </c>
      <c r="D164" s="107">
        <f>DMAX('10_1'!A$11:L$29,'10_1'!$L$11,G157:G158)</f>
        <v>42975.999327716803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385">
        <f>WEEKDAY(D164)</f>
        <v>2</v>
      </c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108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108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IF(DSUM('10_1'!$A$11:$P$89,16,G157:G158)=COUNTIF('10_1'!$A$12:$A$89,G158),"","Regularice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VLOOKUP(G175,'10_1'!$A$11:$G$29,7,0)</f>
        <v>RIOS, ANGEL JUAN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+'10_1'!$H$2</f>
        <v>Hijuela Ortega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VLOOKUP(G175,'10_1'!$A$11:$B$29,2,0)</f>
        <v>1246</v>
      </c>
      <c r="D177" s="76"/>
      <c r="E177" s="635" t="s">
        <v>184</v>
      </c>
      <c r="F177" s="373">
        <f>DSUM('10_1'!A$11:J$29,'10_1'!$J$11,G174:G175)</f>
        <v>0.4243508989503374</v>
      </c>
      <c r="G177" s="382"/>
    </row>
    <row r="178" spans="1:7">
      <c r="A178" s="381"/>
      <c r="B178" s="635" t="s">
        <v>185</v>
      </c>
      <c r="C178" s="374">
        <v>23</v>
      </c>
      <c r="D178" s="76"/>
      <c r="E178" s="635" t="s">
        <v>186</v>
      </c>
      <c r="F178" s="368" t="str">
        <f>IF(VLOOKUP(G175,'10_1'!$A$11:$D$29,4,0)=2,"Eventual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DSUM('10_1'!$A$11:$H$29,'10_1'!$H$11,G174:G175)</f>
        <v>10.378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DMIN('10_1'!A$11:K$29,'10_1'!$K$11,G174:G175)</f>
        <v>42975.999327716803</v>
      </c>
      <c r="E180" s="127" t="str">
        <f>IF(F180=1,"Domingo",IF(F180=2,"Lunes",IF(F180=3,"Martes",IF(F180=4,"Miercoles",IF(F180=5,"Jueves",IF(F180=6,"Viernes",IF(F180=7,"Sábado",0)))))))</f>
        <v>Lunes</v>
      </c>
      <c r="F180" s="128">
        <f>WEEKDAY(D180)</f>
        <v>2</v>
      </c>
      <c r="G180" s="385" t="s">
        <v>70</v>
      </c>
    </row>
    <row r="181" spans="1:7" ht="15.75">
      <c r="A181" s="381"/>
      <c r="B181" s="76"/>
      <c r="C181" s="635" t="s">
        <v>190</v>
      </c>
      <c r="D181" s="107">
        <f>DMAX('10_1'!A$11:L$29,'10_1'!$L$11,G174:G175)</f>
        <v>42976.423678615756</v>
      </c>
      <c r="E181" s="127" t="str">
        <f>IF(F181=1,"Domingo",IF(F181=2,"Lunes",IF(F181=3,"Martes",IF(F181=4,"Miercoles",IF(F181=5,"Jueves",IF(F181=6,"Viernes",IF(F181=7,"Sábado",0)))))))</f>
        <v>Martes</v>
      </c>
      <c r="F181" s="128">
        <f>WEEKDAY(D181)</f>
        <v>3</v>
      </c>
      <c r="G181" s="385">
        <f>WEEKDAY(D181)</f>
        <v>3</v>
      </c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108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108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IF(DSUM('10_1'!$A$11:$P$89,16,G174:G175)=COUNTIF('10_1'!$A$12:$A$89,G175),"","Regularice su Deuda")</f>
        <v/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">
        <v>82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VLOOKUP(G192,'10_1'!$A$11:$G$29,7,0)</f>
        <v>ABIHAGLE, ORLANDO NASIF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76" t="str">
        <f>+'10_1'!$H$2</f>
        <v>Hijuela Ortega</v>
      </c>
      <c r="D192" s="76"/>
      <c r="E192" s="76"/>
      <c r="F192" s="76"/>
      <c r="G192" s="383">
        <v>12</v>
      </c>
    </row>
    <row r="193" spans="1:7">
      <c r="A193" s="381"/>
      <c r="B193" s="76"/>
      <c r="C193" s="76"/>
      <c r="D193" s="76"/>
      <c r="E193" s="76"/>
      <c r="F193" s="76"/>
      <c r="G193" s="382"/>
    </row>
    <row r="194" spans="1:7">
      <c r="A194" s="381"/>
      <c r="B194" s="635" t="s">
        <v>183</v>
      </c>
      <c r="C194" s="331">
        <f>VLOOKUP(G192,'10_1'!$A$11:$B$29,2,0)</f>
        <v>1246</v>
      </c>
      <c r="D194" s="76"/>
      <c r="E194" s="635" t="s">
        <v>184</v>
      </c>
      <c r="F194" s="373">
        <f>DSUM('10_1'!A$11:J$29,'10_1'!$J$11,G191:G192)</f>
        <v>0.29955297144326998</v>
      </c>
      <c r="G194" s="382"/>
    </row>
    <row r="195" spans="1:7">
      <c r="A195" s="381"/>
      <c r="B195" s="635" t="s">
        <v>185</v>
      </c>
      <c r="C195" s="374">
        <v>26</v>
      </c>
      <c r="D195" s="76"/>
      <c r="E195" s="635" t="s">
        <v>186</v>
      </c>
      <c r="F195" s="368" t="str">
        <f>IF(VLOOKUP(G192,'10_1'!$A$11:$D$29,4,0)=2,"Eventual 80%","Definitivo 100%")</f>
        <v>Eventual 80%</v>
      </c>
      <c r="G195" s="382"/>
    </row>
    <row r="196" spans="1:7">
      <c r="A196" s="381"/>
      <c r="B196" s="635" t="s">
        <v>187</v>
      </c>
      <c r="C196" s="375">
        <f>DSUM('10_1'!$A$11:$H$29,'10_1'!$H$11,G191:G192)</f>
        <v>7.3259200000000009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635" t="s">
        <v>189</v>
      </c>
      <c r="D197" s="107">
        <f>DMIN('10_1'!A$11:K$29,'10_1'!$K$11,G191:G192)</f>
        <v>42976.423678615756</v>
      </c>
      <c r="E197" s="127" t="str">
        <f>IF(F197=1,"Domingo",IF(F197=2,"Lunes",IF(F197=3,"Martes",IF(F197=4,"Miercoles",IF(F197=5,"Jueves",IF(F197=6,"Viernes",IF(F197=7,"Sábado",0)))))))</f>
        <v>Martes</v>
      </c>
      <c r="F197" s="128">
        <f>WEEKDAY(D197)</f>
        <v>3</v>
      </c>
      <c r="G197" s="385" t="s">
        <v>70</v>
      </c>
    </row>
    <row r="198" spans="1:7" ht="15.75">
      <c r="A198" s="381"/>
      <c r="B198" s="76"/>
      <c r="C198" s="635" t="s">
        <v>190</v>
      </c>
      <c r="D198" s="107">
        <f>DMAX('10_1'!A$11:L$29,'10_1'!$L$11,G191:G192)</f>
        <v>42976.723231587202</v>
      </c>
      <c r="E198" s="127" t="str">
        <f>IF(F198=1,"Domingo",IF(F198=2,"Lunes",IF(F198=3,"Martes",IF(F198=4,"Miercoles",IF(F198=5,"Jueves",IF(F198=6,"Viernes",IF(F198=7,"Sábado",0)))))))</f>
        <v>Martes</v>
      </c>
      <c r="F198" s="128">
        <f>WEEKDAY(D198)</f>
        <v>3</v>
      </c>
      <c r="G198" s="385">
        <f>WEEKDAY(D198)</f>
        <v>3</v>
      </c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108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108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IF(DSUM('10_1'!$A$11:$P$89,16,G191:G192)=COUNTIF('10_1'!$A$12:$A$89,G192),"","Regularice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">
        <v>82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VLOOKUP(G209,'10_1'!$A$11:$G$29,7,0)</f>
        <v>CRUZ DE YAMIN, JOSEFA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76" t="str">
        <f>+'10_1'!$H$2</f>
        <v>Hijuela Ortega</v>
      </c>
      <c r="D209" s="76"/>
      <c r="E209" s="76"/>
      <c r="F209" s="76"/>
      <c r="G209" s="383">
        <v>13</v>
      </c>
    </row>
    <row r="210" spans="1:7">
      <c r="A210" s="381"/>
      <c r="B210" s="76"/>
      <c r="C210" s="76"/>
      <c r="D210" s="76"/>
      <c r="E210" s="76"/>
      <c r="F210" s="76"/>
      <c r="G210" s="382"/>
    </row>
    <row r="211" spans="1:7">
      <c r="A211" s="381"/>
      <c r="B211" s="635" t="s">
        <v>183</v>
      </c>
      <c r="C211" s="331">
        <f>VLOOKUP(G209,'10_1'!$A$11:$B$29,2,0)</f>
        <v>1246</v>
      </c>
      <c r="D211" s="76"/>
      <c r="E211" s="635" t="s">
        <v>184</v>
      </c>
      <c r="F211" s="373">
        <f>DSUM('10_1'!A$11:J$29,'10_1'!$J$11,G208:G209)</f>
        <v>0.27165654079190382</v>
      </c>
      <c r="G211" s="382"/>
    </row>
    <row r="212" spans="1:7">
      <c r="A212" s="381"/>
      <c r="B212" s="635" t="s">
        <v>185</v>
      </c>
      <c r="C212" s="374">
        <v>37</v>
      </c>
      <c r="D212" s="76"/>
      <c r="E212" s="635" t="s">
        <v>186</v>
      </c>
      <c r="F212" s="368" t="str">
        <f>IF(VLOOKUP(G209,'10_1'!$A$11:$D$29,4,0)=2,"Eventual 80%","Definitivo 100%")</f>
        <v>Eventual 80%</v>
      </c>
      <c r="G212" s="382"/>
    </row>
    <row r="213" spans="1:7">
      <c r="A213" s="381"/>
      <c r="B213" s="635" t="s">
        <v>187</v>
      </c>
      <c r="C213" s="375">
        <f>DSUM('10_1'!$A$11:$H$29,'10_1'!$H$11,G208:G209)</f>
        <v>6.6436800000000007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635" t="s">
        <v>189</v>
      </c>
      <c r="D214" s="107">
        <f>DMIN('10_1'!A$11:K$29,'10_1'!$K$11,G208:G209)</f>
        <v>42976.723231587202</v>
      </c>
      <c r="E214" s="127" t="str">
        <f>IF(F214=1,"Domingo",IF(F214=2,"Lunes",IF(F214=3,"Martes",IF(F214=4,"Miercoles",IF(F214=5,"Jueves",IF(F214=6,"Viernes",IF(F214=7,"Sábado",0)))))))</f>
        <v>Martes</v>
      </c>
      <c r="F214" s="128">
        <f>WEEKDAY(D214)</f>
        <v>3</v>
      </c>
      <c r="G214" s="385" t="s">
        <v>70</v>
      </c>
    </row>
    <row r="215" spans="1:7" ht="15.75">
      <c r="A215" s="381"/>
      <c r="B215" s="76"/>
      <c r="C215" s="635" t="s">
        <v>190</v>
      </c>
      <c r="D215" s="107">
        <f>DMAX('10_1'!A$11:L$29,'10_1'!$L$11,G208:G209)</f>
        <v>42976.994888127992</v>
      </c>
      <c r="E215" s="127" t="str">
        <f>IF(F215=1,"Domingo",IF(F215=2,"Lunes",IF(F215=3,"Martes",IF(F215=4,"Miercoles",IF(F215=5,"Jueves",IF(F215=6,"Viernes",IF(F215=7,"Sábado",0)))))))</f>
        <v>Martes</v>
      </c>
      <c r="F215" s="128">
        <f>WEEKDAY(D215)</f>
        <v>3</v>
      </c>
      <c r="G215" s="385">
        <f>WEEKDAY(D215)</f>
        <v>3</v>
      </c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108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108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IF(DSUM('10_1'!$A$11:$P$89,16,G208:G209)=COUNTIF('10_1'!$A$12:$A$89,G209),"","Regularice su Deuda")</f>
        <v/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">
        <v>82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str">
        <f>VLOOKUP(G226,'10_1'!$A$11:$G$29,7,0)</f>
        <v>TORRES, ALEJANDRO DIEGO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76" t="str">
        <f>+'10_1'!$H$2</f>
        <v>Hijuela Ortega</v>
      </c>
      <c r="D226" s="76"/>
      <c r="E226" s="76"/>
      <c r="F226" s="76"/>
      <c r="G226" s="383">
        <v>14</v>
      </c>
    </row>
    <row r="227" spans="1:7">
      <c r="A227" s="381"/>
      <c r="B227" s="76"/>
      <c r="C227" s="76"/>
      <c r="D227" s="76"/>
      <c r="E227" s="76"/>
      <c r="F227" s="76"/>
      <c r="G227" s="382"/>
    </row>
    <row r="228" spans="1:7">
      <c r="A228" s="381"/>
      <c r="B228" s="635" t="s">
        <v>183</v>
      </c>
      <c r="C228" s="331">
        <f>VLOOKUP(G226,'10_1'!$A$11:$B$29,2,0)</f>
        <v>1246</v>
      </c>
      <c r="D228" s="76"/>
      <c r="E228" s="635" t="s">
        <v>184</v>
      </c>
      <c r="F228" s="373">
        <f>DSUM('10_1'!A$11:J$29,'10_1'!$J$11,G225:G226)</f>
        <v>0.53636187202304852</v>
      </c>
      <c r="G228" s="382"/>
    </row>
    <row r="229" spans="1:7">
      <c r="A229" s="381"/>
      <c r="B229" s="635" t="s">
        <v>185</v>
      </c>
      <c r="C229" s="374">
        <v>1</v>
      </c>
      <c r="D229" s="76"/>
      <c r="E229" s="635" t="s">
        <v>186</v>
      </c>
      <c r="F229" s="368" t="str">
        <f>IF(VLOOKUP(G226,'10_1'!$A$11:$D$29,4,0)=2,"Eventual 80%","Definitivo 100%")</f>
        <v>Eventual 80%</v>
      </c>
      <c r="G229" s="382"/>
    </row>
    <row r="230" spans="1:7">
      <c r="A230" s="381"/>
      <c r="B230" s="635" t="s">
        <v>187</v>
      </c>
      <c r="C230" s="375">
        <f>DSUM('10_1'!$A$11:$H$29,'10_1'!$H$11,G225:G226)</f>
        <v>13.11736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635" t="s">
        <v>189</v>
      </c>
      <c r="D231" s="107">
        <f>DMIN('10_1'!A$11:K$29,'10_1'!$K$11,G225:G226)</f>
        <v>42976.994888127992</v>
      </c>
      <c r="E231" s="127" t="str">
        <f>IF(F231=1,"Domingo",IF(F231=2,"Lunes",IF(F231=3,"Martes",IF(F231=4,"Miercoles",IF(F231=5,"Jueves",IF(F231=6,"Viernes",IF(F231=7,"Sábado",0)))))))</f>
        <v>Martes</v>
      </c>
      <c r="F231" s="128">
        <f>WEEKDAY(D231)</f>
        <v>3</v>
      </c>
      <c r="G231" s="385" t="s">
        <v>70</v>
      </c>
    </row>
    <row r="232" spans="1:7" ht="15.75">
      <c r="A232" s="381"/>
      <c r="B232" s="76"/>
      <c r="C232" s="635" t="s">
        <v>190</v>
      </c>
      <c r="D232" s="107">
        <f>DMAX('10_1'!A$11:L$29,'10_1'!$L$11,G225:G226)</f>
        <v>42977.531250000015</v>
      </c>
      <c r="E232" s="127" t="str">
        <f>IF(F232=1,"Domingo",IF(F232=2,"Lunes",IF(F232=3,"Martes",IF(F232=4,"Miercoles",IF(F232=5,"Jueves",IF(F232=6,"Viernes",IF(F232=7,"Sábado",0)))))))</f>
        <v>Miercoles</v>
      </c>
      <c r="F232" s="128">
        <f>WEEKDAY(D232)</f>
        <v>4</v>
      </c>
      <c r="G232" s="385">
        <f>WEEKDAY(D232)</f>
        <v>4</v>
      </c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108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108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IF(DSUM('10_1'!$A$11:$P$89,16,G225:G226)=COUNTIF('10_1'!$A$12:$A$89,G226),"","Regularice su Deuda")</f>
        <v/>
      </c>
      <c r="C237" s="326"/>
      <c r="D237" s="326"/>
      <c r="E237" s="326"/>
      <c r="F237" s="326"/>
      <c r="G237" s="388"/>
    </row>
  </sheetData>
  <phoneticPr fontId="0" type="noConversion"/>
  <pageMargins left="0.55118110236220474" right="0.55118110236220474" top="0.15748031496062992" bottom="0.19685039370078741" header="0" footer="0"/>
  <pageSetup paperSize="9" scale="71" orientation="portrait" r:id="rId1"/>
  <headerFooter alignWithMargins="0"/>
  <rowBreaks count="2" manualBreakCount="2">
    <brk id="84" max="6" man="1"/>
    <brk id="169" max="6" man="1"/>
  </rowBreaks>
  <colBreaks count="1" manualBreakCount="1">
    <brk id="8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/>
  <dimension ref="A1:T45"/>
  <sheetViews>
    <sheetView topLeftCell="A6" zoomScale="75" zoomScaleNormal="75" zoomScaleSheetLayoutView="75" workbookViewId="0" xr3:uid="{F4A53677-9E12-59C4-BAB1-211CDE2C826E}">
      <selection activeCell="A28" sqref="A28:IV28"/>
    </sheetView>
  </sheetViews>
  <sheetFormatPr defaultRowHeight="12.75"/>
  <cols>
    <col min="1" max="1" width="8" bestFit="1" customWidth="1"/>
    <col min="2" max="2" width="7.5703125" customWidth="1"/>
    <col min="3" max="3" width="8" bestFit="1" customWidth="1"/>
    <col min="4" max="4" width="8.7109375" bestFit="1" customWidth="1"/>
    <col min="5" max="5" width="10.85546875" bestFit="1" customWidth="1"/>
    <col min="6" max="6" width="15.28515625" bestFit="1" customWidth="1"/>
    <col min="7" max="7" width="30.85546875" customWidth="1"/>
    <col min="8" max="8" width="11.7109375" customWidth="1"/>
    <col min="9" max="9" width="6.28515625" customWidth="1"/>
    <col min="10" max="10" width="8" bestFit="1" customWidth="1"/>
    <col min="11" max="11" width="16" customWidth="1"/>
    <col min="12" max="12" width="15.85546875" customWidth="1"/>
    <col min="13" max="13" width="26.5703125" customWidth="1"/>
    <col min="14" max="14" width="29.28515625" customWidth="1"/>
    <col min="15" max="15" width="11.42578125" customWidth="1"/>
    <col min="16" max="18" width="11.5703125" bestFit="1" customWidth="1"/>
    <col min="19" max="19" width="12" bestFit="1" customWidth="1"/>
    <col min="20" max="20" width="12.28515625" bestFit="1" customWidth="1"/>
    <col min="21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682" t="s">
        <v>123</v>
      </c>
      <c r="C2" s="682"/>
      <c r="D2" s="682"/>
      <c r="E2" s="682"/>
      <c r="F2" s="682"/>
      <c r="G2" s="99"/>
      <c r="H2" s="681" t="s">
        <v>405</v>
      </c>
      <c r="I2" s="681"/>
      <c r="J2" s="99"/>
      <c r="K2" s="99"/>
      <c r="L2" s="99"/>
      <c r="M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>
      <c r="A5" s="662" t="s">
        <v>124</v>
      </c>
      <c r="B5" s="663"/>
      <c r="C5" s="659">
        <f>+Hijuelas!D20</f>
        <v>42973.541666666664</v>
      </c>
      <c r="D5" s="667"/>
      <c r="E5" s="660"/>
      <c r="F5" s="305"/>
      <c r="G5" s="306" t="s">
        <v>125</v>
      </c>
      <c r="H5" s="307">
        <f>+Hijuelas!G4</f>
        <v>3.9895833333333335</v>
      </c>
      <c r="I5" s="99"/>
      <c r="J5" s="99"/>
      <c r="K5" s="99"/>
      <c r="L5" s="99"/>
      <c r="M5" s="99"/>
    </row>
    <row r="6" spans="1:20" ht="13.5" thickBot="1">
      <c r="A6" s="664" t="s">
        <v>126</v>
      </c>
      <c r="B6" s="665"/>
      <c r="C6" s="668">
        <f>+L43</f>
        <v>42977.531250000029</v>
      </c>
      <c r="D6" s="669"/>
      <c r="E6" s="670"/>
      <c r="F6" s="305"/>
      <c r="G6" s="265" t="s">
        <v>127</v>
      </c>
      <c r="H6" s="308">
        <v>0.14583333333333334</v>
      </c>
      <c r="I6" s="305"/>
      <c r="J6" s="99"/>
      <c r="K6" s="309"/>
      <c r="L6" s="99"/>
      <c r="M6" s="99"/>
    </row>
    <row r="7" spans="1:20">
      <c r="A7" s="416"/>
      <c r="B7" s="416"/>
      <c r="C7" s="323"/>
      <c r="D7" s="323"/>
      <c r="E7" s="323"/>
      <c r="F7" s="305"/>
      <c r="G7" s="418" t="s">
        <v>406</v>
      </c>
      <c r="H7" s="419">
        <v>0.125</v>
      </c>
      <c r="I7" s="305"/>
      <c r="J7" s="99"/>
      <c r="K7" s="309"/>
      <c r="L7" s="99"/>
      <c r="M7" s="99"/>
    </row>
    <row r="8" spans="1:20" ht="13.5" thickBot="1">
      <c r="A8" s="99"/>
      <c r="B8" s="99"/>
      <c r="C8" s="99"/>
      <c r="D8" s="99"/>
      <c r="E8" s="99"/>
      <c r="F8" s="312">
        <f>+C6-C5</f>
        <v>3.9895833333648625</v>
      </c>
      <c r="G8" s="310" t="s">
        <v>407</v>
      </c>
      <c r="H8" s="311">
        <f>+I44</f>
        <v>0.1875</v>
      </c>
      <c r="I8" s="99"/>
      <c r="J8" s="99"/>
      <c r="K8" s="99"/>
      <c r="L8" s="99"/>
      <c r="M8" s="99"/>
    </row>
    <row r="9" spans="1:20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  <row r="10" spans="1:20">
      <c r="A10" s="666" t="s">
        <v>129</v>
      </c>
      <c r="B10" s="666"/>
      <c r="C10" s="312">
        <f>H5-(H8+H6+H7)</f>
        <v>3.53125</v>
      </c>
      <c r="D10" s="636" t="s">
        <v>130</v>
      </c>
      <c r="E10" s="313">
        <f>+C10*60</f>
        <v>211.875</v>
      </c>
      <c r="F10" s="636" t="s">
        <v>131</v>
      </c>
      <c r="G10" s="315">
        <f>+H44</f>
        <v>146.70800000000003</v>
      </c>
      <c r="H10" s="636" t="s">
        <v>132</v>
      </c>
      <c r="I10" s="314">
        <f>+E10/G10</f>
        <v>1.444195272241459</v>
      </c>
      <c r="J10" s="99"/>
      <c r="K10" s="99"/>
      <c r="L10" s="99"/>
      <c r="M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20" ht="13.5" thickBot="1">
      <c r="A12" s="297" t="s">
        <v>134</v>
      </c>
      <c r="B12" s="292" t="s">
        <v>135</v>
      </c>
      <c r="C12" s="292" t="s">
        <v>136</v>
      </c>
      <c r="D12" s="292" t="s">
        <v>408</v>
      </c>
      <c r="E12" s="292" t="s">
        <v>138</v>
      </c>
      <c r="F12" s="292" t="s">
        <v>141</v>
      </c>
      <c r="G12" s="292" t="s">
        <v>140</v>
      </c>
      <c r="H12" s="292" t="s">
        <v>139</v>
      </c>
      <c r="I12" s="292" t="s">
        <v>142</v>
      </c>
      <c r="J12" s="524" t="s">
        <v>143</v>
      </c>
      <c r="K12" s="292" t="s">
        <v>193</v>
      </c>
      <c r="L12" s="292" t="s">
        <v>194</v>
      </c>
      <c r="M12" s="294" t="s">
        <v>146</v>
      </c>
      <c r="N12" s="297" t="s">
        <v>204</v>
      </c>
      <c r="O12" s="297" t="s">
        <v>148</v>
      </c>
      <c r="P12" s="297" t="s">
        <v>149</v>
      </c>
      <c r="Q12" s="297" t="s">
        <v>150</v>
      </c>
      <c r="R12" s="297" t="s">
        <v>151</v>
      </c>
      <c r="S12" s="297" t="s">
        <v>152</v>
      </c>
      <c r="T12" s="297" t="s">
        <v>153</v>
      </c>
    </row>
    <row r="13" spans="1:20" ht="20.100000000000001" customHeight="1" thickTop="1">
      <c r="A13" s="98">
        <v>1</v>
      </c>
      <c r="B13" s="47">
        <v>1247</v>
      </c>
      <c r="C13" s="266">
        <v>33</v>
      </c>
      <c r="D13" s="266">
        <v>2</v>
      </c>
      <c r="E13" s="267">
        <v>4</v>
      </c>
      <c r="F13" s="85" t="str">
        <f t="shared" ref="F13:F43" si="0">IF(P13=0,"NO",IF(P13=1,"SI","CONDICIONAL"))</f>
        <v>NO</v>
      </c>
      <c r="G13" s="268" t="s">
        <v>409</v>
      </c>
      <c r="H13" s="125">
        <f>IF(Hijuelas!$G$5="fracción",IF(F13="NO",0,IF(Hijuelas!$G$6="si",IF(D13=1,E13,E13*0.8),E13)),IF(F13="NO",0,IF(Hijuelas!$G$6="si",IF(D13=1,ROUNDUP(E13,0),ROUNDUP(E13*0.8,0)),ROUNDUP(E13,0))))</f>
        <v>0</v>
      </c>
      <c r="I13" s="119"/>
      <c r="J13" s="119">
        <f t="shared" ref="J13:J43" si="1">+$I$10/60*H13</f>
        <v>0</v>
      </c>
      <c r="K13" s="95">
        <f>+C5+H6+H7</f>
        <v>42973.8125</v>
      </c>
      <c r="L13" s="95">
        <f>+K13+J13</f>
        <v>42973.8125</v>
      </c>
      <c r="M13" s="133"/>
      <c r="N13" s="47"/>
      <c r="O13" s="47" t="str">
        <f t="shared" ref="O13:O43" si="2">+CONCATENATE(B13,C13)</f>
        <v>124733</v>
      </c>
      <c r="P13" s="112">
        <f>VLOOKUP(O13,deuda!A$1:I$551,4,0)</f>
        <v>0</v>
      </c>
      <c r="Q13" s="112">
        <f>VLOOKUP(O13,deuda!A$1:H$551,5,0)</f>
        <v>157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0" ht="20.100000000000001" customHeight="1">
      <c r="A14" s="24">
        <v>1</v>
      </c>
      <c r="B14" s="5">
        <v>1247</v>
      </c>
      <c r="C14" s="250">
        <v>37</v>
      </c>
      <c r="D14" s="250">
        <v>2</v>
      </c>
      <c r="E14" s="9">
        <v>10.911199999999999</v>
      </c>
      <c r="F14" s="85" t="str">
        <f t="shared" si="0"/>
        <v>NO</v>
      </c>
      <c r="G14" s="38" t="s">
        <v>410</v>
      </c>
      <c r="H14" s="125">
        <f>IF(Hijuelas!$G$5="fracción",IF(F14="NO",0,IF(Hijuelas!$G$6="si",IF(D14=1,E14,E14*0.8),E14)),IF(F14="NO",0,IF(Hijuelas!$G$6="si",IF(D14=1,ROUNDUP(E14,0),ROUNDUP(E14*0.8,0)),ROUNDUP(E14,0))))</f>
        <v>0</v>
      </c>
      <c r="I14" s="119"/>
      <c r="J14" s="119">
        <f t="shared" si="1"/>
        <v>0</v>
      </c>
      <c r="K14" s="95">
        <f>+L13</f>
        <v>42973.8125</v>
      </c>
      <c r="L14" s="95">
        <f>+K14+J14+I14</f>
        <v>42973.8125</v>
      </c>
      <c r="M14" s="26"/>
      <c r="N14" s="5"/>
      <c r="O14" s="47" t="str">
        <f t="shared" si="2"/>
        <v>124737</v>
      </c>
      <c r="P14" s="112">
        <f>VLOOKUP(O14,deuda!A$1:I$551,4,0)</f>
        <v>0</v>
      </c>
      <c r="Q14" s="112">
        <f>VLOOKUP(O14,deuda!A$1:H$551,5,0)</f>
        <v>166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0" ht="20.100000000000001" customHeight="1">
      <c r="A15" s="24">
        <v>1</v>
      </c>
      <c r="B15" s="47">
        <v>1247</v>
      </c>
      <c r="C15" s="250">
        <v>23</v>
      </c>
      <c r="D15" s="250">
        <v>2</v>
      </c>
      <c r="E15" s="9">
        <v>2.0192000000000001</v>
      </c>
      <c r="F15" s="85" t="str">
        <f t="shared" si="0"/>
        <v>NO</v>
      </c>
      <c r="G15" s="38" t="s">
        <v>411</v>
      </c>
      <c r="H15" s="125">
        <f>IF(Hijuelas!$G$5="fracción",IF(F15="NO",0,IF(Hijuelas!$G$6="si",IF(D15=1,E15,E15*0.8),E15)),IF(F15="NO",0,IF(Hijuelas!$G$6="si",IF(D15=1,ROUNDUP(E15,0),ROUNDUP(E15*0.8,0)),ROUNDUP(E15,0))))</f>
        <v>0</v>
      </c>
      <c r="I15" s="119"/>
      <c r="J15" s="119">
        <f t="shared" si="1"/>
        <v>0</v>
      </c>
      <c r="K15" s="95">
        <f t="shared" ref="K15:K43" si="3">+L14</f>
        <v>42973.8125</v>
      </c>
      <c r="L15" s="95">
        <f t="shared" ref="L15:L43" si="4">+K15+J15+I15</f>
        <v>42973.8125</v>
      </c>
      <c r="M15" s="26"/>
      <c r="N15" s="5"/>
      <c r="O15" s="47" t="str">
        <f t="shared" si="2"/>
        <v>124723</v>
      </c>
      <c r="P15" s="112">
        <f>VLOOKUP(O15,deuda!A$1:I$551,4,0)</f>
        <v>0</v>
      </c>
      <c r="Q15" s="112">
        <f>VLOOKUP(O15,deuda!A$1:H$551,5,0)</f>
        <v>192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0" ht="20.100000000000001" customHeight="1">
      <c r="A16" s="24">
        <v>2</v>
      </c>
      <c r="B16" s="5">
        <v>1247</v>
      </c>
      <c r="C16" s="250">
        <v>22</v>
      </c>
      <c r="D16" s="250">
        <v>2</v>
      </c>
      <c r="E16" s="9">
        <v>11.000500000000001</v>
      </c>
      <c r="F16" s="85" t="str">
        <f t="shared" si="0"/>
        <v>SI</v>
      </c>
      <c r="G16" s="38" t="s">
        <v>412</v>
      </c>
      <c r="H16" s="125">
        <f>IF(Hijuelas!$G$5="fracción",IF(F16="NO",0,IF(Hijuelas!$G$6="si",IF(D16=1,E16,E16*0.8),E16)),IF(F16="NO",0,IF(Hijuelas!$G$6="si",IF(D16=1,ROUNDUP(E16,0),ROUNDUP(E16*0.8,0)),ROUNDUP(E16,0))))</f>
        <v>8.8004000000000016</v>
      </c>
      <c r="I16" s="119">
        <v>0</v>
      </c>
      <c r="J16" s="119">
        <f t="shared" si="1"/>
        <v>0.21182493456389562</v>
      </c>
      <c r="K16" s="95">
        <f t="shared" si="3"/>
        <v>42973.8125</v>
      </c>
      <c r="L16" s="95">
        <f t="shared" si="4"/>
        <v>42974.024324934566</v>
      </c>
      <c r="M16" s="26"/>
      <c r="N16" s="5"/>
      <c r="O16" s="47" t="str">
        <f t="shared" si="2"/>
        <v>124722</v>
      </c>
      <c r="P16" s="112">
        <f>VLOOKUP(O16,deuda!A$1:I$551,4,0)</f>
        <v>1</v>
      </c>
      <c r="Q16" s="112">
        <f>VLOOKUP(O16,deuda!A$1:H$551,5,0)</f>
        <v>2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20.100000000000001" customHeight="1">
      <c r="A17" s="24">
        <v>3</v>
      </c>
      <c r="B17" s="47">
        <v>1247</v>
      </c>
      <c r="C17" s="250">
        <v>32</v>
      </c>
      <c r="D17" s="250">
        <v>2</v>
      </c>
      <c r="E17" s="9">
        <v>19.002300000000002</v>
      </c>
      <c r="F17" s="85" t="str">
        <f t="shared" si="0"/>
        <v>SI</v>
      </c>
      <c r="G17" s="38" t="s">
        <v>413</v>
      </c>
      <c r="H17" s="125">
        <f>IF(Hijuelas!$G$5="fracción",IF(F17="NO",0,IF(Hijuelas!$G$6="si",IF(D17=1,E17,E17*0.8),E17)),IF(F17="NO",0,IF(Hijuelas!$G$6="si",IF(D17=1,ROUNDUP(E17,0),ROUNDUP(E17*0.8,0)),ROUNDUP(E17,0))))</f>
        <v>15.201840000000002</v>
      </c>
      <c r="I17" s="119">
        <v>0</v>
      </c>
      <c r="J17" s="119">
        <f t="shared" si="1"/>
        <v>0.36590709095618507</v>
      </c>
      <c r="K17" s="95">
        <f t="shared" si="3"/>
        <v>42974.024324934566</v>
      </c>
      <c r="L17" s="95">
        <f t="shared" si="4"/>
        <v>42974.390232025522</v>
      </c>
      <c r="M17" s="26"/>
      <c r="N17" s="5"/>
      <c r="O17" s="47" t="str">
        <f t="shared" si="2"/>
        <v>124732</v>
      </c>
      <c r="P17" s="112">
        <f>VLOOKUP(O17,deuda!A$1:I$551,4,0)</f>
        <v>1</v>
      </c>
      <c r="Q17" s="112">
        <f>VLOOKUP(O17,deuda!A$1:H$551,5,0)</f>
        <v>0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20.100000000000001" customHeight="1">
      <c r="A18" s="24">
        <v>4</v>
      </c>
      <c r="B18" s="5">
        <v>1247</v>
      </c>
      <c r="C18" s="250">
        <v>7</v>
      </c>
      <c r="D18" s="250">
        <v>2</v>
      </c>
      <c r="E18" s="9">
        <v>9.0860000000000003</v>
      </c>
      <c r="F18" s="85" t="str">
        <f t="shared" si="0"/>
        <v>SI</v>
      </c>
      <c r="G18" s="38" t="s">
        <v>414</v>
      </c>
      <c r="H18" s="125">
        <f>IF(Hijuelas!$G$5="fracción",IF(F18="NO",0,IF(Hijuelas!$G$6="si",IF(D18=1,E18,E18*0.8),E18)),IF(F18="NO",0,IF(Hijuelas!$G$6="si",IF(D18=1,ROUNDUP(E18,0),ROUNDUP(E18*0.8,0)),ROUNDUP(E18,0))))</f>
        <v>7.2688000000000006</v>
      </c>
      <c r="I18" s="119">
        <v>0</v>
      </c>
      <c r="J18" s="119">
        <f t="shared" si="1"/>
        <v>0.17495944324781196</v>
      </c>
      <c r="K18" s="95">
        <f t="shared" si="3"/>
        <v>42974.390232025522</v>
      </c>
      <c r="L18" s="95">
        <f t="shared" si="4"/>
        <v>42974.56519146877</v>
      </c>
      <c r="M18" s="26"/>
      <c r="N18" s="5"/>
      <c r="O18" s="47" t="str">
        <f t="shared" si="2"/>
        <v>12477</v>
      </c>
      <c r="P18" s="112">
        <f>VLOOKUP(O18,deuda!A$1:I$551,4,0)</f>
        <v>1</v>
      </c>
      <c r="Q18" s="112">
        <f>VLOOKUP(O18,deuda!A$1:H$551,5,0)</f>
        <v>0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20.100000000000001" customHeight="1">
      <c r="A19" s="24">
        <v>5</v>
      </c>
      <c r="B19" s="47">
        <v>1247</v>
      </c>
      <c r="C19" s="179">
        <v>15</v>
      </c>
      <c r="D19" s="250">
        <v>2</v>
      </c>
      <c r="E19" s="9">
        <v>1.5</v>
      </c>
      <c r="F19" s="85" t="str">
        <f>IF(P19=0,"NO",IF(P19=1,"SI","CONDICIONAL"))</f>
        <v>SI</v>
      </c>
      <c r="G19" s="236" t="s">
        <v>415</v>
      </c>
      <c r="H19" s="125">
        <f>IF(Hijuelas!$G$5="fracción",IF(F19="NO",0,IF(Hijuelas!$G$6="si",IF(D19=1,E19,E19*0.8),E19)),IF(F19="NO",0,IF(Hijuelas!$G$6="si",IF(D19=1,ROUNDUP(E19,0),ROUNDUP(E19*0.8,0)),ROUNDUP(E19,0))))</f>
        <v>1.2000000000000002</v>
      </c>
      <c r="I19" s="119">
        <v>2.0833333333333332E-2</v>
      </c>
      <c r="J19" s="119">
        <f>+$I$10/60*H19</f>
        <v>2.8883905444829182E-2</v>
      </c>
      <c r="K19" s="95">
        <f t="shared" si="3"/>
        <v>42974.56519146877</v>
      </c>
      <c r="L19" s="95">
        <f t="shared" si="4"/>
        <v>42974.614908707554</v>
      </c>
      <c r="M19" s="26"/>
      <c r="N19" s="5"/>
      <c r="O19" s="47" t="str">
        <f>+CONCATENATE(B19,C19)</f>
        <v>124715</v>
      </c>
      <c r="P19" s="112">
        <f>VLOOKUP(O19,deuda!A$1:I$551,4,0)</f>
        <v>1</v>
      </c>
      <c r="Q19" s="112">
        <f>VLOOKUP(O19,deuda!A$1:H$551,5,0)</f>
        <v>1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ht="20.100000000000001" customHeight="1">
      <c r="A20" s="24">
        <v>6</v>
      </c>
      <c r="B20" s="5">
        <v>1247</v>
      </c>
      <c r="C20" s="250">
        <v>19</v>
      </c>
      <c r="D20" s="250">
        <v>2</v>
      </c>
      <c r="E20" s="9">
        <v>1.5</v>
      </c>
      <c r="F20" s="85" t="str">
        <f>IF(P20=0,"NO",IF(P20=1,"SI","CONDICIONAL"))</f>
        <v>SI</v>
      </c>
      <c r="G20" s="38" t="s">
        <v>416</v>
      </c>
      <c r="H20" s="125">
        <f>IF(Hijuelas!$G$5="fracción",IF(F20="NO",0,IF(Hijuelas!$G$6="si",IF(D20=1,E20,E20*0.8),E20)),IF(F20="NO",0,IF(Hijuelas!$G$6="si",IF(D20=1,ROUNDUP(E20,0),ROUNDUP(E20*0.8,0)),ROUNDUP(E20,0))))</f>
        <v>1.2000000000000002</v>
      </c>
      <c r="I20" s="119">
        <v>2.0833333333333332E-2</v>
      </c>
      <c r="J20" s="119">
        <f>+$I$10/60*H20</f>
        <v>2.8883905444829182E-2</v>
      </c>
      <c r="K20" s="95">
        <f t="shared" si="3"/>
        <v>42974.614908707554</v>
      </c>
      <c r="L20" s="95">
        <f t="shared" si="4"/>
        <v>42974.664625946338</v>
      </c>
      <c r="M20" s="26"/>
      <c r="N20" s="5"/>
      <c r="O20" s="47" t="str">
        <f>+CONCATENATE(B20,C20)</f>
        <v>124719</v>
      </c>
      <c r="P20" s="112">
        <f>VLOOKUP(O20,deuda!A$1:I$551,4,0)</f>
        <v>1</v>
      </c>
      <c r="Q20" s="112">
        <f>VLOOKUP(O20,deuda!A$1:H$551,5,0)</f>
        <v>0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20.100000000000001" customHeight="1">
      <c r="A21" s="24">
        <v>7</v>
      </c>
      <c r="B21" s="47">
        <v>1247</v>
      </c>
      <c r="C21" s="250">
        <v>16</v>
      </c>
      <c r="D21" s="250">
        <v>2</v>
      </c>
      <c r="E21" s="9">
        <v>6</v>
      </c>
      <c r="F21" s="85" t="str">
        <f>IF(P21=0,"NO",IF(P21=1,"SI","CONDICIONAL"))</f>
        <v>SI</v>
      </c>
      <c r="G21" s="38" t="s">
        <v>417</v>
      </c>
      <c r="H21" s="125">
        <f>IF(Hijuelas!$G$5="fracción",IF(F21="NO",0,IF(Hijuelas!$G$6="si",IF(D21=1,E21,E21*0.8),E21)),IF(F21="NO",0,IF(Hijuelas!$G$6="si",IF(D21=1,ROUNDUP(E21,0),ROUNDUP(E21*0.8,0)),ROUNDUP(E21,0))))</f>
        <v>4.8000000000000007</v>
      </c>
      <c r="I21" s="119">
        <v>0</v>
      </c>
      <c r="J21" s="119">
        <f>+$I$10/60*H21</f>
        <v>0.11553562177931673</v>
      </c>
      <c r="K21" s="95">
        <f t="shared" si="3"/>
        <v>42974.664625946338</v>
      </c>
      <c r="L21" s="95">
        <f t="shared" si="4"/>
        <v>42974.780161568116</v>
      </c>
      <c r="M21" s="26"/>
      <c r="N21" s="5"/>
      <c r="O21" s="47" t="str">
        <f>+CONCATENATE(B21,C21)</f>
        <v>124716</v>
      </c>
      <c r="P21" s="112">
        <f>VLOOKUP(O21,deuda!A$1:I$551,4,0)</f>
        <v>1</v>
      </c>
      <c r="Q21" s="112">
        <f>VLOOKUP(O21,deuda!A$1:H$551,5,0)</f>
        <v>1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20.100000000000001" customHeight="1">
      <c r="A22" s="24">
        <v>8</v>
      </c>
      <c r="B22" s="5">
        <v>1247</v>
      </c>
      <c r="C22" s="179">
        <v>6</v>
      </c>
      <c r="D22" s="250">
        <v>2</v>
      </c>
      <c r="E22" s="9">
        <v>1.1225000000000001</v>
      </c>
      <c r="F22" s="85" t="str">
        <f t="shared" si="0"/>
        <v>NO</v>
      </c>
      <c r="G22" s="236" t="s">
        <v>418</v>
      </c>
      <c r="H22" s="125">
        <f>IF(Hijuelas!$G$5="fracción",IF(F22="NO",0,IF(Hijuelas!$G$6="si",IF(D22=1,E22,E22*0.8),E22)),IF(F22="NO",0,IF(Hijuelas!$G$6="si",IF(D22=1,ROUNDUP(E22,0),ROUNDUP(E22*0.8,0)),ROUNDUP(E22,0))))</f>
        <v>0</v>
      </c>
      <c r="I22" s="498">
        <v>0</v>
      </c>
      <c r="J22" s="119">
        <f t="shared" si="1"/>
        <v>0</v>
      </c>
      <c r="K22" s="95">
        <f t="shared" si="3"/>
        <v>42974.780161568116</v>
      </c>
      <c r="L22" s="95">
        <f t="shared" si="4"/>
        <v>42974.780161568116</v>
      </c>
      <c r="M22" s="26"/>
      <c r="N22" s="5"/>
      <c r="O22" s="47" t="str">
        <f t="shared" si="2"/>
        <v>12476</v>
      </c>
      <c r="P22" s="112">
        <f>VLOOKUP(O22,deuda!A$1:I$551,4,0)</f>
        <v>0</v>
      </c>
      <c r="Q22" s="112">
        <f>VLOOKUP(O22,deuda!A$1:H$551,5,0)</f>
        <v>8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20.100000000000001" customHeight="1">
      <c r="A23" s="24">
        <v>8</v>
      </c>
      <c r="B23" s="47">
        <v>1247</v>
      </c>
      <c r="C23" s="179">
        <v>51</v>
      </c>
      <c r="D23" s="250">
        <v>2</v>
      </c>
      <c r="E23" s="9">
        <v>0.16</v>
      </c>
      <c r="F23" s="85" t="str">
        <f t="shared" si="0"/>
        <v>NO</v>
      </c>
      <c r="G23" s="236" t="s">
        <v>419</v>
      </c>
      <c r="H23" s="125">
        <f>IF(Hijuelas!$G$5="fracción",IF(F23="NO",0,IF(Hijuelas!$G$6="si",IF(D23=1,E23,E23*0.8),E23)),IF(F23="NO",0,IF(Hijuelas!$G$6="si",IF(D23=1,ROUNDUP(E23,0),ROUNDUP(E23*0.8,0)),ROUNDUP(E23,0))))</f>
        <v>0</v>
      </c>
      <c r="I23" s="498">
        <v>0</v>
      </c>
      <c r="J23" s="119">
        <f t="shared" si="1"/>
        <v>0</v>
      </c>
      <c r="K23" s="95">
        <f t="shared" si="3"/>
        <v>42974.780161568116</v>
      </c>
      <c r="L23" s="95">
        <f t="shared" si="4"/>
        <v>42974.780161568116</v>
      </c>
      <c r="M23" s="26"/>
      <c r="N23" s="5"/>
      <c r="O23" s="47" t="str">
        <f t="shared" si="2"/>
        <v>124751</v>
      </c>
      <c r="P23" s="112">
        <f>VLOOKUP(O23,deuda!A$1:I$551,4,0)</f>
        <v>0</v>
      </c>
      <c r="Q23" s="112">
        <f>VLOOKUP(O23,deuda!A$1:H$551,5,0)</f>
        <v>16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20.100000000000001" customHeight="1">
      <c r="A24" s="24">
        <v>9</v>
      </c>
      <c r="B24" s="5">
        <v>1247</v>
      </c>
      <c r="C24" s="179">
        <v>46</v>
      </c>
      <c r="D24" s="250">
        <v>2</v>
      </c>
      <c r="E24" s="9">
        <v>1.2825</v>
      </c>
      <c r="F24" s="85" t="str">
        <f t="shared" si="0"/>
        <v>SI</v>
      </c>
      <c r="G24" s="38" t="s">
        <v>420</v>
      </c>
      <c r="H24" s="125">
        <f>IF(Hijuelas!$G$5="fracción",IF(F24="NO",0,IF(Hijuelas!$G$6="si",IF(D24=1,E24,E24*0.8),E24)),IF(F24="NO",0,IF(Hijuelas!$G$6="si",IF(D24=1,ROUNDUP(E24,0),ROUNDUP(E24*0.8,0)),ROUNDUP(E24,0))))</f>
        <v>1.026</v>
      </c>
      <c r="I24" s="498">
        <v>2.0833333333333332E-2</v>
      </c>
      <c r="J24" s="119">
        <f t="shared" si="1"/>
        <v>2.4695739155328949E-2</v>
      </c>
      <c r="K24" s="95">
        <f t="shared" si="3"/>
        <v>42974.780161568116</v>
      </c>
      <c r="L24" s="95">
        <f t="shared" si="4"/>
        <v>42974.82569064061</v>
      </c>
      <c r="M24" s="26"/>
      <c r="N24" s="5"/>
      <c r="O24" s="47" t="str">
        <f t="shared" si="2"/>
        <v>124746</v>
      </c>
      <c r="P24" s="112">
        <f>VLOOKUP(O24,deuda!A$1:I$551,4,0)</f>
        <v>1</v>
      </c>
      <c r="Q24" s="112">
        <f>VLOOKUP(O24,deuda!A$1:H$551,5,0)</f>
        <v>2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20.100000000000001" customHeight="1">
      <c r="A25" s="24">
        <v>10</v>
      </c>
      <c r="B25" s="47">
        <v>1247</v>
      </c>
      <c r="C25" s="251">
        <v>47</v>
      </c>
      <c r="D25" s="251">
        <v>2</v>
      </c>
      <c r="E25" s="252">
        <v>34.229599999999998</v>
      </c>
      <c r="F25" s="85" t="str">
        <f t="shared" si="0"/>
        <v>SI</v>
      </c>
      <c r="G25" s="249" t="s">
        <v>421</v>
      </c>
      <c r="H25" s="125">
        <f>IF(Hijuelas!$G$5="fracción",IF(F25="NO",0,IF(Hijuelas!$G$6="si",IF(D25=1,E25,E25*0.8),E25)),IF(F25="NO",0,IF(Hijuelas!$G$6="si",IF(D25=1,ROUNDUP(E25,0),ROUNDUP(E25*0.8,0)),ROUNDUP(E25,0))))</f>
        <v>27.383679999999998</v>
      </c>
      <c r="I25" s="119">
        <v>0</v>
      </c>
      <c r="J25" s="119">
        <f t="shared" si="1"/>
        <v>0.65912301987621658</v>
      </c>
      <c r="K25" s="95">
        <f t="shared" si="3"/>
        <v>42974.82569064061</v>
      </c>
      <c r="L25" s="95">
        <f t="shared" si="4"/>
        <v>42975.484813660485</v>
      </c>
      <c r="M25" s="26"/>
      <c r="N25" s="5"/>
      <c r="O25" s="47" t="str">
        <f t="shared" si="2"/>
        <v>124747</v>
      </c>
      <c r="P25" s="112">
        <f>VLOOKUP(O25,deuda!A$1:I$551,4,0)</f>
        <v>1</v>
      </c>
      <c r="Q25" s="112">
        <f>VLOOKUP(O25,deuda!A$1:H$551,5,0)</f>
        <v>2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20.100000000000001" customHeight="1">
      <c r="A26" s="24">
        <v>11</v>
      </c>
      <c r="B26" s="5">
        <v>1247</v>
      </c>
      <c r="C26" s="179">
        <v>52</v>
      </c>
      <c r="D26" s="251">
        <v>2</v>
      </c>
      <c r="E26" s="252">
        <v>1.7335</v>
      </c>
      <c r="F26" s="85" t="str">
        <f t="shared" si="0"/>
        <v>SI</v>
      </c>
      <c r="G26" s="236" t="s">
        <v>422</v>
      </c>
      <c r="H26" s="125">
        <f>IF(Hijuelas!$G$5="fracción",IF(F26="NO",0,IF(Hijuelas!$G$6="si",IF(D26=1,E26,E26*0.8),E26)),IF(F26="NO",0,IF(Hijuelas!$G$6="si",IF(D26=1,ROUNDUP(E26,0),ROUNDUP(E26*0.8,0)),ROUNDUP(E26,0))))</f>
        <v>1.3868</v>
      </c>
      <c r="I26" s="119">
        <v>4.1666666666666664E-2</v>
      </c>
      <c r="J26" s="119">
        <f t="shared" si="1"/>
        <v>3.3380166725740922E-2</v>
      </c>
      <c r="K26" s="95">
        <f t="shared" si="3"/>
        <v>42975.484813660485</v>
      </c>
      <c r="L26" s="95">
        <f t="shared" si="4"/>
        <v>42975.559860493879</v>
      </c>
      <c r="M26" s="26"/>
      <c r="N26" s="5"/>
      <c r="O26" s="47" t="str">
        <f t="shared" si="2"/>
        <v>124752</v>
      </c>
      <c r="P26" s="112">
        <f>VLOOKUP(O26,deuda!A$1:I$551,4,0)</f>
        <v>1</v>
      </c>
      <c r="Q26" s="112">
        <f>VLOOKUP(O26,deuda!A$1:H$551,5,0)</f>
        <v>1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20.100000000000001" customHeight="1">
      <c r="A27" s="24">
        <v>12</v>
      </c>
      <c r="B27" s="47">
        <v>1247</v>
      </c>
      <c r="C27" s="179">
        <v>14</v>
      </c>
      <c r="D27" s="251">
        <v>2</v>
      </c>
      <c r="E27" s="252">
        <v>2.5665</v>
      </c>
      <c r="F27" s="85" t="str">
        <f t="shared" si="0"/>
        <v>SI</v>
      </c>
      <c r="G27" s="271" t="s">
        <v>423</v>
      </c>
      <c r="H27" s="125">
        <f>IF(Hijuelas!$G$5="fracción",IF(F27="NO",0,IF(Hijuelas!$G$6="si",IF(D27=1,E27,E27*0.8),E27)),IF(F27="NO",0,IF(Hijuelas!$G$6="si",IF(D27=1,ROUNDUP(E27,0),ROUNDUP(E27*0.8,0)),ROUNDUP(E27,0))))</f>
        <v>2.0531999999999999</v>
      </c>
      <c r="I27" s="119">
        <v>0</v>
      </c>
      <c r="J27" s="119">
        <f t="shared" si="1"/>
        <v>4.9420362216102721E-2</v>
      </c>
      <c r="K27" s="95">
        <f t="shared" si="3"/>
        <v>42975.559860493879</v>
      </c>
      <c r="L27" s="95">
        <f t="shared" si="4"/>
        <v>42975.609280856093</v>
      </c>
      <c r="M27" s="26"/>
      <c r="N27" s="5"/>
      <c r="O27" s="47" t="str">
        <f t="shared" si="2"/>
        <v>124714</v>
      </c>
      <c r="P27" s="112">
        <f>VLOOKUP(O27,deuda!A$1:I$551,4,0)</f>
        <v>1</v>
      </c>
      <c r="Q27" s="112">
        <f>VLOOKUP(O27,deuda!A$1:H$551,5,0)</f>
        <v>0</v>
      </c>
      <c r="R27" s="112" t="str">
        <f>IF(VLOOKUP(O27,deuda!A$1:H$551,6,0)=0,"",VLOOKUP(O27,deuda!A$1:H$551,6,0))</f>
        <v/>
      </c>
      <c r="S27" s="113" t="str">
        <f>IF((VLOOKUP(O27,deuda!A$1:H$551,7,0))=0,"",VLOOKUP(O27,deuda!A$1:H$551,7,0))</f>
        <v/>
      </c>
      <c r="T27" s="114" t="str">
        <f>IF((VLOOKUP(O27,deuda!A$1:H$551,8,0))=0,"",VLOOKUP(O27,deuda!A$1:H$551,8,0))</f>
        <v/>
      </c>
    </row>
    <row r="28" spans="1:20" ht="20.100000000000001" customHeight="1">
      <c r="A28" s="24">
        <v>13</v>
      </c>
      <c r="B28" s="5">
        <v>1247</v>
      </c>
      <c r="C28" s="251">
        <v>18</v>
      </c>
      <c r="D28" s="251">
        <v>2</v>
      </c>
      <c r="E28" s="252">
        <v>4.3539000000000003</v>
      </c>
      <c r="F28" s="85" t="str">
        <f t="shared" si="0"/>
        <v>SI</v>
      </c>
      <c r="G28" s="249" t="s">
        <v>424</v>
      </c>
      <c r="H28" s="125">
        <f>IF(Hijuelas!$G$5="fracción",IF(F28="NO",0,IF(Hijuelas!$G$6="si",IF(D28=1,E28,E28*0.8),E28)),IF(F28="NO",0,IF(Hijuelas!$G$6="si",IF(D28=1,ROUNDUP(E28,0),ROUNDUP(E28*0.8,0)),ROUNDUP(E28,0))))</f>
        <v>3.4831200000000004</v>
      </c>
      <c r="I28" s="119">
        <v>0</v>
      </c>
      <c r="J28" s="119">
        <f t="shared" si="1"/>
        <v>8.3838423944161189E-2</v>
      </c>
      <c r="K28" s="95">
        <f t="shared" si="3"/>
        <v>42975.609280856093</v>
      </c>
      <c r="L28" s="95">
        <f t="shared" si="4"/>
        <v>42975.69311928004</v>
      </c>
      <c r="M28" s="26"/>
      <c r="N28" s="5"/>
      <c r="O28" s="47" t="str">
        <f t="shared" si="2"/>
        <v>124718</v>
      </c>
      <c r="P28" s="112">
        <f>VLOOKUP(O28,deuda!A$1:I$551,4,0)</f>
        <v>1</v>
      </c>
      <c r="Q28" s="112">
        <f>VLOOKUP(O28,deuda!A$1:H$551,5,0)</f>
        <v>0</v>
      </c>
      <c r="R28" s="112" t="str">
        <f>IF(VLOOKUP(O28,deuda!A$1:H$551,6,0)=0,"",VLOOKUP(O28,deuda!A$1:H$551,6,0))</f>
        <v/>
      </c>
      <c r="S28" s="113" t="str">
        <f>IF((VLOOKUP(O28,deuda!A$1:H$551,7,0))=0,"",VLOOKUP(O28,deuda!A$1:H$551,7,0))</f>
        <v/>
      </c>
      <c r="T28" s="114" t="str">
        <f>IF((VLOOKUP(O28,deuda!A$1:H$551,8,0))=0,"",VLOOKUP(O28,deuda!A$1:H$551,8,0))</f>
        <v/>
      </c>
    </row>
    <row r="29" spans="1:20" ht="20.100000000000001" customHeight="1">
      <c r="A29" s="24">
        <v>13</v>
      </c>
      <c r="B29" s="47">
        <v>1247</v>
      </c>
      <c r="C29" s="251">
        <v>48</v>
      </c>
      <c r="D29" s="251">
        <v>2</v>
      </c>
      <c r="E29" s="252">
        <v>8.32</v>
      </c>
      <c r="F29" s="85" t="s">
        <v>90</v>
      </c>
      <c r="G29" s="249" t="s">
        <v>424</v>
      </c>
      <c r="H29" s="125">
        <f>IF(Hijuelas!$G$5="fracción",IF(F29="NO",0,IF(Hijuelas!$G$6="si",IF(D29=1,E29,E29*0.8),E29)),IF(F29="NO",0,IF(Hijuelas!$G$6="si",IF(D29=1,ROUNDUP(E29,0),ROUNDUP(E29*0.8,0)),ROUNDUP(E29,0))))</f>
        <v>6.6560000000000006</v>
      </c>
      <c r="I29" s="119">
        <v>0</v>
      </c>
      <c r="J29" s="119">
        <f t="shared" si="1"/>
        <v>0.16020939553398586</v>
      </c>
      <c r="K29" s="95">
        <f t="shared" si="3"/>
        <v>42975.69311928004</v>
      </c>
      <c r="L29" s="95">
        <f t="shared" si="4"/>
        <v>42975.853328675577</v>
      </c>
      <c r="M29" s="26"/>
      <c r="N29" s="5"/>
      <c r="O29" s="47" t="str">
        <f t="shared" si="2"/>
        <v>124748</v>
      </c>
      <c r="P29" s="112">
        <f>VLOOKUP(O29,deuda!A$1:I$551,4,0)</f>
        <v>0</v>
      </c>
      <c r="Q29" s="112">
        <f>VLOOKUP(O29,deuda!A$1:H$551,5,0)</f>
        <v>10</v>
      </c>
      <c r="R29" s="112" t="str">
        <f>IF(VLOOKUP(O29,deuda!A$1:H$551,6,0)=0,"",VLOOKUP(O29,deuda!A$1:H$551,6,0))</f>
        <v/>
      </c>
      <c r="S29" s="113" t="str">
        <f>IF((VLOOKUP(O29,deuda!A$1:H$551,7,0))=0,"",VLOOKUP(O29,deuda!A$1:H$551,7,0))</f>
        <v/>
      </c>
      <c r="T29" s="114" t="str">
        <f>IF((VLOOKUP(O29,deuda!A$1:H$551,8,0))=0,"",VLOOKUP(O29,deuda!A$1:H$551,8,0))</f>
        <v/>
      </c>
    </row>
    <row r="30" spans="1:20" ht="20.100000000000001" customHeight="1">
      <c r="A30" s="24">
        <v>14</v>
      </c>
      <c r="B30" s="47">
        <v>1247</v>
      </c>
      <c r="C30" s="251">
        <v>31</v>
      </c>
      <c r="D30" s="251">
        <v>2</v>
      </c>
      <c r="E30" s="252">
        <v>2.0192000000000001</v>
      </c>
      <c r="F30" s="85" t="str">
        <f>IF(P30=0,"NO",IF(P30=1,"SI","CONDICIONAL"))</f>
        <v>SI</v>
      </c>
      <c r="G30" s="249" t="s">
        <v>425</v>
      </c>
      <c r="H30" s="125">
        <f>IF(Hijuelas!$G$5="fracción",IF(F30="NO",0,IF(Hijuelas!$G$6="si",IF(D30=1,E30,E30*0.8),E30)),IF(F30="NO",0,IF(Hijuelas!$G$6="si",IF(D30=1,ROUNDUP(E30,0),ROUNDUP(E30*0.8,0)),ROUNDUP(E30,0))))</f>
        <v>1.6153600000000001</v>
      </c>
      <c r="I30" s="119">
        <v>2.0833333333333332E-2</v>
      </c>
      <c r="J30" s="119">
        <f>+$I$10/60*H30</f>
        <v>3.888158791613272E-2</v>
      </c>
      <c r="K30" s="95">
        <f t="shared" si="3"/>
        <v>42975.853328675577</v>
      </c>
      <c r="L30" s="95">
        <f t="shared" si="4"/>
        <v>42975.913043596833</v>
      </c>
      <c r="M30" s="26"/>
      <c r="N30" s="5"/>
      <c r="O30" s="47" t="str">
        <f>+CONCATENATE(B30,C30)</f>
        <v>124731</v>
      </c>
      <c r="P30" s="112">
        <f>VLOOKUP(O30,deuda!A$1:I$551,4,0)</f>
        <v>1</v>
      </c>
      <c r="Q30" s="112">
        <f>VLOOKUP(O30,deuda!A$1:H$551,5,0)</f>
        <v>0</v>
      </c>
      <c r="R30" s="112" t="str">
        <f>IF(VLOOKUP(O30,deuda!A$1:H$551,6,0)=0,"",VLOOKUP(O30,deuda!A$1:H$551,6,0))</f>
        <v/>
      </c>
      <c r="S30" s="113" t="str">
        <f>IF((VLOOKUP(O30,deuda!A$1:H$551,7,0))=0,"",VLOOKUP(O30,deuda!A$1:H$551,7,0))</f>
        <v/>
      </c>
      <c r="T30" s="114" t="str">
        <f>IF((VLOOKUP(O30,deuda!A$1:H$551,8,0))=0,"",VLOOKUP(O30,deuda!A$1:H$551,8,0))</f>
        <v/>
      </c>
    </row>
    <row r="31" spans="1:20" ht="20.100000000000001" customHeight="1">
      <c r="A31" s="24">
        <v>15</v>
      </c>
      <c r="B31" s="5">
        <v>1247</v>
      </c>
      <c r="C31" s="179">
        <v>27</v>
      </c>
      <c r="D31" s="250">
        <v>2</v>
      </c>
      <c r="E31" s="252">
        <v>7.4798999999999998</v>
      </c>
      <c r="F31" s="85" t="str">
        <f t="shared" si="0"/>
        <v>SI</v>
      </c>
      <c r="G31" s="236" t="s">
        <v>426</v>
      </c>
      <c r="H31" s="125">
        <f>IF(Hijuelas!$G$5="fracción",IF(F31="NO",0,IF(Hijuelas!$G$6="si",IF(D31=1,E31,E31*0.8),E31)),IF(F31="NO",0,IF(Hijuelas!$G$6="si",IF(D31=1,ROUNDUP(E31,0),ROUNDUP(E31*0.8,0)),ROUNDUP(E31,0))))</f>
        <v>5.9839200000000003</v>
      </c>
      <c r="I31" s="119">
        <v>0</v>
      </c>
      <c r="J31" s="119">
        <f t="shared" si="1"/>
        <v>0.1440324828911852</v>
      </c>
      <c r="K31" s="95">
        <f t="shared" si="3"/>
        <v>42975.913043596833</v>
      </c>
      <c r="L31" s="95">
        <f t="shared" si="4"/>
        <v>42976.057076079727</v>
      </c>
      <c r="M31" s="536"/>
      <c r="N31" s="5"/>
      <c r="O31" s="47" t="str">
        <f t="shared" si="2"/>
        <v>124727</v>
      </c>
      <c r="P31" s="112">
        <f>VLOOKUP(O31,deuda!A$1:I$551,4,0)</f>
        <v>1</v>
      </c>
      <c r="Q31" s="112">
        <f>VLOOKUP(O31,deuda!A$1:H$551,5,0)</f>
        <v>1</v>
      </c>
      <c r="R31" s="112" t="str">
        <f>IF(VLOOKUP(O31,deuda!A$1:H$551,6,0)=0,"",VLOOKUP(O31,deuda!A$1:H$551,6,0))</f>
        <v/>
      </c>
      <c r="S31" s="113" t="str">
        <f>IF((VLOOKUP(O31,deuda!A$1:H$551,7,0))=0,"",VLOOKUP(O31,deuda!A$1:H$551,7,0))</f>
        <v/>
      </c>
      <c r="T31" s="114" t="str">
        <f>IF((VLOOKUP(O31,deuda!A$1:H$551,8,0))=0,"",VLOOKUP(O31,deuda!A$1:H$551,8,0))</f>
        <v/>
      </c>
    </row>
    <row r="32" spans="1:20" ht="20.100000000000001" customHeight="1">
      <c r="A32" s="521">
        <v>16</v>
      </c>
      <c r="B32" s="523">
        <v>1247</v>
      </c>
      <c r="C32" s="493">
        <v>30</v>
      </c>
      <c r="D32" s="493">
        <v>2</v>
      </c>
      <c r="E32" s="138">
        <v>5.0000999999999998</v>
      </c>
      <c r="F32" s="85" t="str">
        <f t="shared" si="0"/>
        <v>SI</v>
      </c>
      <c r="G32" s="522" t="s">
        <v>427</v>
      </c>
      <c r="H32" s="125">
        <f>IF(Hijuelas!$G$5="fracción",IF(F32="NO",0,IF(Hijuelas!$G$6="si",IF(D32=1,E32,E32*0.8),E32)),IF(F32="NO",0,IF(Hijuelas!$G$6="si",IF(D32=1,ROUNDUP(E32,0),ROUNDUP(E32*0.8,0)),ROUNDUP(E32,0))))</f>
        <v>4.0000799999999996</v>
      </c>
      <c r="I32" s="413">
        <v>4.1666666666666664E-2</v>
      </c>
      <c r="J32" s="119">
        <f t="shared" si="1"/>
        <v>9.6281610409793578E-2</v>
      </c>
      <c r="K32" s="95">
        <f t="shared" si="3"/>
        <v>42976.057076079727</v>
      </c>
      <c r="L32" s="95">
        <f t="shared" si="4"/>
        <v>42976.195024356799</v>
      </c>
      <c r="M32" s="26"/>
      <c r="N32" s="5"/>
      <c r="O32" s="47" t="str">
        <f t="shared" si="2"/>
        <v>124730</v>
      </c>
      <c r="P32" s="112">
        <f>VLOOKUP(O32,deuda!A$1:I$551,4,0)</f>
        <v>1</v>
      </c>
      <c r="Q32" s="112">
        <f>VLOOKUP(O32,deuda!A$1:H$551,5,0)</f>
        <v>0</v>
      </c>
      <c r="R32" s="112" t="str">
        <f>IF(VLOOKUP(O32,deuda!A$1:H$551,6,0)=0,"",VLOOKUP(O32,deuda!A$1:H$551,6,0))</f>
        <v/>
      </c>
      <c r="S32" s="113" t="str">
        <f>IF((VLOOKUP(O32,deuda!A$1:H$551,7,0))=0,"",VLOOKUP(O32,deuda!A$1:H$551,7,0))</f>
        <v/>
      </c>
      <c r="T32" s="114" t="str">
        <f>IF((VLOOKUP(O32,deuda!A$1:H$551,8,0))=0,"",VLOOKUP(O32,deuda!A$1:H$551,8,0))</f>
        <v/>
      </c>
    </row>
    <row r="33" spans="1:20" s="73" customFormat="1" ht="20.100000000000001" customHeight="1">
      <c r="A33" s="71">
        <v>17</v>
      </c>
      <c r="B33" s="71">
        <v>1247</v>
      </c>
      <c r="C33" s="179">
        <v>24</v>
      </c>
      <c r="D33" s="179">
        <v>2</v>
      </c>
      <c r="E33" s="20">
        <v>12.931100000000001</v>
      </c>
      <c r="F33" s="85" t="str">
        <f t="shared" si="0"/>
        <v>SI</v>
      </c>
      <c r="G33" s="236" t="s">
        <v>428</v>
      </c>
      <c r="H33" s="125">
        <f>IF(Hijuelas!$G$5="fracción",IF(F33="NO",0,IF(Hijuelas!$G$6="si",IF(D33=1,E33,E33*0.8),E33)),IF(F33="NO",0,IF(Hijuelas!$G$6="si",IF(D33=1,ROUNDUP(E33,0),ROUNDUP(E33*0.8,0)),ROUNDUP(E33,0))))</f>
        <v>10.344880000000002</v>
      </c>
      <c r="I33" s="498">
        <v>0</v>
      </c>
      <c r="J33" s="498">
        <f t="shared" si="1"/>
        <v>0.24900044646508709</v>
      </c>
      <c r="K33" s="95">
        <f t="shared" si="3"/>
        <v>42976.195024356799</v>
      </c>
      <c r="L33" s="95">
        <f t="shared" si="4"/>
        <v>42976.444024803262</v>
      </c>
      <c r="M33" s="536"/>
      <c r="N33" s="71"/>
      <c r="O33" s="242" t="str">
        <f t="shared" si="2"/>
        <v>124724</v>
      </c>
      <c r="P33" s="259">
        <f>VLOOKUP(O33,deuda!A$1:I$551,4,0)</f>
        <v>1</v>
      </c>
      <c r="Q33" s="259">
        <f>VLOOKUP(O33,deuda!A$1:H$551,5,0)</f>
        <v>0</v>
      </c>
      <c r="R33" s="259" t="str">
        <f>IF(VLOOKUP(O33,deuda!A$1:H$551,6,0)=0,"",VLOOKUP(O33,deuda!A$1:H$551,6,0))</f>
        <v/>
      </c>
      <c r="S33" s="589" t="str">
        <f>IF((VLOOKUP(O33,deuda!A$1:H$551,7,0))=0,"",VLOOKUP(O33,deuda!A$1:H$551,7,0))</f>
        <v/>
      </c>
      <c r="T33" s="532" t="str">
        <f>IF((VLOOKUP(O33,deuda!A$1:H$551,8,0))=0,"",VLOOKUP(O33,deuda!A$1:H$551,8,0))</f>
        <v/>
      </c>
    </row>
    <row r="34" spans="1:20" ht="20.100000000000001" customHeight="1">
      <c r="A34" s="5">
        <v>18</v>
      </c>
      <c r="B34" s="5">
        <v>1247</v>
      </c>
      <c r="C34" s="251">
        <v>25</v>
      </c>
      <c r="D34" s="251">
        <v>2</v>
      </c>
      <c r="E34" s="252">
        <v>1.8221000000000001</v>
      </c>
      <c r="F34" s="85" t="str">
        <f t="shared" si="0"/>
        <v>SI</v>
      </c>
      <c r="G34" s="249" t="s">
        <v>429</v>
      </c>
      <c r="H34" s="125">
        <f>IF(Hijuelas!$G$5="fracción",IF(F34="NO",0,IF(Hijuelas!$G$6="si",IF(D34=1,E34,E34*0.8),E34)),IF(F34="NO",0,IF(Hijuelas!$G$6="si",IF(D34=1,ROUNDUP(E34,0),ROUNDUP(E34*0.8,0)),ROUNDUP(E34,0))))</f>
        <v>1.4576800000000001</v>
      </c>
      <c r="I34" s="119">
        <v>0</v>
      </c>
      <c r="J34" s="119">
        <f t="shared" si="1"/>
        <v>3.5086242740682165E-2</v>
      </c>
      <c r="K34" s="95">
        <f t="shared" si="3"/>
        <v>42976.444024803262</v>
      </c>
      <c r="L34" s="95">
        <f t="shared" si="4"/>
        <v>42976.479111046006</v>
      </c>
      <c r="M34" s="26"/>
      <c r="N34" s="5"/>
      <c r="O34" s="47" t="str">
        <f t="shared" si="2"/>
        <v>124725</v>
      </c>
      <c r="P34" s="112">
        <f>VLOOKUP(O34,deuda!A$1:I$551,4,0)</f>
        <v>1</v>
      </c>
      <c r="Q34" s="112">
        <f>VLOOKUP(O34,deuda!A$1:H$551,5,0)</f>
        <v>0</v>
      </c>
      <c r="R34" s="112" t="str">
        <f>IF(VLOOKUP(O34,deuda!A$1:H$551,6,0)=0,"",VLOOKUP(O34,deuda!A$1:H$551,6,0))</f>
        <v/>
      </c>
      <c r="S34" s="113" t="str">
        <f>IF((VLOOKUP(O34,deuda!A$1:H$551,7,0))=0,"",VLOOKUP(O34,deuda!A$1:H$551,7,0))</f>
        <v/>
      </c>
      <c r="T34" s="114" t="str">
        <f>IF((VLOOKUP(O34,deuda!A$1:H$551,8,0))=0,"",VLOOKUP(O34,deuda!A$1:H$551,8,0))</f>
        <v/>
      </c>
    </row>
    <row r="35" spans="1:20" ht="20.100000000000001" customHeight="1">
      <c r="A35" s="98">
        <v>18</v>
      </c>
      <c r="B35" s="47">
        <v>1247</v>
      </c>
      <c r="C35" s="266">
        <v>28</v>
      </c>
      <c r="D35" s="266">
        <v>2</v>
      </c>
      <c r="E35" s="267">
        <v>1.6884999999999999</v>
      </c>
      <c r="F35" s="85" t="str">
        <f t="shared" si="0"/>
        <v>SI</v>
      </c>
      <c r="G35" s="268" t="s">
        <v>429</v>
      </c>
      <c r="H35" s="125">
        <f>IF(Hijuelas!$G$5="fracción",IF(F35="NO",0,IF(Hijuelas!$G$6="si",IF(D35=1,E35,E35*0.8),E35)),IF(F35="NO",0,IF(Hijuelas!$G$6="si",IF(D35=1,ROUNDUP(E35,0),ROUNDUP(E35*0.8,0)),ROUNDUP(E35,0))))</f>
        <v>1.3508</v>
      </c>
      <c r="I35" s="123">
        <v>0</v>
      </c>
      <c r="J35" s="119">
        <f t="shared" si="1"/>
        <v>3.2513649562396045E-2</v>
      </c>
      <c r="K35" s="95">
        <f t="shared" si="3"/>
        <v>42976.479111046006</v>
      </c>
      <c r="L35" s="95">
        <f t="shared" si="4"/>
        <v>42976.511624695566</v>
      </c>
      <c r="M35" s="26"/>
      <c r="N35" s="5"/>
      <c r="O35" s="47" t="str">
        <f t="shared" si="2"/>
        <v>124728</v>
      </c>
      <c r="P35" s="112">
        <f>VLOOKUP(O35,deuda!A$1:I$551,4,0)</f>
        <v>1</v>
      </c>
      <c r="Q35" s="112">
        <f>VLOOKUP(O35,deuda!A$1:H$551,5,0)</f>
        <v>0</v>
      </c>
      <c r="R35" s="112" t="str">
        <f>IF(VLOOKUP(O35,deuda!A$1:H$551,6,0)=0,"",VLOOKUP(O35,deuda!A$1:H$551,6,0))</f>
        <v/>
      </c>
      <c r="S35" s="113" t="str">
        <f>IF((VLOOKUP(O35,deuda!A$1:H$551,7,0))=0,"",VLOOKUP(O35,deuda!A$1:H$551,7,0))</f>
        <v/>
      </c>
      <c r="T35" s="114" t="str">
        <f>IF((VLOOKUP(O35,deuda!A$1:H$551,8,0))=0,"",VLOOKUP(O35,deuda!A$1:H$551,8,0))</f>
        <v/>
      </c>
    </row>
    <row r="36" spans="1:20" ht="20.100000000000001" customHeight="1">
      <c r="A36" s="24">
        <v>19</v>
      </c>
      <c r="B36" s="47">
        <v>1247</v>
      </c>
      <c r="C36" s="260">
        <v>1</v>
      </c>
      <c r="D36" s="260">
        <v>2</v>
      </c>
      <c r="E36" s="85">
        <v>21.869299999999999</v>
      </c>
      <c r="F36" s="85" t="str">
        <f t="shared" si="0"/>
        <v>SI</v>
      </c>
      <c r="G36" s="160" t="s">
        <v>430</v>
      </c>
      <c r="H36" s="125">
        <f>IF(Hijuelas!$G$5="fracción",IF(F36="NO",0,IF(Hijuelas!$G$6="si",IF(D36=1,E36,E36*0.8),E36)),IF(F36="NO",0,IF(Hijuelas!$G$6="si",IF(D36=1,ROUNDUP(E36,0),ROUNDUP(E36*0.8,0)),ROUNDUP(E36,0))))</f>
        <v>17.495439999999999</v>
      </c>
      <c r="I36" s="119">
        <v>0</v>
      </c>
      <c r="J36" s="119">
        <f t="shared" si="1"/>
        <v>0.42111386222973513</v>
      </c>
      <c r="K36" s="95">
        <f t="shared" si="3"/>
        <v>42976.511624695566</v>
      </c>
      <c r="L36" s="95">
        <f t="shared" si="4"/>
        <v>42976.932738557793</v>
      </c>
      <c r="M36" s="26"/>
      <c r="N36" s="5"/>
      <c r="O36" s="47" t="str">
        <f t="shared" si="2"/>
        <v>12471</v>
      </c>
      <c r="P36" s="112">
        <f>VLOOKUP(O36,deuda!A$1:I$551,4,0)</f>
        <v>1</v>
      </c>
      <c r="Q36" s="112">
        <f>VLOOKUP(O36,deuda!A$1:H$551,5,0)</f>
        <v>0</v>
      </c>
      <c r="R36" s="112" t="str">
        <f>IF(VLOOKUP(O36,deuda!A$1:H$551,6,0)=0,"",VLOOKUP(O36,deuda!A$1:H$551,6,0))</f>
        <v/>
      </c>
      <c r="S36" s="113" t="str">
        <f>IF((VLOOKUP(O36,deuda!A$1:H$551,7,0))=0,"",VLOOKUP(O36,deuda!A$1:H$551,7,0))</f>
        <v/>
      </c>
      <c r="T36" s="114" t="str">
        <f>IF((VLOOKUP(O36,deuda!A$1:H$551,8,0))=0,"",VLOOKUP(O36,deuda!A$1:H$551,8,0))</f>
        <v/>
      </c>
    </row>
    <row r="37" spans="1:20" ht="20.100000000000001" customHeight="1">
      <c r="A37" s="24">
        <v>20</v>
      </c>
      <c r="B37" s="5">
        <v>1247</v>
      </c>
      <c r="C37" s="250">
        <v>20</v>
      </c>
      <c r="D37" s="250">
        <v>2</v>
      </c>
      <c r="E37" s="9">
        <v>1.4986999999999999</v>
      </c>
      <c r="F37" s="85" t="str">
        <f t="shared" si="0"/>
        <v>SI</v>
      </c>
      <c r="G37" s="38" t="s">
        <v>431</v>
      </c>
      <c r="H37" s="125">
        <f>IF(Hijuelas!$G$5="fracción",IF(F37="NO",0,IF(Hijuelas!$G$6="si",IF(D37=1,E37,E37*0.8),E37)),IF(F37="NO",0,IF(Hijuelas!$G$6="si",IF(D37=1,ROUNDUP(E37,0),ROUNDUP(E37*0.8,0)),ROUNDUP(E37,0))))</f>
        <v>1.19896</v>
      </c>
      <c r="I37" s="119">
        <v>2.0833333333333332E-2</v>
      </c>
      <c r="J37" s="119">
        <f t="shared" si="1"/>
        <v>2.8858872726776993E-2</v>
      </c>
      <c r="K37" s="95">
        <f t="shared" si="3"/>
        <v>42976.932738557793</v>
      </c>
      <c r="L37" s="95">
        <f t="shared" si="4"/>
        <v>42976.982430763856</v>
      </c>
      <c r="M37" s="26"/>
      <c r="N37" s="5"/>
      <c r="O37" s="47" t="str">
        <f t="shared" si="2"/>
        <v>124720</v>
      </c>
      <c r="P37" s="112">
        <f>VLOOKUP(O37,deuda!A$1:I$551,4,0)</f>
        <v>1</v>
      </c>
      <c r="Q37" s="112">
        <f>VLOOKUP(O37,deuda!A$1:H$551,5,0)</f>
        <v>2</v>
      </c>
      <c r="R37" s="112" t="str">
        <f>IF(VLOOKUP(O37,deuda!A$1:H$551,6,0)=0,"",VLOOKUP(O37,deuda!A$1:H$551,6,0))</f>
        <v/>
      </c>
      <c r="S37" s="113" t="str">
        <f>IF((VLOOKUP(O37,deuda!A$1:H$551,7,0))=0,"",VLOOKUP(O37,deuda!A$1:H$551,7,0))</f>
        <v/>
      </c>
      <c r="T37" s="114" t="str">
        <f>IF((VLOOKUP(O37,deuda!A$1:H$551,8,0))=0,"",VLOOKUP(O37,deuda!A$1:H$551,8,0))</f>
        <v/>
      </c>
    </row>
    <row r="38" spans="1:20" ht="20.100000000000001" customHeight="1">
      <c r="A38" s="24">
        <v>20</v>
      </c>
      <c r="B38" s="47">
        <v>1247</v>
      </c>
      <c r="C38" s="250">
        <v>49</v>
      </c>
      <c r="D38" s="250">
        <v>2</v>
      </c>
      <c r="E38" s="9">
        <v>1.4959</v>
      </c>
      <c r="F38" s="85" t="str">
        <f t="shared" si="0"/>
        <v>SI</v>
      </c>
      <c r="G38" s="38" t="s">
        <v>431</v>
      </c>
      <c r="H38" s="125">
        <f>IF(Hijuelas!$G$5="fracción",IF(F38="NO",0,IF(Hijuelas!$G$6="si",IF(D38=1,E38,E38*0.8),E38)),IF(F38="NO",0,IF(Hijuelas!$G$6="si",IF(D38=1,ROUNDUP(E38,0),ROUNDUP(E38*0.8,0)),ROUNDUP(E38,0))))</f>
        <v>1.19672</v>
      </c>
      <c r="I38" s="119">
        <v>0</v>
      </c>
      <c r="J38" s="119">
        <f t="shared" si="1"/>
        <v>2.8804956103279978E-2</v>
      </c>
      <c r="K38" s="95">
        <f t="shared" si="3"/>
        <v>42976.982430763856</v>
      </c>
      <c r="L38" s="95">
        <f t="shared" si="4"/>
        <v>42977.011235719961</v>
      </c>
      <c r="M38" s="26"/>
      <c r="N38" s="5"/>
      <c r="O38" s="47" t="str">
        <f t="shared" si="2"/>
        <v>124749</v>
      </c>
      <c r="P38" s="112">
        <f>VLOOKUP(O38,deuda!A$1:I$551,4,0)</f>
        <v>1</v>
      </c>
      <c r="Q38" s="112">
        <f>VLOOKUP(O38,deuda!A$1:H$551,5,0)</f>
        <v>2</v>
      </c>
      <c r="R38" s="112" t="str">
        <f>IF(VLOOKUP(O38,deuda!A$1:H$551,6,0)=0,"",VLOOKUP(O38,deuda!A$1:H$551,6,0))</f>
        <v/>
      </c>
      <c r="S38" s="113" t="str">
        <f>IF((VLOOKUP(O38,deuda!A$1:H$551,7,0))=0,"",VLOOKUP(O38,deuda!A$1:H$551,7,0))</f>
        <v/>
      </c>
      <c r="T38" s="114" t="str">
        <f>IF((VLOOKUP(O38,deuda!A$1:H$551,8,0))=0,"",VLOOKUP(O38,deuda!A$1:H$551,8,0))</f>
        <v/>
      </c>
    </row>
    <row r="39" spans="1:20" ht="20.100000000000001" customHeight="1">
      <c r="A39" s="24">
        <v>21</v>
      </c>
      <c r="B39" s="5">
        <v>1247</v>
      </c>
      <c r="C39" s="250">
        <v>50</v>
      </c>
      <c r="D39" s="250">
        <v>2</v>
      </c>
      <c r="E39" s="9">
        <v>7.0053999999999998</v>
      </c>
      <c r="F39" s="85" t="str">
        <f t="shared" si="0"/>
        <v>SI</v>
      </c>
      <c r="G39" s="38" t="s">
        <v>431</v>
      </c>
      <c r="H39" s="125">
        <f>IF(Hijuelas!$G$5="fracción",IF(F39="NO",0,IF(Hijuelas!$G$6="si",IF(D39=1,E39,E39*0.8),E39)),IF(F39="NO",0,IF(Hijuelas!$G$6="si",IF(D39=1,ROUNDUP(E39,0),ROUNDUP(E39*0.8,0)),ROUNDUP(E39,0))))</f>
        <v>5.6043200000000004</v>
      </c>
      <c r="I39" s="119">
        <v>0</v>
      </c>
      <c r="J39" s="119">
        <f t="shared" si="1"/>
        <v>0.13489554080213756</v>
      </c>
      <c r="K39" s="95">
        <f t="shared" si="3"/>
        <v>42977.011235719961</v>
      </c>
      <c r="L39" s="95">
        <f t="shared" si="4"/>
        <v>42977.146131260764</v>
      </c>
      <c r="M39" s="26"/>
      <c r="N39" s="5"/>
      <c r="O39" s="47" t="str">
        <f t="shared" si="2"/>
        <v>124750</v>
      </c>
      <c r="P39" s="112">
        <f>VLOOKUP(O39,deuda!A$1:I$551,4,0)</f>
        <v>1</v>
      </c>
      <c r="Q39" s="112">
        <f>VLOOKUP(O39,deuda!A$1:H$551,5,0)</f>
        <v>2</v>
      </c>
      <c r="R39" s="112" t="str">
        <f>IF(VLOOKUP(O39,deuda!A$1:H$551,6,0)=0,"",VLOOKUP(O39,deuda!A$1:H$551,6,0))</f>
        <v/>
      </c>
      <c r="S39" s="113" t="str">
        <f>IF((VLOOKUP(O39,deuda!A$1:H$551,7,0))=0,"",VLOOKUP(O39,deuda!A$1:H$551,7,0))</f>
        <v/>
      </c>
      <c r="T39" s="114" t="str">
        <f>IF((VLOOKUP(O39,deuda!A$1:H$551,8,0))=0,"",VLOOKUP(O39,deuda!A$1:H$551,8,0))</f>
        <v/>
      </c>
    </row>
    <row r="40" spans="1:20" s="73" customFormat="1" ht="20.100000000000001" customHeight="1">
      <c r="A40" s="248">
        <v>22</v>
      </c>
      <c r="B40" s="242">
        <v>1247</v>
      </c>
      <c r="C40" s="179">
        <v>2</v>
      </c>
      <c r="D40" s="179">
        <v>2</v>
      </c>
      <c r="E40" s="20">
        <v>5</v>
      </c>
      <c r="F40" s="85" t="str">
        <f t="shared" si="0"/>
        <v>SI</v>
      </c>
      <c r="G40" s="236" t="s">
        <v>432</v>
      </c>
      <c r="H40" s="125">
        <f>IF(Hijuelas!$G$5="fracción",IF(F40="NO",0,IF(Hijuelas!$G$6="si",IF(D40=1,E40,E40*0.8),E40)),IF(F40="NO",0,IF(Hijuelas!$G$6="si",IF(D40=1,ROUNDUP(E40,0),ROUNDUP(E40*0.8,0)),ROUNDUP(E40,0))))</f>
        <v>4</v>
      </c>
      <c r="I40" s="498">
        <v>0</v>
      </c>
      <c r="J40" s="498">
        <f>+$I$10/60*H40</f>
        <v>9.6279684816097263E-2</v>
      </c>
      <c r="K40" s="95">
        <f t="shared" si="3"/>
        <v>42977.146131260764</v>
      </c>
      <c r="L40" s="95">
        <f t="shared" si="4"/>
        <v>42977.242410945582</v>
      </c>
      <c r="M40" s="536"/>
      <c r="N40" s="71"/>
      <c r="O40" s="47" t="str">
        <f>+CONCATENATE(B40,C40)</f>
        <v>12472</v>
      </c>
      <c r="P40" s="112">
        <f>VLOOKUP(O40,deuda!A$1:I$551,4,0)</f>
        <v>1</v>
      </c>
      <c r="Q40" s="112">
        <f>VLOOKUP(O40,deuda!A$1:H$551,5,0)</f>
        <v>0</v>
      </c>
      <c r="R40" s="112" t="str">
        <f>IF(VLOOKUP(O40,deuda!A$1:H$551,6,0)=0,"",VLOOKUP(O40,deuda!A$1:H$551,6,0))</f>
        <v/>
      </c>
      <c r="S40" s="113" t="str">
        <f>IF((VLOOKUP(O40,deuda!A$1:H$551,7,0))=0,"",VLOOKUP(O40,deuda!A$1:H$551,7,0))</f>
        <v/>
      </c>
      <c r="T40" s="114" t="str">
        <f>IF((VLOOKUP(O40,deuda!A$1:H$551,8,0))=0,"",VLOOKUP(O40,deuda!A$1:H$551,8,0))</f>
        <v/>
      </c>
    </row>
    <row r="41" spans="1:20" ht="20.100000000000001" customHeight="1">
      <c r="A41" s="24">
        <v>23</v>
      </c>
      <c r="B41" s="47">
        <v>1247</v>
      </c>
      <c r="C41" s="250">
        <v>53</v>
      </c>
      <c r="D41" s="250">
        <v>2</v>
      </c>
      <c r="E41" s="9">
        <v>5</v>
      </c>
      <c r="F41" s="85" t="str">
        <f t="shared" si="0"/>
        <v>SI</v>
      </c>
      <c r="G41" s="38" t="s">
        <v>433</v>
      </c>
      <c r="H41" s="125">
        <f>IF(Hijuelas!$G$5="fracción",IF(F41="NO",0,IF(Hijuelas!$G$6="si",IF(D41=1,E41,E41*0.8),E41)),IF(F41="NO",0,IF(Hijuelas!$G$6="si",IF(D41=1,ROUNDUP(E41,0),ROUNDUP(E41*0.8,0)),ROUNDUP(E41,0))))</f>
        <v>4</v>
      </c>
      <c r="I41" s="498">
        <v>0</v>
      </c>
      <c r="J41" s="119">
        <f t="shared" si="1"/>
        <v>9.6279684816097263E-2</v>
      </c>
      <c r="K41" s="95">
        <f t="shared" si="3"/>
        <v>42977.242410945582</v>
      </c>
      <c r="L41" s="95">
        <f t="shared" si="4"/>
        <v>42977.3386906304</v>
      </c>
      <c r="M41" s="26"/>
      <c r="N41" s="5"/>
      <c r="O41" s="47" t="str">
        <f t="shared" si="2"/>
        <v>124753</v>
      </c>
      <c r="P41" s="112">
        <f>VLOOKUP(O41,deuda!A$1:I$551,4,0)</f>
        <v>1</v>
      </c>
      <c r="Q41" s="112">
        <f>VLOOKUP(O41,deuda!A$1:H$551,5,0)</f>
        <v>1</v>
      </c>
      <c r="R41" s="112" t="str">
        <f>IF(VLOOKUP(O41,deuda!A$1:H$551,6,0)=0,"",VLOOKUP(O41,deuda!A$1:H$551,6,0))</f>
        <v/>
      </c>
      <c r="S41" s="113" t="str">
        <f>IF((VLOOKUP(O41,deuda!A$1:H$551,7,0))=0,"",VLOOKUP(O41,deuda!A$1:H$551,7,0))</f>
        <v/>
      </c>
      <c r="T41" s="114" t="str">
        <f>IF((VLOOKUP(O41,deuda!A$1:H$551,8,0))=0,"",VLOOKUP(O41,deuda!A$1:H$551,8,0))</f>
        <v/>
      </c>
    </row>
    <row r="42" spans="1:20" ht="20.100000000000001" customHeight="1">
      <c r="A42" s="24">
        <v>24</v>
      </c>
      <c r="B42" s="5">
        <v>1247</v>
      </c>
      <c r="C42" s="250">
        <v>39</v>
      </c>
      <c r="D42" s="250">
        <v>2</v>
      </c>
      <c r="E42" s="9">
        <v>3.6000999999999999</v>
      </c>
      <c r="F42" s="85" t="str">
        <f t="shared" si="0"/>
        <v>SI</v>
      </c>
      <c r="G42" s="38" t="s">
        <v>434</v>
      </c>
      <c r="H42" s="125">
        <f>IF(Hijuelas!$G$5="fracción",IF(F42="NO",0,IF(Hijuelas!$G$6="si",IF(D42=1,E42,E42*0.8),E42)),IF(F42="NO",0,IF(Hijuelas!$G$6="si",IF(D42=1,ROUNDUP(E42,0),ROUNDUP(E42*0.8,0)),ROUNDUP(E42,0))))</f>
        <v>2.88008</v>
      </c>
      <c r="I42" s="119">
        <v>0</v>
      </c>
      <c r="J42" s="119">
        <f t="shared" si="1"/>
        <v>6.9323298661286351E-2</v>
      </c>
      <c r="K42" s="95">
        <f t="shared" si="3"/>
        <v>42977.3386906304</v>
      </c>
      <c r="L42" s="95">
        <f t="shared" si="4"/>
        <v>42977.40801392906</v>
      </c>
      <c r="M42" s="26"/>
      <c r="N42" s="5"/>
      <c r="O42" s="47" t="str">
        <f t="shared" si="2"/>
        <v>124739</v>
      </c>
      <c r="P42" s="112">
        <f>VLOOKUP(O42,deuda!A$1:I$551,4,0)</f>
        <v>1</v>
      </c>
      <c r="Q42" s="112">
        <f>VLOOKUP(O42,deuda!A$1:H$551,5,0)</f>
        <v>0</v>
      </c>
      <c r="R42" s="112" t="str">
        <f>IF(VLOOKUP(O42,deuda!A$1:H$551,6,0)=0,"",VLOOKUP(O42,deuda!A$1:H$551,6,0))</f>
        <v/>
      </c>
      <c r="S42" s="113" t="str">
        <f>IF((VLOOKUP(O42,deuda!A$1:H$551,7,0))=0,"",VLOOKUP(O42,deuda!A$1:H$551,7,0))</f>
        <v/>
      </c>
      <c r="T42" s="114" t="str">
        <f>IF((VLOOKUP(O42,deuda!A$1:H$551,8,0))=0,"",VLOOKUP(O42,deuda!A$1:H$551,8,0))</f>
        <v/>
      </c>
    </row>
    <row r="43" spans="1:20" ht="20.100000000000001" customHeight="1" thickBot="1">
      <c r="A43" s="97">
        <v>25</v>
      </c>
      <c r="B43" s="27">
        <v>1247</v>
      </c>
      <c r="C43" s="237">
        <v>3</v>
      </c>
      <c r="D43" s="256">
        <v>2</v>
      </c>
      <c r="E43" s="35">
        <v>6.3998999999999997</v>
      </c>
      <c r="F43" s="85" t="str">
        <f t="shared" si="0"/>
        <v>SI</v>
      </c>
      <c r="G43" s="257" t="s">
        <v>435</v>
      </c>
      <c r="H43" s="125">
        <f>IF(Hijuelas!$G$5="fracción",IF(F43="NO",0,IF(Hijuelas!$G$6="si",IF(D43=1,E43,E43*0.8),E43)),IF(F43="NO",0,IF(Hijuelas!$G$6="si",IF(D43=1,ROUNDUP(E43,0),ROUNDUP(E43*0.8,0)),ROUNDUP(E43,0))))</f>
        <v>5.1199200000000005</v>
      </c>
      <c r="I43" s="119">
        <v>0</v>
      </c>
      <c r="J43" s="120">
        <f t="shared" si="1"/>
        <v>0.12323607097090819</v>
      </c>
      <c r="K43" s="95">
        <f t="shared" si="3"/>
        <v>42977.40801392906</v>
      </c>
      <c r="L43" s="95">
        <f t="shared" si="4"/>
        <v>42977.531250000029</v>
      </c>
      <c r="M43" s="28"/>
      <c r="N43" s="5"/>
      <c r="O43" s="47" t="str">
        <f t="shared" si="2"/>
        <v>12473</v>
      </c>
      <c r="P43" s="112">
        <f>VLOOKUP(O43,deuda!A$1:I$551,4,0)</f>
        <v>1</v>
      </c>
      <c r="Q43" s="112">
        <f>VLOOKUP(O43,deuda!A$1:H$551,5,0)</f>
        <v>1</v>
      </c>
      <c r="R43" s="112" t="str">
        <f>IF(VLOOKUP(O43,deuda!A$1:H$551,6,0)=0,"",VLOOKUP(O43,deuda!A$1:H$551,6,0))</f>
        <v/>
      </c>
      <c r="S43" s="113" t="str">
        <f>IF((VLOOKUP(O43,deuda!A$1:H$551,7,0))=0,"",VLOOKUP(O43,deuda!A$1:H$551,7,0))</f>
        <v/>
      </c>
      <c r="T43" s="114" t="str">
        <f>IF((VLOOKUP(O43,deuda!A$1:H$551,8,0))=0,"",VLOOKUP(O43,deuda!A$1:H$551,8,0))</f>
        <v/>
      </c>
    </row>
    <row r="44" spans="1:20" ht="20.100000000000001" customHeight="1" thickBot="1">
      <c r="E44" s="478">
        <f>SUM(E13:E43)</f>
        <v>201.59790000000007</v>
      </c>
      <c r="F44" s="289"/>
      <c r="G44" s="290"/>
      <c r="H44" s="478">
        <f>SUM(H13:H43)</f>
        <v>146.70800000000003</v>
      </c>
      <c r="I44" s="479">
        <f>SUM(I16:I43)</f>
        <v>0.1875</v>
      </c>
      <c r="J44" s="525">
        <f>SUM(J13:J43)</f>
        <v>3.5312499999999991</v>
      </c>
    </row>
    <row r="45" spans="1:20">
      <c r="E45" s="14"/>
      <c r="I45" s="480"/>
    </row>
  </sheetData>
  <mergeCells count="7">
    <mergeCell ref="H2:I2"/>
    <mergeCell ref="B2:F2"/>
    <mergeCell ref="A10:B10"/>
    <mergeCell ref="A5:B5"/>
    <mergeCell ref="C5:E5"/>
    <mergeCell ref="A6:B6"/>
    <mergeCell ref="C6:E6"/>
  </mergeCells>
  <phoneticPr fontId="0" type="noConversion"/>
  <dataValidations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43" xr:uid="{00000000-0002-0000-1A00-000000000000}">
      <formula1>2</formula1>
      <formula2>2</formula2>
    </dataValidation>
  </dataValidations>
  <pageMargins left="0.39370078740157483" right="0.75" top="0.98425196850393704" bottom="0.98425196850393704" header="0" footer="0"/>
  <pageSetup paperSize="9" scale="78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6"/>
  <dimension ref="A1:H458"/>
  <sheetViews>
    <sheetView view="pageBreakPreview" zoomScale="60" zoomScaleNormal="75" workbookViewId="0" xr3:uid="{23B2C380-326F-580B-8990-D38B2516F165}">
      <selection activeCell="K25" sqref="K25"/>
    </sheetView>
  </sheetViews>
  <sheetFormatPr defaultRowHeight="12.75"/>
  <cols>
    <col min="1" max="2" width="11.42578125" customWidth="1"/>
    <col min="3" max="3" width="18.42578125" customWidth="1"/>
    <col min="4" max="4" width="26.5703125" customWidth="1"/>
    <col min="5" max="5" width="19.28515625" customWidth="1"/>
    <col min="6" max="7" width="11.5703125" bestFit="1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VLOOKUP(G5,'11_1'!$A$12:$G$43,7,0)</f>
        <v>GUARDIA, DANIEL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+'11_1'!$H$2</f>
        <v>Hijuela El Guindo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VLOOKUP(G5,'11_1'!$A$12:$B$43,2,0)</f>
        <v>1247</v>
      </c>
      <c r="D7" s="76"/>
      <c r="E7" s="635" t="s">
        <v>184</v>
      </c>
      <c r="F7" s="347">
        <f>DSUM('11_1'!A$12:J$43,'11_1'!$J$12,G4:G5)</f>
        <v>0</v>
      </c>
      <c r="G7" s="382"/>
      <c r="H7" s="76"/>
    </row>
    <row r="8" spans="1:8">
      <c r="A8" s="381"/>
      <c r="B8" s="635" t="s">
        <v>185</v>
      </c>
      <c r="C8" s="374" t="s">
        <v>436</v>
      </c>
      <c r="D8" s="76"/>
      <c r="E8" s="635" t="s">
        <v>186</v>
      </c>
      <c r="F8" s="368" t="str">
        <f>IF(VLOOKUP(G5,'11_1'!$A$12:$D$43,4,0)=2,"Eventual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DSUM('11_1'!$A$12:$H$43,'11_1'!$H$12,G4:G5)</f>
        <v>0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DMIN('11_1'!A$12:K$43,'11_1'!$K$12,G4:G5)</f>
        <v>42973.8125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 t="s">
        <v>70</v>
      </c>
      <c r="H10" s="76"/>
    </row>
    <row r="11" spans="1:8" ht="15.75">
      <c r="A11" s="381"/>
      <c r="B11" s="76"/>
      <c r="C11" s="635" t="s">
        <v>190</v>
      </c>
      <c r="D11" s="107">
        <f>DMAX('11_1'!A$12:L$28,'11_1'!$L$12,G4:G5)</f>
        <v>42973.8125</v>
      </c>
      <c r="E11" s="127" t="str">
        <f>IF(F11=1,"Domingo",IF(F11=2,"Lunes",IF(F11=3,"Martes",IF(F11=4,"Miercoles",IF(F11=5,"Jueves",IF(F11=6,"Viernes",IF(F11=7,"Sábado",0)))))))</f>
        <v>Sábado</v>
      </c>
      <c r="F11" s="128">
        <f>WEEKDAY(D11)</f>
        <v>7</v>
      </c>
      <c r="G11" s="385">
        <f>WEEKDAY(D11)</f>
        <v>7</v>
      </c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IF(DSUM('11_1'!$A$12:$P$83,16,G4:G5)=COUNTIF('11_1'!$A$13:$A$83,G5),"","Regularice su Deuda")</f>
        <v>Regularice su Deuda</v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VLOOKUP(G22,'11_1'!$A$12:$G$43,7,0)</f>
        <v>FUSTER, ROBERTO RAUL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+'11_1'!$H$2</f>
        <v>Hijuela El Guindo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VLOOKUP(G22,'11_1'!$A$12:$B$43,2,0)</f>
        <v>1247</v>
      </c>
      <c r="D24" s="76"/>
      <c r="E24" s="635" t="s">
        <v>184</v>
      </c>
      <c r="F24" s="347">
        <f>DSUM('11_1'!A$12:J$43,'11_1'!$J$12,G21:G22)</f>
        <v>0.21182493456389562</v>
      </c>
      <c r="G24" s="382"/>
    </row>
    <row r="25" spans="1:7">
      <c r="A25" s="381"/>
      <c r="B25" s="635" t="s">
        <v>185</v>
      </c>
      <c r="C25" s="374">
        <v>22</v>
      </c>
      <c r="D25" s="76"/>
      <c r="E25" s="635" t="s">
        <v>186</v>
      </c>
      <c r="F25" s="368" t="str">
        <f>IF(VLOOKUP(G22,'11_1'!$A$12:$D$43,4,0)=2,"Eventual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DSUM('11_1'!$A$12:$H$43,'11_1'!$H$12,G21:G22)</f>
        <v>8.8004000000000016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DMIN('11_1'!A$12:K$43,'11_1'!$K$12,G21:G22)</f>
        <v>42973.8125</v>
      </c>
      <c r="E27" s="127" t="str">
        <f>IF(F27=1,"Domingo",IF(F27=2,"Lunes",IF(F27=3,"Martes",IF(F27=4,"Miercoles",IF(F27=5,"Jueves",IF(F27=6,"Viernes",IF(F27=7,"Sábado",0)))))))</f>
        <v>Sábado</v>
      </c>
      <c r="F27" s="128">
        <f>WEEKDAY(D27)</f>
        <v>7</v>
      </c>
      <c r="G27" s="385" t="s">
        <v>70</v>
      </c>
    </row>
    <row r="28" spans="1:7" ht="15.75">
      <c r="A28" s="381"/>
      <c r="B28" s="76"/>
      <c r="C28" s="635" t="s">
        <v>190</v>
      </c>
      <c r="D28" s="107">
        <f>DMAX('11_1'!A$12:L$43,'11_1'!$L$12,G21:G22)</f>
        <v>42974.024324934566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385">
        <f>WEEKDAY(D28)</f>
        <v>1</v>
      </c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IF(DSUM('11_1'!$A$12:$P$83,16,G21:G22)=COUNTIF('11_1'!$A$13:$A$83,G22),"","Regularice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VLOOKUP(G39,'11_1'!$A$12:$G$43,7,0)</f>
        <v>EZTALA, VICENTE Y NICOTRA DE EZTALA, MARIA ARGENTINA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+'11_1'!$H$2</f>
        <v>Hijuela El Guindo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VLOOKUP(G39,'11_1'!$A$12:$B$43,2,0)</f>
        <v>1247</v>
      </c>
      <c r="D41" s="76"/>
      <c r="E41" s="635" t="s">
        <v>184</v>
      </c>
      <c r="F41" s="347">
        <f>DSUM('11_1'!A$12:J$43,'11_1'!$J$12,G38:G39)</f>
        <v>0.36590709095618507</v>
      </c>
      <c r="G41" s="382"/>
    </row>
    <row r="42" spans="1:7">
      <c r="A42" s="381"/>
      <c r="B42" s="635" t="s">
        <v>185</v>
      </c>
      <c r="C42" s="374">
        <v>32</v>
      </c>
      <c r="D42" s="76"/>
      <c r="E42" s="635" t="s">
        <v>186</v>
      </c>
      <c r="F42" s="368" t="str">
        <f>IF(VLOOKUP(G39,'11_1'!$A$12:$D$43,4,0)=2,"Eventual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DSUM('11_1'!$A$12:$H$43,'11_1'!$H$12,G38:G39)</f>
        <v>15.201840000000002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DMIN('11_1'!A$12:K$43,'11_1'!$K$12,G38:G39)</f>
        <v>42974.024324934566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385" t="s">
        <v>70</v>
      </c>
    </row>
    <row r="45" spans="1:7" ht="15.75">
      <c r="A45" s="381"/>
      <c r="B45" s="76"/>
      <c r="C45" s="635" t="s">
        <v>190</v>
      </c>
      <c r="D45" s="107">
        <f>DMAX('11_1'!A$12:L$43,'11_1'!$L$12,G38:G39)</f>
        <v>42974.390232025522</v>
      </c>
      <c r="E45" s="127" t="str">
        <f>IF(F45=1,"Domingo",IF(F45=2,"Lunes",IF(F45=3,"Martes",IF(F45=4,"Miercoles",IF(F45=5,"Jueves",IF(F45=6,"Viernes",IF(F45=7,"Sábado",0)))))))</f>
        <v>Domingo</v>
      </c>
      <c r="F45" s="128">
        <f>WEEKDAY(D45)</f>
        <v>1</v>
      </c>
      <c r="G45" s="385">
        <f>WEEKDAY(D45)</f>
        <v>1</v>
      </c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</row>
    <row r="48" spans="1:7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IF(DSUM('11_1'!$A$12:$P$83,16,G38:G39)=COUNTIF('11_1'!$A$13:$A$83,G39),"","Regularice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VLOOKUP(G56,'11_1'!$A$12:$G$43,7,0)</f>
        <v>BUSTOS BACILIO CEFERINO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+'11_1'!$H$2</f>
        <v>Hijuela El Guindo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VLOOKUP(G56,'11_1'!$A$12:$B$43,2,0)</f>
        <v>1247</v>
      </c>
      <c r="D58" s="76"/>
      <c r="E58" s="635" t="s">
        <v>184</v>
      </c>
      <c r="F58" s="347">
        <f>DSUM('11_1'!A$12:J$43,'11_1'!$J$12,G55:G56)</f>
        <v>0.17495944324781196</v>
      </c>
      <c r="G58" s="382"/>
    </row>
    <row r="59" spans="1:7">
      <c r="A59" s="381"/>
      <c r="B59" s="635" t="s">
        <v>185</v>
      </c>
      <c r="C59" s="374">
        <v>7</v>
      </c>
      <c r="D59" s="76"/>
      <c r="E59" s="635" t="s">
        <v>186</v>
      </c>
      <c r="F59" s="368" t="str">
        <f>IF(VLOOKUP(G56,'11_1'!$A$12:$D$43,4,0)=2,"Eventual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DSUM('11_1'!$A$12:$H$43,'11_1'!$H$12,G55:G56)</f>
        <v>7.2688000000000006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DMIN('11_1'!A$12:K$43,'11_1'!$K$12,G55:G56)</f>
        <v>42974.390232025522</v>
      </c>
      <c r="E61" s="127" t="str">
        <f>IF(F61=1,"Domingo",IF(F61=2,"Lunes",IF(F61=3,"Martes",IF(F61=4,"Miercoles",IF(F61=5,"Jueves",IF(F61=6,"Viernes",IF(F61=7,"Sábado",0)))))))</f>
        <v>Domingo</v>
      </c>
      <c r="F61" s="128">
        <f>WEEKDAY(D61)</f>
        <v>1</v>
      </c>
      <c r="G61" s="385" t="s">
        <v>70</v>
      </c>
    </row>
    <row r="62" spans="1:7" ht="15.75">
      <c r="A62" s="381"/>
      <c r="B62" s="76"/>
      <c r="C62" s="635" t="s">
        <v>190</v>
      </c>
      <c r="D62" s="107">
        <f>DMAX('11_1'!A$12:L$43,'11_1'!$L$12,G55:G56)</f>
        <v>42974.56519146877</v>
      </c>
      <c r="E62" s="127" t="str">
        <f>IF(F62=1,"Domingo",IF(F62=2,"Lunes",IF(F62=3,"Martes",IF(F62=4,"Miercoles",IF(F62=5,"Jueves",IF(F62=6,"Viernes",IF(F62=7,"Sábado",0)))))))</f>
        <v>Domingo</v>
      </c>
      <c r="F62" s="128">
        <f>WEEKDAY(D62)</f>
        <v>1</v>
      </c>
      <c r="G62" s="385">
        <f>WEEKDAY(D62)</f>
        <v>1</v>
      </c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</row>
    <row r="65" spans="1:7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IF(DSUM('11_1'!$A$12:$P$83,16,G55:G56)=COUNTIF('11_1'!$A$13:$A$83,G56),"","Regularice su Deuda")</f>
        <v/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VLOOKUP(G73,'11_1'!$A$12:$G$43,7,0)</f>
        <v>TRASLAVI#A, AUDALIO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+'11_1'!$H$2</f>
        <v>Hijuela El Guindo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VLOOKUP(G73,'11_1'!$A$12:$B$43,2,0)</f>
        <v>1247</v>
      </c>
      <c r="D75" s="76"/>
      <c r="E75" s="635" t="s">
        <v>184</v>
      </c>
      <c r="F75" s="347">
        <f>DSUM('11_1'!A$12:J$43,'11_1'!$J$12,G72:G73)</f>
        <v>2.8883905444829182E-2</v>
      </c>
      <c r="G75" s="382"/>
    </row>
    <row r="76" spans="1:7">
      <c r="A76" s="381"/>
      <c r="B76" s="635" t="s">
        <v>185</v>
      </c>
      <c r="C76" s="374">
        <v>15</v>
      </c>
      <c r="D76" s="76"/>
      <c r="E76" s="635" t="s">
        <v>186</v>
      </c>
      <c r="F76" s="368" t="str">
        <f>IF(VLOOKUP(G73,'11_1'!$A$12:$D$43,4,0)=2,"Eventual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DSUM('11_1'!$A$12:$H$43,'11_1'!$H$12,G72:G73)</f>
        <v>1.2000000000000002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DMIN('11_1'!A$12:K$43,'11_1'!$K$12,G72:G73)</f>
        <v>42974.56519146877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 t="s">
        <v>70</v>
      </c>
    </row>
    <row r="79" spans="1:7" ht="15.75">
      <c r="A79" s="381"/>
      <c r="B79" s="76"/>
      <c r="C79" s="635" t="s">
        <v>190</v>
      </c>
      <c r="D79" s="107">
        <f>DMAX('11_1'!A$12:L$43,'11_1'!$L$12,G72:G73)</f>
        <v>42974.614908707554</v>
      </c>
      <c r="E79" s="127" t="str">
        <f>IF(F79=1,"Domingo",IF(F79=2,"Lunes",IF(F79=3,"Martes",IF(F79=4,"Miercoles",IF(F79=5,"Jueves",IF(F79=6,"Viernes",IF(F79=7,"Sábado",0)))))))</f>
        <v>Domingo</v>
      </c>
      <c r="F79" s="128">
        <f>WEEKDAY(D79)</f>
        <v>1</v>
      </c>
      <c r="G79" s="385">
        <f>WEEKDAY(D79)</f>
        <v>1</v>
      </c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</row>
    <row r="82" spans="1:7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IF(DSUM('11_1'!$A$12:$P$83,16,G72:G73)=COUNTIF('11_1'!$A$13:$A$83,G73),"","Regularice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VLOOKUP(G90,'11_1'!$A$12:$G$43,7,0)</f>
        <v>OVIEDO, PLUTARCO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+'11_1'!$H$2</f>
        <v>Hijuela El Guindo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VLOOKUP(G90,'11_1'!$A$12:$B$43,2,0)</f>
        <v>1247</v>
      </c>
      <c r="D92" s="76"/>
      <c r="E92" s="635" t="s">
        <v>184</v>
      </c>
      <c r="F92" s="347">
        <f>DSUM('11_1'!A$12:J$43,'11_1'!$J$12,G89:G90)</f>
        <v>2.8883905444829182E-2</v>
      </c>
      <c r="G92" s="382"/>
    </row>
    <row r="93" spans="1:7">
      <c r="A93" s="381"/>
      <c r="B93" s="635" t="s">
        <v>185</v>
      </c>
      <c r="C93" s="374">
        <v>19</v>
      </c>
      <c r="D93" s="76"/>
      <c r="E93" s="635" t="s">
        <v>186</v>
      </c>
      <c r="F93" s="368" t="str">
        <f>IF(VLOOKUP(G90,'11_1'!$A$12:$D$43,4,0)=2,"Eventual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DSUM('11_1'!$A$12:$H$43,'11_1'!$H$12,G89:G90)</f>
        <v>1.2000000000000002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DMIN('11_1'!A$12:K$43,'11_1'!$K$12,G89:G90)</f>
        <v>42974.614908707554</v>
      </c>
      <c r="E95" s="127" t="str">
        <f>IF(F95=1,"Domingo",IF(F95=2,"Lunes",IF(F95=3,"Martes",IF(F95=4,"Miercoles",IF(F95=5,"Jueves",IF(F95=6,"Viernes",IF(F95=7,"Sábado",0)))))))</f>
        <v>Domingo</v>
      </c>
      <c r="F95" s="128">
        <f>WEEKDAY(D95)</f>
        <v>1</v>
      </c>
      <c r="G95" s="385" t="s">
        <v>70</v>
      </c>
    </row>
    <row r="96" spans="1:7" ht="15.75">
      <c r="A96" s="381"/>
      <c r="B96" s="76"/>
      <c r="C96" s="635" t="s">
        <v>190</v>
      </c>
      <c r="D96" s="107">
        <f>DMAX('11_1'!A$12:L$43,'11_1'!$L$12,G89:G90)</f>
        <v>42974.664625946338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>
        <f>WEEKDAY(D96)</f>
        <v>1</v>
      </c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</row>
    <row r="99" spans="1:7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IF(DSUM('11_1'!$A$12:$P$83,16,G89:G90)=COUNTIF('11_1'!$A$13:$A$83,G90),"","Regularice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VLOOKUP(G107,'11_1'!$A$12:$G$43,7,0)</f>
        <v>ALDAYA, IGNACIO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+'11_1'!$H$2</f>
        <v>Hijuela El Guindo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VLOOKUP(G107,'11_1'!$A$12:$B$43,2,0)</f>
        <v>1247</v>
      </c>
      <c r="D109" s="76"/>
      <c r="E109" s="635" t="s">
        <v>184</v>
      </c>
      <c r="F109" s="347">
        <f>DSUM('11_1'!A$12:J$43,'11_1'!$J$12,G106:G107)</f>
        <v>0.11553562177931673</v>
      </c>
      <c r="G109" s="382"/>
    </row>
    <row r="110" spans="1:7">
      <c r="A110" s="381"/>
      <c r="B110" s="635" t="s">
        <v>185</v>
      </c>
      <c r="C110" s="374">
        <v>16</v>
      </c>
      <c r="D110" s="76"/>
      <c r="E110" s="635" t="s">
        <v>186</v>
      </c>
      <c r="F110" s="368" t="str">
        <f>IF(VLOOKUP(G107,'11_1'!$A$12:$D$43,4,0)=2,"Eventual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DSUM('11_1'!$A$12:$H$43,'11_1'!$H$12,G106:G107)</f>
        <v>4.8000000000000007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DMIN('11_1'!A$12:K$43,'11_1'!$K$12,G106:G107)</f>
        <v>42974.664625946338</v>
      </c>
      <c r="E112" s="127" t="str">
        <f>IF(F112=1,"Domingo",IF(F112=2,"Lunes",IF(F112=3,"Martes",IF(F112=4,"Miercoles",IF(F112=5,"Jueves",IF(F112=6,"Viernes",IF(F112=7,"Sábado",0)))))))</f>
        <v>Domingo</v>
      </c>
      <c r="F112" s="128">
        <f>WEEKDAY(D112)</f>
        <v>1</v>
      </c>
      <c r="G112" s="385" t="s">
        <v>70</v>
      </c>
    </row>
    <row r="113" spans="1:7" ht="15.75">
      <c r="A113" s="381"/>
      <c r="B113" s="76"/>
      <c r="C113" s="635" t="s">
        <v>190</v>
      </c>
      <c r="D113" s="107">
        <f>DMAX('11_1'!A$12:L$43,'11_1'!$L$12,G106:G107)</f>
        <v>42974.780161568116</v>
      </c>
      <c r="E113" s="127" t="str">
        <f>IF(F113=1,"Domingo",IF(F113=2,"Lunes",IF(F113=3,"Martes",IF(F113=4,"Miercoles",IF(F113=5,"Jueves",IF(F113=6,"Viernes",IF(F113=7,"Sábado",0)))))))</f>
        <v>Domingo</v>
      </c>
      <c r="F113" s="128">
        <f>WEEKDAY(D113)</f>
        <v>1</v>
      </c>
      <c r="G113" s="385">
        <f>WEEKDAY(D113)</f>
        <v>1</v>
      </c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</row>
    <row r="116" spans="1:7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IF(DSUM('11_1'!$A$12:$P$83,16,G106:G107)=COUNTIF('11_1'!$A$13:$A$83,G107),"","Regularice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VLOOKUP(G124,'11_1'!$A$12:$G$43,7,0)</f>
        <v>RIGHI PEREZ, MARIA ELENA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+'11_1'!$H$2</f>
        <v>Hijuela El Guindo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VLOOKUP(G124,'11_1'!$A$12:$B$43,2,0)</f>
        <v>1247</v>
      </c>
      <c r="D126" s="76"/>
      <c r="E126" s="635" t="s">
        <v>184</v>
      </c>
      <c r="F126" s="347">
        <f>DSUM('11_1'!A$12:J$43,'11_1'!$J$12,G123:G124)</f>
        <v>0</v>
      </c>
      <c r="G126" s="382"/>
    </row>
    <row r="127" spans="1:7">
      <c r="A127" s="381"/>
      <c r="B127" s="635" t="s">
        <v>185</v>
      </c>
      <c r="C127" s="374" t="s">
        <v>437</v>
      </c>
      <c r="D127" s="76"/>
      <c r="E127" s="635" t="s">
        <v>186</v>
      </c>
      <c r="F127" s="368" t="str">
        <f>IF(VLOOKUP(G124,'11_1'!$A$12:$D$43,4,0)=2,"Eventual 80%","Definitivo 100%")</f>
        <v>Eventual 80%</v>
      </c>
      <c r="G127" s="382"/>
    </row>
    <row r="128" spans="1:7">
      <c r="A128" s="381"/>
      <c r="B128" s="635" t="s">
        <v>187</v>
      </c>
      <c r="C128" s="375">
        <f>DSUM('11_1'!$A$12:$H$43,'11_1'!$H$12,G123:G124)</f>
        <v>0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DMIN('11_1'!A$12:K$43,'11_1'!$K$12,G123:G124)</f>
        <v>42974.780161568116</v>
      </c>
      <c r="E129" s="127" t="str">
        <f>IF(F129=1,"Domingo",IF(F129=2,"Lunes",IF(F129=3,"Martes",IF(F129=4,"Miercoles",IF(F129=5,"Jueves",IF(F129=6,"Viernes",IF(F129=7,"Sábado",0)))))))</f>
        <v>Domingo</v>
      </c>
      <c r="F129" s="128">
        <f>WEEKDAY(D129)</f>
        <v>1</v>
      </c>
      <c r="G129" s="385" t="s">
        <v>70</v>
      </c>
    </row>
    <row r="130" spans="1:7" ht="15.75">
      <c r="A130" s="381"/>
      <c r="B130" s="76"/>
      <c r="C130" s="635" t="s">
        <v>190</v>
      </c>
      <c r="D130" s="107">
        <f>DMAX('11_1'!A$12:L$43,'11_1'!$L$12,G123:G124)</f>
        <v>42974.780161568116</v>
      </c>
      <c r="E130" s="127" t="str">
        <f>IF(F130=1,"Domingo",IF(F130=2,"Lunes",IF(F130=3,"Martes",IF(F130=4,"Miercoles",IF(F130=5,"Jueves",IF(F130=6,"Viernes",IF(F130=7,"Sábado",0)))))))</f>
        <v>Domingo</v>
      </c>
      <c r="F130" s="128">
        <f>WEEKDAY(D130)</f>
        <v>1</v>
      </c>
      <c r="G130" s="385">
        <f>WEEKDAY(D130)</f>
        <v>1</v>
      </c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</row>
    <row r="133" spans="1:7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IF(DSUM('11_1'!$A$12:$P$83,16,G123:G124)=COUNTIF('11_1'!$A$13:$A$83,G124),"","Regularice su Deuda")</f>
        <v>Regularice su Deuda</v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VLOOKUP(G141,'11_1'!$A$12:$G$43,7,0)</f>
        <v>RIGHI PEREZ, ANGELA ELBA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+'11_1'!$H$2</f>
        <v>Hijuela El Guindo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VLOOKUP(G141,'11_1'!$A$12:$B$43,2,0)</f>
        <v>1247</v>
      </c>
      <c r="D143" s="76"/>
      <c r="E143" s="635" t="s">
        <v>184</v>
      </c>
      <c r="F143" s="347">
        <f>DSUM('11_1'!A$12:J$43,'11_1'!$J$12,G140:G141)</f>
        <v>2.4695739155328949E-2</v>
      </c>
      <c r="G143" s="382"/>
    </row>
    <row r="144" spans="1:7">
      <c r="A144" s="381"/>
      <c r="B144" s="635" t="s">
        <v>185</v>
      </c>
      <c r="C144" s="374">
        <v>46</v>
      </c>
      <c r="D144" s="76"/>
      <c r="E144" s="635" t="s">
        <v>186</v>
      </c>
      <c r="F144" s="368" t="str">
        <f>IF(VLOOKUP(G141,'11_1'!$A$12:$D$43,4,0)=2,"Eventual 80%","Definitivo 100%")</f>
        <v>Eventual 80%</v>
      </c>
      <c r="G144" s="382"/>
    </row>
    <row r="145" spans="1:7">
      <c r="A145" s="381"/>
      <c r="B145" s="635" t="s">
        <v>187</v>
      </c>
      <c r="C145" s="375">
        <f>DSUM('11_1'!$A$12:$H$43,'11_1'!$H$12,G140:G141)</f>
        <v>1.026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DMIN('11_1'!A$12:K$43,'11_1'!$K$12,G140:G141)</f>
        <v>42974.780161568116</v>
      </c>
      <c r="E146" s="127" t="str">
        <f>IF(F146=1,"Domingo",IF(F146=2,"Lunes",IF(F146=3,"Martes",IF(F146=4,"Miercoles",IF(F146=5,"Jueves",IF(F146=6,"Viernes",IF(F146=7,"Sábado",0)))))))</f>
        <v>Domingo</v>
      </c>
      <c r="F146" s="128">
        <f>WEEKDAY(D146)</f>
        <v>1</v>
      </c>
      <c r="G146" s="385" t="s">
        <v>70</v>
      </c>
    </row>
    <row r="147" spans="1:7" ht="15.75">
      <c r="A147" s="381"/>
      <c r="B147" s="76"/>
      <c r="C147" s="635" t="s">
        <v>190</v>
      </c>
      <c r="D147" s="107">
        <f>DMAX('11_1'!A$12:L$43,'11_1'!$L$12,G140:G141)</f>
        <v>42974.82569064061</v>
      </c>
      <c r="E147" s="127" t="str">
        <f>IF(F147=1,"Domingo",IF(F147=2,"Lunes",IF(F147=3,"Martes",IF(F147=4,"Miercoles",IF(F147=5,"Jueves",IF(F147=6,"Viernes",IF(F147=7,"Sábado",0)))))))</f>
        <v>Domingo</v>
      </c>
      <c r="F147" s="128">
        <f>WEEKDAY(D147)</f>
        <v>1</v>
      </c>
      <c r="G147" s="385">
        <f>WEEKDAY(D147)</f>
        <v>1</v>
      </c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381"/>
      <c r="B149" s="108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</row>
    <row r="150" spans="1:7">
      <c r="A150" s="381"/>
      <c r="B150" s="108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IF(DSUM('11_1'!$A$12:$P$83,16,G140:G141)=COUNTIF('11_1'!$A$13:$A$83,G141),"","Regularice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VLOOKUP(G158,'11_1'!$A$12:$G$43,7,0)</f>
        <v>SALETEK S.A.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+'11_1'!$H$2</f>
        <v>Hijuela El Guindo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VLOOKUP(G158,'11_1'!$A$12:$B$43,2,0)</f>
        <v>1247</v>
      </c>
      <c r="D160" s="76"/>
      <c r="E160" s="635" t="s">
        <v>184</v>
      </c>
      <c r="F160" s="347">
        <f>DSUM('11_1'!A$12:J$43,'11_1'!$J$12,G157:G158)</f>
        <v>0.65912301987621658</v>
      </c>
      <c r="G160" s="382"/>
    </row>
    <row r="161" spans="1:7">
      <c r="A161" s="381"/>
      <c r="B161" s="635" t="s">
        <v>185</v>
      </c>
      <c r="C161" s="374">
        <v>47</v>
      </c>
      <c r="D161" s="76"/>
      <c r="E161" s="635" t="s">
        <v>186</v>
      </c>
      <c r="F161" s="368" t="str">
        <f>IF(VLOOKUP(G158,'11_1'!$A$12:$D$43,4,0)=2,"Eventual 80%","Definitivo 100%")</f>
        <v>Eventual 80%</v>
      </c>
      <c r="G161" s="382"/>
    </row>
    <row r="162" spans="1:7">
      <c r="A162" s="381"/>
      <c r="B162" s="635" t="s">
        <v>187</v>
      </c>
      <c r="C162" s="375">
        <f>DSUM('11_1'!$A$12:$H$43,'11_1'!$H$12,G157:G158)</f>
        <v>27.383679999999998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DMIN('11_1'!A$12:K$43,'11_1'!$K$12,G157:G158)</f>
        <v>42974.82569064061</v>
      </c>
      <c r="E163" s="127" t="str">
        <f>IF(F163=1,"Domingo",IF(F163=2,"Lunes",IF(F163=3,"Martes",IF(F163=4,"Miercoles",IF(F163=5,"Jueves",IF(F163=6,"Viernes",IF(F163=7,"Sábado",0)))))))</f>
        <v>Domingo</v>
      </c>
      <c r="F163" s="128">
        <f>WEEKDAY(D163)</f>
        <v>1</v>
      </c>
      <c r="G163" s="385" t="s">
        <v>70</v>
      </c>
    </row>
    <row r="164" spans="1:7" ht="15.75">
      <c r="A164" s="381"/>
      <c r="B164" s="76"/>
      <c r="C164" s="635" t="s">
        <v>190</v>
      </c>
      <c r="D164" s="107">
        <f>DMAX('11_1'!A$12:L$43,'11_1'!$L$12,G157:G158)</f>
        <v>42975.484813660485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385">
        <f>WEEKDAY(D164)</f>
        <v>2</v>
      </c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381"/>
      <c r="B166" s="108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</row>
    <row r="167" spans="1:7">
      <c r="A167" s="381"/>
      <c r="B167" s="108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IF(DSUM('11_1'!$A$12:$P$83,16,G157:G158)=COUNTIF('11_1'!$A$13:$A$83,G158),"","Regularice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VLOOKUP(G175,'11_1'!$A$12:$G$43,7,0)</f>
        <v>RAMO RODRIGUEZ, MARCELO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+'11_1'!$H$2</f>
        <v>Hijuela El Guindo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VLOOKUP(G175,'11_1'!$A$12:$B$43,2,0)</f>
        <v>1247</v>
      </c>
      <c r="D177" s="76"/>
      <c r="E177" s="635" t="s">
        <v>184</v>
      </c>
      <c r="F177" s="347">
        <f>DSUM('11_1'!A$12:J$43,'11_1'!$J$12,G174:G175)</f>
        <v>3.3380166725740922E-2</v>
      </c>
      <c r="G177" s="382"/>
    </row>
    <row r="178" spans="1:7">
      <c r="A178" s="381"/>
      <c r="B178" s="635" t="s">
        <v>185</v>
      </c>
      <c r="C178" s="374">
        <v>52</v>
      </c>
      <c r="D178" s="76"/>
      <c r="E178" s="635" t="s">
        <v>186</v>
      </c>
      <c r="F178" s="368" t="str">
        <f>IF(VLOOKUP(G175,'11_1'!$A$12:$D$43,4,0)=2,"Eventual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DSUM('11_1'!$A$12:$H$43,'11_1'!$H$12,G174:G175)</f>
        <v>1.3868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DMIN('11_1'!A$12:K$43,'11_1'!$K$12,G174:G175)</f>
        <v>42975.484813660485</v>
      </c>
      <c r="E180" s="127" t="str">
        <f>IF(F180=1,"Domingo",IF(F180=2,"Lunes",IF(F180=3,"Martes",IF(F180=4,"Miercoles",IF(F180=5,"Jueves",IF(F180=6,"Viernes",IF(F180=7,"Sábado",0)))))))</f>
        <v>Lunes</v>
      </c>
      <c r="F180" s="128">
        <f>WEEKDAY(D180)</f>
        <v>2</v>
      </c>
      <c r="G180" s="385" t="s">
        <v>70</v>
      </c>
    </row>
    <row r="181" spans="1:7" ht="15.75">
      <c r="A181" s="381"/>
      <c r="B181" s="76"/>
      <c r="C181" s="635" t="s">
        <v>190</v>
      </c>
      <c r="D181" s="107">
        <f>DMAX('11_1'!A$12:L$43,'11_1'!$L$12,G174:G175)</f>
        <v>42975.559860493879</v>
      </c>
      <c r="E181" s="127" t="str">
        <f>IF(F181=1,"Domingo",IF(F181=2,"Lunes",IF(F181=3,"Martes",IF(F181=4,"Miercoles",IF(F181=5,"Jueves",IF(F181=6,"Viernes",IF(F181=7,"Sábado",0)))))))</f>
        <v>Lunes</v>
      </c>
      <c r="F181" s="128">
        <f>WEEKDAY(D181)</f>
        <v>2</v>
      </c>
      <c r="G181" s="385">
        <f>WEEKDAY(D181)</f>
        <v>2</v>
      </c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381"/>
      <c r="B183" s="108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</row>
    <row r="184" spans="1:7">
      <c r="A184" s="381"/>
      <c r="B184" s="108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IF(DSUM('11_1'!$A$12:$P$83,16,G174:G175)=COUNTIF('11_1'!$A$13:$A$83,G175),"","Regularice su Deuda")</f>
        <v/>
      </c>
      <c r="C186" s="326"/>
      <c r="D186" s="326"/>
      <c r="E186" s="326"/>
      <c r="F186" s="326"/>
      <c r="G186" s="388"/>
    </row>
    <row r="187" spans="1:7" ht="13.5" thickBot="1"/>
    <row r="188" spans="1:7">
      <c r="A188" s="378"/>
      <c r="B188" s="379"/>
      <c r="C188" s="379"/>
      <c r="D188" s="379"/>
      <c r="E188" s="379"/>
      <c r="F188" s="379"/>
      <c r="G188" s="380"/>
    </row>
    <row r="189" spans="1:7">
      <c r="A189" s="381"/>
      <c r="B189" s="109" t="s">
        <v>82</v>
      </c>
      <c r="C189" s="76"/>
      <c r="D189" s="76"/>
      <c r="E189" s="76"/>
      <c r="F189" s="76"/>
      <c r="G189" s="382"/>
    </row>
    <row r="190" spans="1:7">
      <c r="A190" s="381"/>
      <c r="B190" s="76"/>
      <c r="C190" s="76"/>
      <c r="D190" s="76"/>
      <c r="E190" s="76"/>
      <c r="F190" s="76"/>
      <c r="G190" s="382"/>
    </row>
    <row r="191" spans="1:7">
      <c r="A191" s="381"/>
      <c r="B191" s="76" t="s">
        <v>182</v>
      </c>
      <c r="C191" s="76" t="str">
        <f>VLOOKUP(G192,'11_1'!$A$12:$G$43,7,0)</f>
        <v>RAMO RODRIGUEZ, FERNANDO</v>
      </c>
      <c r="D191" s="76"/>
      <c r="E191" s="76"/>
      <c r="F191" s="76"/>
      <c r="G191" s="383" t="s">
        <v>134</v>
      </c>
    </row>
    <row r="192" spans="1:7">
      <c r="A192" s="381"/>
      <c r="B192" s="76" t="s">
        <v>91</v>
      </c>
      <c r="C192" s="76" t="str">
        <f>+'11_1'!$H$2</f>
        <v>Hijuela El Guindo</v>
      </c>
      <c r="D192" s="76"/>
      <c r="E192" s="76"/>
      <c r="F192" s="76"/>
      <c r="G192" s="383">
        <v>12</v>
      </c>
    </row>
    <row r="193" spans="1:7">
      <c r="A193" s="381"/>
      <c r="B193" s="76"/>
      <c r="C193" s="76"/>
      <c r="D193" s="76"/>
      <c r="E193" s="76"/>
      <c r="F193" s="76"/>
      <c r="G193" s="382"/>
    </row>
    <row r="194" spans="1:7">
      <c r="A194" s="381"/>
      <c r="B194" s="635" t="s">
        <v>183</v>
      </c>
      <c r="C194" s="331">
        <f>VLOOKUP(G192,'11_1'!$A$12:$B$43,2,0)</f>
        <v>1247</v>
      </c>
      <c r="D194" s="76"/>
      <c r="E194" s="635" t="s">
        <v>184</v>
      </c>
      <c r="F194" s="347">
        <f>DSUM('11_1'!A$12:J$43,'11_1'!$J$12,G191:G192)</f>
        <v>4.9420362216102721E-2</v>
      </c>
      <c r="G194" s="382"/>
    </row>
    <row r="195" spans="1:7">
      <c r="A195" s="381"/>
      <c r="B195" s="635" t="s">
        <v>185</v>
      </c>
      <c r="C195" s="374">
        <v>14</v>
      </c>
      <c r="D195" s="76"/>
      <c r="E195" s="635" t="s">
        <v>186</v>
      </c>
      <c r="F195" s="368" t="str">
        <f>IF(VLOOKUP(G192,'11_1'!$A$12:$D$43,4,0)=2,"Eventual 80%","Definitivo 100%")</f>
        <v>Eventual 80%</v>
      </c>
      <c r="G195" s="382"/>
    </row>
    <row r="196" spans="1:7">
      <c r="A196" s="381"/>
      <c r="B196" s="635" t="s">
        <v>187</v>
      </c>
      <c r="C196" s="375">
        <f>DSUM('11_1'!$A$12:$H$43,'11_1'!$H$12,G191:G192)</f>
        <v>2.0531999999999999</v>
      </c>
      <c r="D196" s="76"/>
      <c r="E196" s="635" t="s">
        <v>188</v>
      </c>
      <c r="F196" s="369" t="str">
        <f>+Hijuelas!$G$5</f>
        <v>fracción</v>
      </c>
      <c r="G196" s="384"/>
    </row>
    <row r="197" spans="1:7" ht="15.75">
      <c r="A197" s="381"/>
      <c r="B197" s="76"/>
      <c r="C197" s="635" t="s">
        <v>189</v>
      </c>
      <c r="D197" s="107">
        <f>DMIN('11_1'!A$12:K$43,'11_1'!$K$12,G191:G192)</f>
        <v>42975.559860493879</v>
      </c>
      <c r="E197" s="127" t="str">
        <f>IF(F197=1,"Domingo",IF(F197=2,"Lunes",IF(F197=3,"Martes",IF(F197=4,"Miercoles",IF(F197=5,"Jueves",IF(F197=6,"Viernes",IF(F197=7,"Sábado",0)))))))</f>
        <v>Lunes</v>
      </c>
      <c r="F197" s="128">
        <f>WEEKDAY(D197)</f>
        <v>2</v>
      </c>
      <c r="G197" s="385" t="s">
        <v>70</v>
      </c>
    </row>
    <row r="198" spans="1:7" ht="15.75">
      <c r="A198" s="381"/>
      <c r="B198" s="76"/>
      <c r="C198" s="635" t="s">
        <v>190</v>
      </c>
      <c r="D198" s="107">
        <f>DMAX('11_1'!A$12:L$43,'11_1'!$L$12,G191:G192)</f>
        <v>42975.609280856093</v>
      </c>
      <c r="E198" s="127" t="str">
        <f>IF(F198=1,"Domingo",IF(F198=2,"Lunes",IF(F198=3,"Martes",IF(F198=4,"Miercoles",IF(F198=5,"Jueves",IF(F198=6,"Viernes",IF(F198=7,"Sábado",0)))))))</f>
        <v>Lunes</v>
      </c>
      <c r="F198" s="128">
        <f>WEEKDAY(D198)</f>
        <v>2</v>
      </c>
      <c r="G198" s="385">
        <f>WEEKDAY(D198)</f>
        <v>2</v>
      </c>
    </row>
    <row r="199" spans="1:7">
      <c r="A199" s="381"/>
      <c r="B199" s="76"/>
      <c r="C199" s="76"/>
      <c r="D199" s="76"/>
      <c r="E199" s="76"/>
      <c r="F199" s="106"/>
      <c r="G199" s="384"/>
    </row>
    <row r="200" spans="1:7">
      <c r="A200" s="381"/>
      <c r="B200" s="108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</row>
    <row r="201" spans="1:7">
      <c r="A201" s="381"/>
      <c r="B201" s="108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</row>
    <row r="202" spans="1:7">
      <c r="A202" s="381"/>
      <c r="B202" s="108"/>
      <c r="C202" s="76"/>
      <c r="D202" s="76"/>
      <c r="E202" s="76"/>
      <c r="F202" s="76"/>
      <c r="G202" s="382"/>
    </row>
    <row r="203" spans="1:7" ht="13.5" thickBot="1">
      <c r="A203" s="386"/>
      <c r="B203" s="387" t="str">
        <f>IF(DSUM('11_1'!$A$12:$P$83,16,G191:G192)=COUNTIF('11_1'!$A$13:$A$83,G192),"","Regularice su Deuda")</f>
        <v/>
      </c>
      <c r="C203" s="326"/>
      <c r="D203" s="326"/>
      <c r="E203" s="326"/>
      <c r="F203" s="326"/>
      <c r="G203" s="388"/>
    </row>
    <row r="204" spans="1:7" ht="13.5" thickBot="1"/>
    <row r="205" spans="1:7">
      <c r="A205" s="378"/>
      <c r="B205" s="379"/>
      <c r="C205" s="379"/>
      <c r="D205" s="379"/>
      <c r="E205" s="379"/>
      <c r="F205" s="379"/>
      <c r="G205" s="380"/>
    </row>
    <row r="206" spans="1:7">
      <c r="A206" s="381"/>
      <c r="B206" s="109" t="s">
        <v>82</v>
      </c>
      <c r="C206" s="76"/>
      <c r="D206" s="76"/>
      <c r="E206" s="76"/>
      <c r="F206" s="76"/>
      <c r="G206" s="382"/>
    </row>
    <row r="207" spans="1:7">
      <c r="A207" s="381"/>
      <c r="B207" s="76"/>
      <c r="C207" s="76"/>
      <c r="D207" s="76"/>
      <c r="E207" s="76"/>
      <c r="F207" s="76"/>
      <c r="G207" s="382"/>
    </row>
    <row r="208" spans="1:7">
      <c r="A208" s="381"/>
      <c r="B208" s="76" t="s">
        <v>182</v>
      </c>
      <c r="C208" s="76" t="str">
        <f>VLOOKUP(G209,'11_1'!$A$12:$G$43,7,0)</f>
        <v>GIMENEZ, MARIA ADRIANA</v>
      </c>
      <c r="D208" s="76"/>
      <c r="E208" s="76"/>
      <c r="F208" s="76"/>
      <c r="G208" s="383" t="s">
        <v>134</v>
      </c>
    </row>
    <row r="209" spans="1:7">
      <c r="A209" s="381"/>
      <c r="B209" s="76" t="s">
        <v>91</v>
      </c>
      <c r="C209" s="76" t="str">
        <f>+'11_1'!$H$2</f>
        <v>Hijuela El Guindo</v>
      </c>
      <c r="D209" s="76"/>
      <c r="E209" s="76"/>
      <c r="F209" s="76"/>
      <c r="G209" s="383">
        <v>13</v>
      </c>
    </row>
    <row r="210" spans="1:7">
      <c r="A210" s="381"/>
      <c r="B210" s="76"/>
      <c r="C210" s="76"/>
      <c r="D210" s="76"/>
      <c r="E210" s="76"/>
      <c r="F210" s="76"/>
      <c r="G210" s="382"/>
    </row>
    <row r="211" spans="1:7">
      <c r="A211" s="381"/>
      <c r="B211" s="635" t="s">
        <v>183</v>
      </c>
      <c r="C211" s="331">
        <f>VLOOKUP(G209,'11_1'!$A$12:$B$43,2,0)</f>
        <v>1247</v>
      </c>
      <c r="D211" s="76"/>
      <c r="E211" s="635" t="s">
        <v>184</v>
      </c>
      <c r="F211" s="347">
        <f>DSUM('11_1'!A$12:J$43,'11_1'!$J$12,G208:G209)</f>
        <v>0.24404781947814705</v>
      </c>
      <c r="G211" s="382"/>
    </row>
    <row r="212" spans="1:7">
      <c r="A212" s="381"/>
      <c r="B212" s="635" t="s">
        <v>185</v>
      </c>
      <c r="C212" s="374" t="s">
        <v>438</v>
      </c>
      <c r="D212" s="76"/>
      <c r="E212" s="635" t="s">
        <v>186</v>
      </c>
      <c r="F212" s="368" t="str">
        <f>IF(VLOOKUP(G209,'11_1'!$A$12:$D$43,4,0)=2,"Eventual 80%","Definitivo 100%")</f>
        <v>Eventual 80%</v>
      </c>
      <c r="G212" s="382"/>
    </row>
    <row r="213" spans="1:7">
      <c r="A213" s="381"/>
      <c r="B213" s="635" t="s">
        <v>187</v>
      </c>
      <c r="C213" s="375">
        <f>DSUM('11_1'!$A$12:$H$43,'11_1'!$H$12,G208:G209)</f>
        <v>10.139120000000002</v>
      </c>
      <c r="D213" s="76"/>
      <c r="E213" s="635" t="s">
        <v>188</v>
      </c>
      <c r="F213" s="369" t="str">
        <f>+Hijuelas!$G$5</f>
        <v>fracción</v>
      </c>
      <c r="G213" s="384"/>
    </row>
    <row r="214" spans="1:7" ht="15.75">
      <c r="A214" s="381"/>
      <c r="B214" s="76"/>
      <c r="C214" s="635" t="s">
        <v>189</v>
      </c>
      <c r="D214" s="107">
        <f>DMIN('11_1'!A$12:K$43,'11_1'!$K$12,G208:G209)</f>
        <v>42975.609280856093</v>
      </c>
      <c r="E214" s="127" t="str">
        <f>IF(F214=1,"Domingo",IF(F214=2,"Lunes",IF(F214=3,"Martes",IF(F214=4,"Miercoles",IF(F214=5,"Jueves",IF(F214=6,"Viernes",IF(F214=7,"Sábado",0)))))))</f>
        <v>Lunes</v>
      </c>
      <c r="F214" s="128">
        <f>WEEKDAY(D214)</f>
        <v>2</v>
      </c>
      <c r="G214" s="385" t="s">
        <v>70</v>
      </c>
    </row>
    <row r="215" spans="1:7" ht="15.75">
      <c r="A215" s="381"/>
      <c r="B215" s="76"/>
      <c r="C215" s="635" t="s">
        <v>190</v>
      </c>
      <c r="D215" s="107">
        <f>DMAX('11_1'!A$12:L$43,'11_1'!$L$12,G208:G209)</f>
        <v>42975.853328675577</v>
      </c>
      <c r="E215" s="127" t="str">
        <f>IF(F215=1,"Domingo",IF(F215=2,"Lunes",IF(F215=3,"Martes",IF(F215=4,"Miercoles",IF(F215=5,"Jueves",IF(F215=6,"Viernes",IF(F215=7,"Sábado",0)))))))</f>
        <v>Lunes</v>
      </c>
      <c r="F215" s="128">
        <f>WEEKDAY(D215)</f>
        <v>2</v>
      </c>
      <c r="G215" s="385">
        <f>WEEKDAY(D215)</f>
        <v>2</v>
      </c>
    </row>
    <row r="216" spans="1:7">
      <c r="A216" s="381"/>
      <c r="B216" s="76"/>
      <c r="C216" s="76"/>
      <c r="D216" s="76"/>
      <c r="E216" s="76"/>
      <c r="F216" s="106"/>
      <c r="G216" s="384"/>
    </row>
    <row r="217" spans="1:7">
      <c r="A217" s="381"/>
      <c r="B217" s="108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</row>
    <row r="218" spans="1:7">
      <c r="A218" s="381"/>
      <c r="B218" s="108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</row>
    <row r="219" spans="1:7">
      <c r="A219" s="381"/>
      <c r="B219" s="108"/>
      <c r="C219" s="76"/>
      <c r="D219" s="76"/>
      <c r="E219" s="76"/>
      <c r="F219" s="76"/>
      <c r="G219" s="382"/>
    </row>
    <row r="220" spans="1:7" ht="13.5" thickBot="1">
      <c r="A220" s="386"/>
      <c r="B220" s="387" t="str">
        <f>IF(DSUM('11_1'!$A$12:$P$83,16,G208:G209)=COUNTIF('11_1'!$A$13:$A$83,G209),"","Regularice su Deuda")</f>
        <v>Regularice su Deuda</v>
      </c>
      <c r="C220" s="326"/>
      <c r="D220" s="326"/>
      <c r="E220" s="326"/>
      <c r="F220" s="326"/>
      <c r="G220" s="388"/>
    </row>
    <row r="221" spans="1:7" ht="13.5" thickBot="1"/>
    <row r="222" spans="1:7">
      <c r="A222" s="378"/>
      <c r="B222" s="379"/>
      <c r="C222" s="379"/>
      <c r="D222" s="379"/>
      <c r="E222" s="379"/>
      <c r="F222" s="379"/>
      <c r="G222" s="380"/>
    </row>
    <row r="223" spans="1:7">
      <c r="A223" s="381"/>
      <c r="B223" s="109" t="s">
        <v>82</v>
      </c>
      <c r="C223" s="76"/>
      <c r="D223" s="76"/>
      <c r="E223" s="76"/>
      <c r="F223" s="76"/>
      <c r="G223" s="382"/>
    </row>
    <row r="224" spans="1:7">
      <c r="A224" s="381"/>
      <c r="B224" s="76"/>
      <c r="C224" s="76"/>
      <c r="D224" s="76"/>
      <c r="E224" s="76"/>
      <c r="F224" s="76"/>
      <c r="G224" s="382"/>
    </row>
    <row r="225" spans="1:7">
      <c r="A225" s="381"/>
      <c r="B225" s="76" t="s">
        <v>182</v>
      </c>
      <c r="C225" s="76" t="str">
        <f>VLOOKUP(G226,'11_1'!$A$12:$G$43,7,0)</f>
        <v>SEGOVIA DE CACERES, ANA GRACIELA</v>
      </c>
      <c r="D225" s="76"/>
      <c r="E225" s="76"/>
      <c r="F225" s="76"/>
      <c r="G225" s="383" t="s">
        <v>134</v>
      </c>
    </row>
    <row r="226" spans="1:7">
      <c r="A226" s="381"/>
      <c r="B226" s="76" t="s">
        <v>91</v>
      </c>
      <c r="C226" s="76" t="str">
        <f>+'11_1'!$H$2</f>
        <v>Hijuela El Guindo</v>
      </c>
      <c r="D226" s="76"/>
      <c r="E226" s="76"/>
      <c r="F226" s="76"/>
      <c r="G226" s="383">
        <v>14</v>
      </c>
    </row>
    <row r="227" spans="1:7">
      <c r="A227" s="381"/>
      <c r="B227" s="76"/>
      <c r="C227" s="76"/>
      <c r="D227" s="76"/>
      <c r="E227" s="76"/>
      <c r="F227" s="76"/>
      <c r="G227" s="382"/>
    </row>
    <row r="228" spans="1:7">
      <c r="A228" s="381"/>
      <c r="B228" s="635" t="s">
        <v>183</v>
      </c>
      <c r="C228" s="331">
        <f>VLOOKUP(G226,'11_1'!$A$12:$B$43,2,0)</f>
        <v>1247</v>
      </c>
      <c r="D228" s="76"/>
      <c r="E228" s="635" t="s">
        <v>184</v>
      </c>
      <c r="F228" s="347">
        <f>DSUM('11_1'!A$12:J$43,'11_1'!$J$12,G225:G226)</f>
        <v>3.888158791613272E-2</v>
      </c>
      <c r="G228" s="382"/>
    </row>
    <row r="229" spans="1:7">
      <c r="A229" s="381"/>
      <c r="B229" s="635" t="s">
        <v>185</v>
      </c>
      <c r="C229" s="374">
        <v>31</v>
      </c>
      <c r="D229" s="76"/>
      <c r="E229" s="635" t="s">
        <v>186</v>
      </c>
      <c r="F229" s="368" t="str">
        <f>IF(VLOOKUP(G226,'11_1'!$A$12:$D$43,4,0)=2,"Eventual 80%","Definitivo 100%")</f>
        <v>Eventual 80%</v>
      </c>
      <c r="G229" s="382"/>
    </row>
    <row r="230" spans="1:7">
      <c r="A230" s="381"/>
      <c r="B230" s="635" t="s">
        <v>187</v>
      </c>
      <c r="C230" s="375">
        <f>DSUM('11_1'!$A$12:$H$43,'11_1'!$H$12,G225:G226)</f>
        <v>1.6153600000000001</v>
      </c>
      <c r="D230" s="76"/>
      <c r="E230" s="635" t="s">
        <v>188</v>
      </c>
      <c r="F230" s="369" t="str">
        <f>+Hijuelas!$G$5</f>
        <v>fracción</v>
      </c>
      <c r="G230" s="384"/>
    </row>
    <row r="231" spans="1:7" ht="15.75">
      <c r="A231" s="381"/>
      <c r="B231" s="76"/>
      <c r="C231" s="635" t="s">
        <v>189</v>
      </c>
      <c r="D231" s="107">
        <f>DMIN('11_1'!A$12:K$43,'11_1'!$K$12,G225:G226)</f>
        <v>42975.853328675577</v>
      </c>
      <c r="E231" s="127" t="str">
        <f>IF(F231=1,"Domingo",IF(F231=2,"Lunes",IF(F231=3,"Martes",IF(F231=4,"Miercoles",IF(F231=5,"Jueves",IF(F231=6,"Viernes",IF(F231=7,"Sábado",0)))))))</f>
        <v>Lunes</v>
      </c>
      <c r="F231" s="128">
        <f>WEEKDAY(D231)</f>
        <v>2</v>
      </c>
      <c r="G231" s="385" t="s">
        <v>70</v>
      </c>
    </row>
    <row r="232" spans="1:7" ht="15.75">
      <c r="A232" s="381"/>
      <c r="B232" s="76"/>
      <c r="C232" s="635" t="s">
        <v>190</v>
      </c>
      <c r="D232" s="107">
        <f>DMAX('11_1'!A$12:L$43,'11_1'!$L$12,G225:G226)</f>
        <v>42975.913043596833</v>
      </c>
      <c r="E232" s="127" t="str">
        <f>IF(F232=1,"Domingo",IF(F232=2,"Lunes",IF(F232=3,"Martes",IF(F232=4,"Miercoles",IF(F232=5,"Jueves",IF(F232=6,"Viernes",IF(F232=7,"Sábado",0)))))))</f>
        <v>Lunes</v>
      </c>
      <c r="F232" s="128">
        <f>WEEKDAY(D232)</f>
        <v>2</v>
      </c>
      <c r="G232" s="385">
        <f>WEEKDAY(D232)</f>
        <v>2</v>
      </c>
    </row>
    <row r="233" spans="1:7">
      <c r="A233" s="381"/>
      <c r="B233" s="76"/>
      <c r="C233" s="76"/>
      <c r="D233" s="76"/>
      <c r="E233" s="76"/>
      <c r="F233" s="106"/>
      <c r="G233" s="384"/>
    </row>
    <row r="234" spans="1:7">
      <c r="A234" s="381"/>
      <c r="B234" s="108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</row>
    <row r="235" spans="1:7">
      <c r="A235" s="381"/>
      <c r="B235" s="108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</row>
    <row r="236" spans="1:7">
      <c r="A236" s="381"/>
      <c r="B236" s="108"/>
      <c r="C236" s="76"/>
      <c r="D236" s="76"/>
      <c r="E236" s="76"/>
      <c r="F236" s="76"/>
      <c r="G236" s="382"/>
    </row>
    <row r="237" spans="1:7" ht="13.5" thickBot="1">
      <c r="A237" s="386"/>
      <c r="B237" s="387" t="str">
        <f>IF(DSUM('11_1'!$A$12:$P$83,16,G225:G226)=COUNTIF('11_1'!$A$13:$A$83,G226),"","Regularice su Deuda")</f>
        <v/>
      </c>
      <c r="C237" s="326"/>
      <c r="D237" s="326"/>
      <c r="E237" s="326"/>
      <c r="F237" s="326"/>
      <c r="G237" s="388"/>
    </row>
    <row r="238" spans="1:7" ht="13.5" thickBot="1"/>
    <row r="239" spans="1:7">
      <c r="A239" s="378"/>
      <c r="B239" s="379"/>
      <c r="C239" s="379"/>
      <c r="D239" s="379"/>
      <c r="E239" s="379"/>
      <c r="F239" s="379"/>
      <c r="G239" s="380"/>
    </row>
    <row r="240" spans="1:7">
      <c r="A240" s="381"/>
      <c r="B240" s="109" t="s">
        <v>82</v>
      </c>
      <c r="C240" s="76"/>
      <c r="D240" s="76"/>
      <c r="E240" s="76"/>
      <c r="F240" s="76"/>
      <c r="G240" s="382"/>
    </row>
    <row r="241" spans="1:7">
      <c r="A241" s="381"/>
      <c r="B241" s="76"/>
      <c r="C241" s="76"/>
      <c r="D241" s="76"/>
      <c r="E241" s="76"/>
      <c r="F241" s="76"/>
      <c r="G241" s="382"/>
    </row>
    <row r="242" spans="1:7">
      <c r="A242" s="381"/>
      <c r="B242" s="76" t="s">
        <v>182</v>
      </c>
      <c r="C242" s="76" t="str">
        <f>VLOOKUP(G243,'11_1'!$A$12:$G$43,7,0)</f>
        <v>TRASLAVI#A, RAMON JUSTINIANO</v>
      </c>
      <c r="D242" s="76"/>
      <c r="E242" s="76"/>
      <c r="F242" s="76"/>
      <c r="G242" s="383" t="s">
        <v>134</v>
      </c>
    </row>
    <row r="243" spans="1:7">
      <c r="A243" s="381"/>
      <c r="B243" s="76" t="s">
        <v>91</v>
      </c>
      <c r="C243" s="76" t="str">
        <f>+'11_1'!$H$2</f>
        <v>Hijuela El Guindo</v>
      </c>
      <c r="D243" s="76"/>
      <c r="E243" s="76"/>
      <c r="F243" s="76"/>
      <c r="G243" s="383">
        <v>15</v>
      </c>
    </row>
    <row r="244" spans="1:7">
      <c r="A244" s="381"/>
      <c r="B244" s="76"/>
      <c r="C244" s="76"/>
      <c r="D244" s="76"/>
      <c r="E244" s="76"/>
      <c r="F244" s="76"/>
      <c r="G244" s="382"/>
    </row>
    <row r="245" spans="1:7">
      <c r="A245" s="381"/>
      <c r="B245" s="635" t="s">
        <v>183</v>
      </c>
      <c r="C245" s="331">
        <f>VLOOKUP(G243,'11_1'!$A$12:$B$43,2,0)</f>
        <v>1247</v>
      </c>
      <c r="D245" s="76"/>
      <c r="E245" s="635" t="s">
        <v>184</v>
      </c>
      <c r="F245" s="347">
        <f>DSUM('11_1'!A$12:J$43,'11_1'!$J$12,G242:G243)</f>
        <v>0.1440324828911852</v>
      </c>
      <c r="G245" s="382"/>
    </row>
    <row r="246" spans="1:7">
      <c r="A246" s="381"/>
      <c r="B246" s="635" t="s">
        <v>185</v>
      </c>
      <c r="C246" s="374">
        <v>27</v>
      </c>
      <c r="D246" s="76"/>
      <c r="E246" s="635" t="s">
        <v>186</v>
      </c>
      <c r="F246" s="368" t="str">
        <f>IF(VLOOKUP(G243,'11_1'!$A$12:$D$43,4,0)=2,"Eventual 80%","Definitivo 100%")</f>
        <v>Eventual 80%</v>
      </c>
      <c r="G246" s="382"/>
    </row>
    <row r="247" spans="1:7">
      <c r="A247" s="381"/>
      <c r="B247" s="635" t="s">
        <v>187</v>
      </c>
      <c r="C247" s="375">
        <f>DSUM('11_1'!$A$12:$H$43,'11_1'!$H$12,G242:G243)</f>
        <v>5.9839200000000003</v>
      </c>
      <c r="D247" s="76"/>
      <c r="E247" s="635" t="s">
        <v>188</v>
      </c>
      <c r="F247" s="369" t="str">
        <f>+Hijuelas!$G$5</f>
        <v>fracción</v>
      </c>
      <c r="G247" s="384"/>
    </row>
    <row r="248" spans="1:7" ht="15.75">
      <c r="A248" s="381"/>
      <c r="B248" s="76"/>
      <c r="C248" s="635" t="s">
        <v>189</v>
      </c>
      <c r="D248" s="107">
        <f>DMIN('11_1'!A$12:K$43,'11_1'!$K$12,G242:G243)</f>
        <v>42975.913043596833</v>
      </c>
      <c r="E248" s="127" t="str">
        <f>IF(F248=1,"Domingo",IF(F248=2,"Lunes",IF(F248=3,"Martes",IF(F248=4,"Miercoles",IF(F248=5,"Jueves",IF(F248=6,"Viernes",IF(F248=7,"Sábado",0)))))))</f>
        <v>Lunes</v>
      </c>
      <c r="F248" s="128">
        <f>WEEKDAY(D248)</f>
        <v>2</v>
      </c>
      <c r="G248" s="385" t="s">
        <v>70</v>
      </c>
    </row>
    <row r="249" spans="1:7" ht="15.75">
      <c r="A249" s="381"/>
      <c r="B249" s="76"/>
      <c r="C249" s="635" t="s">
        <v>190</v>
      </c>
      <c r="D249" s="107">
        <f>DMAX('11_1'!A$12:L$43,'11_1'!$L$12,G242:G243)</f>
        <v>42976.057076079727</v>
      </c>
      <c r="E249" s="127" t="str">
        <f>IF(F249=1,"Domingo",IF(F249=2,"Lunes",IF(F249=3,"Martes",IF(F249=4,"Miercoles",IF(F249=5,"Jueves",IF(F249=6,"Viernes",IF(F249=7,"Sábado",0)))))))</f>
        <v>Martes</v>
      </c>
      <c r="F249" s="128">
        <f>WEEKDAY(D249)</f>
        <v>3</v>
      </c>
      <c r="G249" s="385">
        <f>WEEKDAY(D249)</f>
        <v>3</v>
      </c>
    </row>
    <row r="250" spans="1:7">
      <c r="A250" s="381"/>
      <c r="B250" s="76"/>
      <c r="C250" s="76"/>
      <c r="D250" s="76"/>
      <c r="E250" s="76"/>
      <c r="F250" s="106"/>
      <c r="G250" s="384"/>
    </row>
    <row r="251" spans="1:7">
      <c r="A251" s="381"/>
      <c r="B251" s="108" t="str">
        <f>+Mensajes!$B$7</f>
        <v>PARA CUALQUIER MODIFICACION EN EL CUADRO DE TURNO COMUNIQUESE CON SU TOMERO</v>
      </c>
      <c r="C251" s="76"/>
      <c r="D251" s="76"/>
      <c r="E251" s="76"/>
      <c r="F251" s="76"/>
      <c r="G251" s="382"/>
    </row>
    <row r="252" spans="1:7">
      <c r="A252" s="381"/>
      <c r="B252" s="108" t="str">
        <f>+Mensajes!$B$12</f>
        <v>Recuerde que con 1 (una) cuotas vigentes impagas se restringirá el servicio.</v>
      </c>
      <c r="C252" s="76"/>
      <c r="D252" s="76"/>
      <c r="E252" s="76"/>
      <c r="F252" s="76"/>
      <c r="G252" s="382"/>
    </row>
    <row r="253" spans="1:7">
      <c r="A253" s="381"/>
      <c r="B253" s="108"/>
      <c r="C253" s="76"/>
      <c r="D253" s="76"/>
      <c r="E253" s="76"/>
      <c r="F253" s="76"/>
      <c r="G253" s="382"/>
    </row>
    <row r="254" spans="1:7" ht="13.5" thickBot="1">
      <c r="A254" s="386"/>
      <c r="B254" s="387" t="str">
        <f>IF(DSUM('11_1'!$A$12:$P$83,16,G242:G243)=COUNTIF('11_1'!$A$13:$A$83,G243),"","Regularice su Deuda")</f>
        <v/>
      </c>
      <c r="C254" s="326"/>
      <c r="D254" s="326"/>
      <c r="E254" s="326"/>
      <c r="F254" s="326"/>
      <c r="G254" s="388"/>
    </row>
    <row r="255" spans="1:7" ht="13.5" thickBot="1"/>
    <row r="256" spans="1:7">
      <c r="A256" s="378"/>
      <c r="B256" s="379"/>
      <c r="C256" s="379"/>
      <c r="D256" s="379"/>
      <c r="E256" s="379"/>
      <c r="F256" s="379"/>
      <c r="G256" s="380"/>
    </row>
    <row r="257" spans="1:7">
      <c r="A257" s="381"/>
      <c r="B257" s="109" t="s">
        <v>82</v>
      </c>
      <c r="C257" s="76"/>
      <c r="D257" s="76"/>
      <c r="E257" s="76"/>
      <c r="F257" s="76"/>
      <c r="G257" s="382"/>
    </row>
    <row r="258" spans="1:7">
      <c r="A258" s="381"/>
      <c r="B258" s="76"/>
      <c r="C258" s="76"/>
      <c r="D258" s="76"/>
      <c r="E258" s="76"/>
      <c r="F258" s="76"/>
      <c r="G258" s="382"/>
    </row>
    <row r="259" spans="1:7">
      <c r="A259" s="381"/>
      <c r="B259" s="76" t="s">
        <v>182</v>
      </c>
      <c r="C259" s="76" t="str">
        <f>VLOOKUP(G260,'11_1'!$A$12:$G$43,7,0)</f>
        <v>PELEGRINA, JUAN Y ROIG DE PELEGRINA, JUANA LEONOR</v>
      </c>
      <c r="D259" s="76"/>
      <c r="E259" s="76"/>
      <c r="F259" s="76"/>
      <c r="G259" s="383" t="s">
        <v>134</v>
      </c>
    </row>
    <row r="260" spans="1:7">
      <c r="A260" s="381"/>
      <c r="B260" s="76" t="s">
        <v>91</v>
      </c>
      <c r="C260" s="76" t="str">
        <f>+'11_1'!$H$2</f>
        <v>Hijuela El Guindo</v>
      </c>
      <c r="D260" s="76"/>
      <c r="E260" s="76"/>
      <c r="F260" s="76"/>
      <c r="G260" s="383">
        <v>16</v>
      </c>
    </row>
    <row r="261" spans="1:7">
      <c r="A261" s="381"/>
      <c r="B261" s="76"/>
      <c r="C261" s="76"/>
      <c r="D261" s="76"/>
      <c r="E261" s="76"/>
      <c r="F261" s="76"/>
      <c r="G261" s="382"/>
    </row>
    <row r="262" spans="1:7">
      <c r="A262" s="381"/>
      <c r="B262" s="635" t="s">
        <v>183</v>
      </c>
      <c r="C262" s="331">
        <f>VLOOKUP(G260,'11_1'!$A$12:$B$43,2,0)</f>
        <v>1247</v>
      </c>
      <c r="D262" s="76"/>
      <c r="E262" s="635" t="s">
        <v>184</v>
      </c>
      <c r="F262" s="347">
        <f>DSUM('11_1'!A$12:J$43,'11_1'!$J$12,G259:G260)</f>
        <v>9.6281610409793578E-2</v>
      </c>
      <c r="G262" s="382"/>
    </row>
    <row r="263" spans="1:7">
      <c r="A263" s="381"/>
      <c r="B263" s="635" t="s">
        <v>185</v>
      </c>
      <c r="C263" s="374">
        <v>30</v>
      </c>
      <c r="D263" s="76"/>
      <c r="E263" s="635" t="s">
        <v>186</v>
      </c>
      <c r="F263" s="368" t="str">
        <f>IF(VLOOKUP(G260,'11_1'!$A$12:$D$43,4,0)=2,"Eventual 80%","Definitivo 100%")</f>
        <v>Eventual 80%</v>
      </c>
      <c r="G263" s="382"/>
    </row>
    <row r="264" spans="1:7">
      <c r="A264" s="381"/>
      <c r="B264" s="635" t="s">
        <v>187</v>
      </c>
      <c r="C264" s="375">
        <f>DSUM('11_1'!$A$12:$H$43,'11_1'!$H$12,G259:G260)</f>
        <v>4.0000799999999996</v>
      </c>
      <c r="D264" s="76"/>
      <c r="E264" s="635" t="s">
        <v>188</v>
      </c>
      <c r="F264" s="369" t="str">
        <f>+Hijuelas!$G$5</f>
        <v>fracción</v>
      </c>
      <c r="G264" s="384"/>
    </row>
    <row r="265" spans="1:7" ht="15.75">
      <c r="A265" s="381"/>
      <c r="B265" s="76"/>
      <c r="C265" s="635" t="s">
        <v>189</v>
      </c>
      <c r="D265" s="107">
        <f>DMIN('11_1'!A$12:K$43,'11_1'!$K$12,G259:G260)</f>
        <v>42976.057076079727</v>
      </c>
      <c r="E265" s="127" t="str">
        <f>IF(F265=1,"Domingo",IF(F265=2,"Lunes",IF(F265=3,"Martes",IF(F265=4,"Miercoles",IF(F265=5,"Jueves",IF(F265=6,"Viernes",IF(F265=7,"Sábado",0)))))))</f>
        <v>Martes</v>
      </c>
      <c r="F265" s="128">
        <f>WEEKDAY(D265)</f>
        <v>3</v>
      </c>
      <c r="G265" s="385" t="s">
        <v>70</v>
      </c>
    </row>
    <row r="266" spans="1:7" ht="15.75">
      <c r="A266" s="381"/>
      <c r="B266" s="76"/>
      <c r="C266" s="635" t="s">
        <v>190</v>
      </c>
      <c r="D266" s="107">
        <f>DMAX('11_1'!A$12:L$43,'11_1'!$L$12,G259:G260)</f>
        <v>42976.195024356799</v>
      </c>
      <c r="E266" s="127" t="str">
        <f>IF(F266=1,"Domingo",IF(F266=2,"Lunes",IF(F266=3,"Martes",IF(F266=4,"Miercoles",IF(F266=5,"Jueves",IF(F266=6,"Viernes",IF(F266=7,"Sábado",0)))))))</f>
        <v>Martes</v>
      </c>
      <c r="F266" s="128">
        <f>WEEKDAY(D266)</f>
        <v>3</v>
      </c>
      <c r="G266" s="385">
        <f>WEEKDAY(D266)</f>
        <v>3</v>
      </c>
    </row>
    <row r="267" spans="1:7">
      <c r="A267" s="381"/>
      <c r="B267" s="76"/>
      <c r="C267" s="76"/>
      <c r="D267" s="76"/>
      <c r="E267" s="76"/>
      <c r="F267" s="106"/>
      <c r="G267" s="384"/>
    </row>
    <row r="268" spans="1:7">
      <c r="A268" s="381"/>
      <c r="B268" s="108" t="str">
        <f>+Mensajes!$B$7</f>
        <v>PARA CUALQUIER MODIFICACION EN EL CUADRO DE TURNO COMUNIQUESE CON SU TOMERO</v>
      </c>
      <c r="C268" s="76"/>
      <c r="D268" s="76"/>
      <c r="E268" s="76"/>
      <c r="F268" s="76"/>
      <c r="G268" s="382"/>
    </row>
    <row r="269" spans="1:7">
      <c r="A269" s="381"/>
      <c r="B269" s="108" t="str">
        <f>+Mensajes!$B$12</f>
        <v>Recuerde que con 1 (una) cuotas vigentes impagas se restringirá el servicio.</v>
      </c>
      <c r="C269" s="76"/>
      <c r="D269" s="76"/>
      <c r="E269" s="76"/>
      <c r="F269" s="76"/>
      <c r="G269" s="382"/>
    </row>
    <row r="270" spans="1:7">
      <c r="A270" s="381"/>
      <c r="B270" s="108"/>
      <c r="C270" s="76"/>
      <c r="D270" s="76"/>
      <c r="E270" s="76"/>
      <c r="F270" s="76"/>
      <c r="G270" s="382"/>
    </row>
    <row r="271" spans="1:7" ht="13.5" thickBot="1">
      <c r="A271" s="386"/>
      <c r="B271" s="387" t="str">
        <f>IF(DSUM('11_1'!$A$12:$P$83,16,G259:G260)=COUNTIF('11_1'!$A$13:$A$83,G260),"","Regularice su Deuda")</f>
        <v/>
      </c>
      <c r="C271" s="326"/>
      <c r="D271" s="326"/>
      <c r="E271" s="326"/>
      <c r="F271" s="326"/>
      <c r="G271" s="388"/>
    </row>
    <row r="272" spans="1:7" ht="13.5" thickBot="1"/>
    <row r="273" spans="1:7">
      <c r="A273" s="378"/>
      <c r="B273" s="379"/>
      <c r="C273" s="379"/>
      <c r="D273" s="379"/>
      <c r="E273" s="379"/>
      <c r="F273" s="379"/>
      <c r="G273" s="380"/>
    </row>
    <row r="274" spans="1:7">
      <c r="A274" s="381"/>
      <c r="B274" s="109" t="s">
        <v>82</v>
      </c>
      <c r="C274" s="76"/>
      <c r="D274" s="76"/>
      <c r="E274" s="76"/>
      <c r="F274" s="76"/>
      <c r="G274" s="382"/>
    </row>
    <row r="275" spans="1:7">
      <c r="A275" s="381"/>
      <c r="B275" s="76"/>
      <c r="C275" s="76"/>
      <c r="D275" s="76"/>
      <c r="E275" s="76"/>
      <c r="F275" s="76"/>
      <c r="G275" s="382"/>
    </row>
    <row r="276" spans="1:7">
      <c r="A276" s="381"/>
      <c r="B276" s="76" t="s">
        <v>182</v>
      </c>
      <c r="C276" s="76" t="str">
        <f>VLOOKUP(G277,'11_1'!$A$12:$G$43,7,0)</f>
        <v>FERREIRO DE PINTO, SILVIA MONICA</v>
      </c>
      <c r="D276" s="76"/>
      <c r="E276" s="76"/>
      <c r="F276" s="76"/>
      <c r="G276" s="383" t="s">
        <v>134</v>
      </c>
    </row>
    <row r="277" spans="1:7">
      <c r="A277" s="381"/>
      <c r="B277" s="76" t="s">
        <v>91</v>
      </c>
      <c r="C277" s="76" t="str">
        <f>+'11_1'!$H$2</f>
        <v>Hijuela El Guindo</v>
      </c>
      <c r="D277" s="76"/>
      <c r="E277" s="76"/>
      <c r="F277" s="76"/>
      <c r="G277" s="383">
        <v>17</v>
      </c>
    </row>
    <row r="278" spans="1:7">
      <c r="A278" s="381"/>
      <c r="B278" s="76"/>
      <c r="C278" s="76"/>
      <c r="D278" s="76"/>
      <c r="E278" s="76"/>
      <c r="F278" s="76"/>
      <c r="G278" s="382"/>
    </row>
    <row r="279" spans="1:7">
      <c r="A279" s="381"/>
      <c r="B279" s="635" t="s">
        <v>183</v>
      </c>
      <c r="C279" s="331">
        <f>VLOOKUP(G277,'11_1'!$A$12:$B$43,2,0)</f>
        <v>1247</v>
      </c>
      <c r="D279" s="76"/>
      <c r="E279" s="635" t="s">
        <v>184</v>
      </c>
      <c r="F279" s="347">
        <f>DSUM('11_1'!A$12:J$43,'11_1'!$J$12,G276:G277)</f>
        <v>0.24900044646508709</v>
      </c>
      <c r="G279" s="382"/>
    </row>
    <row r="280" spans="1:7">
      <c r="A280" s="381"/>
      <c r="B280" s="635" t="s">
        <v>185</v>
      </c>
      <c r="C280" s="374">
        <v>24</v>
      </c>
      <c r="D280" s="76"/>
      <c r="E280" s="635" t="s">
        <v>186</v>
      </c>
      <c r="F280" s="368" t="str">
        <f>IF(VLOOKUP(G277,'11_1'!$A$12:$D$43,4,0)=2,"Eventual 80%","Definitivo 100%")</f>
        <v>Eventual 80%</v>
      </c>
      <c r="G280" s="382"/>
    </row>
    <row r="281" spans="1:7">
      <c r="A281" s="381"/>
      <c r="B281" s="635" t="s">
        <v>187</v>
      </c>
      <c r="C281" s="375">
        <f>DSUM('11_1'!$A$12:$H$43,'11_1'!$H$12,G276:G277)</f>
        <v>10.344880000000002</v>
      </c>
      <c r="D281" s="76"/>
      <c r="E281" s="635" t="s">
        <v>188</v>
      </c>
      <c r="F281" s="369" t="str">
        <f>+Hijuelas!$G$5</f>
        <v>fracción</v>
      </c>
      <c r="G281" s="384"/>
    </row>
    <row r="282" spans="1:7" ht="15.75">
      <c r="A282" s="381"/>
      <c r="B282" s="76"/>
      <c r="C282" s="635" t="s">
        <v>189</v>
      </c>
      <c r="D282" s="107">
        <f>DMIN('11_1'!A$12:K$43,'11_1'!$K$12,G276:G277)</f>
        <v>42976.195024356799</v>
      </c>
      <c r="E282" s="127" t="str">
        <f>IF(F282=1,"Domingo",IF(F282=2,"Lunes",IF(F282=3,"Martes",IF(F282=4,"Miercoles",IF(F282=5,"Jueves",IF(F282=6,"Viernes",IF(F282=7,"Sábado",0)))))))</f>
        <v>Martes</v>
      </c>
      <c r="F282" s="128">
        <f>WEEKDAY(D282)</f>
        <v>3</v>
      </c>
      <c r="G282" s="385" t="s">
        <v>70</v>
      </c>
    </row>
    <row r="283" spans="1:7" ht="15.75">
      <c r="A283" s="381"/>
      <c r="B283" s="76"/>
      <c r="C283" s="635" t="s">
        <v>190</v>
      </c>
      <c r="D283" s="107">
        <f>DMAX('11_1'!A$12:L$43,'11_1'!$L$12,G276:G277)</f>
        <v>42976.444024803262</v>
      </c>
      <c r="E283" s="127" t="str">
        <f>IF(F283=1,"Domingo",IF(F283=2,"Lunes",IF(F283=3,"Martes",IF(F283=4,"Miercoles",IF(F283=5,"Jueves",IF(F283=6,"Viernes",IF(F283=7,"Sábado",0)))))))</f>
        <v>Martes</v>
      </c>
      <c r="F283" s="128">
        <f>WEEKDAY(D283)</f>
        <v>3</v>
      </c>
      <c r="G283" s="385">
        <f>WEEKDAY(D283)</f>
        <v>3</v>
      </c>
    </row>
    <row r="284" spans="1:7">
      <c r="A284" s="381"/>
      <c r="B284" s="76"/>
      <c r="C284" s="76"/>
      <c r="D284" s="76"/>
      <c r="E284" s="76"/>
      <c r="F284" s="106"/>
      <c r="G284" s="384"/>
    </row>
    <row r="285" spans="1:7">
      <c r="A285" s="381"/>
      <c r="B285" s="108" t="str">
        <f>+Mensajes!$B$7</f>
        <v>PARA CUALQUIER MODIFICACION EN EL CUADRO DE TURNO COMUNIQUESE CON SU TOMERO</v>
      </c>
      <c r="C285" s="76"/>
      <c r="D285" s="76"/>
      <c r="E285" s="76"/>
      <c r="F285" s="76"/>
      <c r="G285" s="382"/>
    </row>
    <row r="286" spans="1:7">
      <c r="A286" s="381"/>
      <c r="B286" s="108" t="str">
        <f>+Mensajes!$B$12</f>
        <v>Recuerde que con 1 (una) cuotas vigentes impagas se restringirá el servicio.</v>
      </c>
      <c r="C286" s="76"/>
      <c r="D286" s="76"/>
      <c r="E286" s="76"/>
      <c r="F286" s="76"/>
      <c r="G286" s="382"/>
    </row>
    <row r="287" spans="1:7">
      <c r="A287" s="381"/>
      <c r="B287" s="108"/>
      <c r="C287" s="76"/>
      <c r="D287" s="76"/>
      <c r="E287" s="76"/>
      <c r="F287" s="76"/>
      <c r="G287" s="382"/>
    </row>
    <row r="288" spans="1:7" ht="13.5" thickBot="1">
      <c r="A288" s="386"/>
      <c r="B288" s="387" t="str">
        <f>IF(DSUM('11_1'!$A$12:$P$83,16,G276:G277)=COUNTIF('11_1'!$A$13:$A$83,G277),"","Regularice su Deuda")</f>
        <v/>
      </c>
      <c r="C288" s="326"/>
      <c r="D288" s="326"/>
      <c r="E288" s="326"/>
      <c r="F288" s="326"/>
      <c r="G288" s="388"/>
    </row>
    <row r="289" spans="1:7" ht="13.5" thickBot="1"/>
    <row r="290" spans="1:7">
      <c r="A290" s="378"/>
      <c r="B290" s="379"/>
      <c r="C290" s="379"/>
      <c r="D290" s="379"/>
      <c r="E290" s="379"/>
      <c r="F290" s="379"/>
      <c r="G290" s="380"/>
    </row>
    <row r="291" spans="1:7">
      <c r="A291" s="381"/>
      <c r="B291" s="109" t="s">
        <v>82</v>
      </c>
      <c r="C291" s="76"/>
      <c r="D291" s="76"/>
      <c r="E291" s="76"/>
      <c r="F291" s="76"/>
      <c r="G291" s="382"/>
    </row>
    <row r="292" spans="1:7">
      <c r="A292" s="381"/>
      <c r="B292" s="76"/>
      <c r="C292" s="76"/>
      <c r="D292" s="76"/>
      <c r="E292" s="76"/>
      <c r="F292" s="76"/>
      <c r="G292" s="382"/>
    </row>
    <row r="293" spans="1:7">
      <c r="A293" s="381"/>
      <c r="B293" s="76" t="s">
        <v>182</v>
      </c>
      <c r="C293" s="76" t="str">
        <f>VLOOKUP(G294,'11_1'!$A$12:$G$43,7,0)</f>
        <v>HUARACHI ORIHUELA, SERGIO</v>
      </c>
      <c r="D293" s="76"/>
      <c r="E293" s="76"/>
      <c r="F293" s="76"/>
      <c r="G293" s="383" t="s">
        <v>134</v>
      </c>
    </row>
    <row r="294" spans="1:7">
      <c r="A294" s="381"/>
      <c r="B294" s="76" t="s">
        <v>91</v>
      </c>
      <c r="C294" s="76" t="str">
        <f>+'11_1'!$H$2</f>
        <v>Hijuela El Guindo</v>
      </c>
      <c r="D294" s="76"/>
      <c r="E294" s="76"/>
      <c r="F294" s="76"/>
      <c r="G294" s="383">
        <v>18</v>
      </c>
    </row>
    <row r="295" spans="1:7">
      <c r="A295" s="381"/>
      <c r="B295" s="76"/>
      <c r="C295" s="76"/>
      <c r="D295" s="76"/>
      <c r="E295" s="76"/>
      <c r="F295" s="76"/>
      <c r="G295" s="382"/>
    </row>
    <row r="296" spans="1:7">
      <c r="A296" s="381"/>
      <c r="B296" s="635" t="s">
        <v>183</v>
      </c>
      <c r="C296" s="331">
        <f>VLOOKUP(G294,'11_1'!$A$12:$B$43,2,0)</f>
        <v>1247</v>
      </c>
      <c r="D296" s="76"/>
      <c r="E296" s="635" t="s">
        <v>184</v>
      </c>
      <c r="F296" s="347">
        <f>DSUM('11_1'!A$12:J$43,'11_1'!$J$12,G293:G294)</f>
        <v>6.759989230307821E-2</v>
      </c>
      <c r="G296" s="382"/>
    </row>
    <row r="297" spans="1:7">
      <c r="A297" s="381"/>
      <c r="B297" s="635" t="s">
        <v>185</v>
      </c>
      <c r="C297" s="374" t="s">
        <v>439</v>
      </c>
      <c r="D297" s="76"/>
      <c r="E297" s="635" t="s">
        <v>186</v>
      </c>
      <c r="F297" s="368" t="str">
        <f>IF(VLOOKUP(G294,'11_1'!$A$12:$D$43,4,0)=2,"Eventual 80%","Definitivo 100%")</f>
        <v>Eventual 80%</v>
      </c>
      <c r="G297" s="382"/>
    </row>
    <row r="298" spans="1:7">
      <c r="A298" s="381"/>
      <c r="B298" s="635" t="s">
        <v>187</v>
      </c>
      <c r="C298" s="375">
        <f>DSUM('11_1'!$A$12:$H$43,'11_1'!$H$12,G293:G294)</f>
        <v>2.8084800000000003</v>
      </c>
      <c r="D298" s="76"/>
      <c r="E298" s="635" t="s">
        <v>188</v>
      </c>
      <c r="F298" s="369" t="str">
        <f>+Hijuelas!$G$5</f>
        <v>fracción</v>
      </c>
      <c r="G298" s="384"/>
    </row>
    <row r="299" spans="1:7" ht="15.75">
      <c r="A299" s="381"/>
      <c r="B299" s="76"/>
      <c r="C299" s="635" t="s">
        <v>189</v>
      </c>
      <c r="D299" s="107">
        <f>DMIN('11_1'!A$12:K$43,'11_1'!$K$12,G293:G294)</f>
        <v>42976.444024803262</v>
      </c>
      <c r="E299" s="127" t="str">
        <f>IF(F299=1,"Domingo",IF(F299=2,"Lunes",IF(F299=3,"Martes",IF(F299=4,"Miercoles",IF(F299=5,"Jueves",IF(F299=6,"Viernes",IF(F299=7,"Sábado",0)))))))</f>
        <v>Martes</v>
      </c>
      <c r="F299" s="128">
        <f>WEEKDAY(D299)</f>
        <v>3</v>
      </c>
      <c r="G299" s="385" t="s">
        <v>70</v>
      </c>
    </row>
    <row r="300" spans="1:7" ht="15.75">
      <c r="A300" s="381"/>
      <c r="B300" s="76"/>
      <c r="C300" s="635" t="s">
        <v>190</v>
      </c>
      <c r="D300" s="107">
        <f>DMAX('11_1'!A$12:L$43,'11_1'!$L$12,G293:G294)</f>
        <v>42976.511624695566</v>
      </c>
      <c r="E300" s="127" t="str">
        <f>IF(F300=1,"Domingo",IF(F300=2,"Lunes",IF(F300=3,"Martes",IF(F300=4,"Miercoles",IF(F300=5,"Jueves",IF(F300=6,"Viernes",IF(F300=7,"Sábado",0)))))))</f>
        <v>Martes</v>
      </c>
      <c r="F300" s="128">
        <f>WEEKDAY(D300)</f>
        <v>3</v>
      </c>
      <c r="G300" s="385">
        <f>WEEKDAY(D300)</f>
        <v>3</v>
      </c>
    </row>
    <row r="301" spans="1:7">
      <c r="A301" s="381"/>
      <c r="B301" s="76"/>
      <c r="C301" s="76"/>
      <c r="D301" s="76"/>
      <c r="E301" s="76"/>
      <c r="F301" s="106"/>
      <c r="G301" s="384"/>
    </row>
    <row r="302" spans="1:7">
      <c r="A302" s="381"/>
      <c r="B302" s="108" t="str">
        <f>+Mensajes!$B$7</f>
        <v>PARA CUALQUIER MODIFICACION EN EL CUADRO DE TURNO COMUNIQUESE CON SU TOMERO</v>
      </c>
      <c r="C302" s="76"/>
      <c r="D302" s="76"/>
      <c r="E302" s="76"/>
      <c r="F302" s="76"/>
      <c r="G302" s="382"/>
    </row>
    <row r="303" spans="1:7">
      <c r="A303" s="381"/>
      <c r="B303" s="108" t="str">
        <f>+Mensajes!$B$12</f>
        <v>Recuerde que con 1 (una) cuotas vigentes impagas se restringirá el servicio.</v>
      </c>
      <c r="C303" s="76"/>
      <c r="D303" s="76"/>
      <c r="E303" s="76"/>
      <c r="F303" s="76"/>
      <c r="G303" s="382"/>
    </row>
    <row r="304" spans="1:7">
      <c r="A304" s="381"/>
      <c r="B304" s="108"/>
      <c r="C304" s="76"/>
      <c r="D304" s="76"/>
      <c r="E304" s="76"/>
      <c r="F304" s="76"/>
      <c r="G304" s="382"/>
    </row>
    <row r="305" spans="1:7" ht="13.5" thickBot="1">
      <c r="A305" s="386"/>
      <c r="B305" s="387" t="str">
        <f>IF(DSUM('11_1'!$A$12:$P$83,16,G293:G294)=COUNTIF('11_1'!$A$13:$A$83,G294),"","Regularice su Deuda")</f>
        <v/>
      </c>
      <c r="C305" s="326"/>
      <c r="D305" s="326"/>
      <c r="E305" s="326"/>
      <c r="F305" s="326"/>
      <c r="G305" s="388"/>
    </row>
    <row r="306" spans="1:7" ht="13.5" thickBot="1"/>
    <row r="307" spans="1:7">
      <c r="A307" s="378"/>
      <c r="B307" s="379"/>
      <c r="C307" s="379"/>
      <c r="D307" s="379"/>
      <c r="E307" s="379"/>
      <c r="F307" s="379"/>
      <c r="G307" s="380"/>
    </row>
    <row r="308" spans="1:7">
      <c r="A308" s="381"/>
      <c r="B308" s="109" t="s">
        <v>82</v>
      </c>
      <c r="C308" s="76"/>
      <c r="D308" s="76"/>
      <c r="E308" s="76"/>
      <c r="F308" s="76"/>
      <c r="G308" s="382"/>
    </row>
    <row r="309" spans="1:7">
      <c r="A309" s="381"/>
      <c r="B309" s="76"/>
      <c r="C309" s="76"/>
      <c r="D309" s="76"/>
      <c r="E309" s="76"/>
      <c r="F309" s="76"/>
      <c r="G309" s="382"/>
    </row>
    <row r="310" spans="1:7">
      <c r="A310" s="381"/>
      <c r="B310" s="76" t="s">
        <v>182</v>
      </c>
      <c r="C310" s="76" t="str">
        <f>VLOOKUP(G311,'11_1'!$A$12:$G$43,7,0)</f>
        <v>MENGONI, FABIOLA JUDITH</v>
      </c>
      <c r="D310" s="76"/>
      <c r="E310" s="76"/>
      <c r="F310" s="76"/>
      <c r="G310" s="383" t="s">
        <v>134</v>
      </c>
    </row>
    <row r="311" spans="1:7">
      <c r="A311" s="381"/>
      <c r="B311" s="76" t="s">
        <v>91</v>
      </c>
      <c r="C311" s="76" t="str">
        <f>+'11_1'!$H$2</f>
        <v>Hijuela El Guindo</v>
      </c>
      <c r="D311" s="76"/>
      <c r="E311" s="76"/>
      <c r="F311" s="76"/>
      <c r="G311" s="383">
        <v>19</v>
      </c>
    </row>
    <row r="312" spans="1:7">
      <c r="A312" s="381"/>
      <c r="B312" s="76"/>
      <c r="C312" s="76"/>
      <c r="D312" s="76"/>
      <c r="E312" s="76"/>
      <c r="F312" s="76"/>
      <c r="G312" s="382"/>
    </row>
    <row r="313" spans="1:7">
      <c r="A313" s="381"/>
      <c r="B313" s="635" t="s">
        <v>183</v>
      </c>
      <c r="C313" s="331">
        <f>VLOOKUP(G311,'11_1'!$A$12:$B$43,2,0)</f>
        <v>1247</v>
      </c>
      <c r="D313" s="76"/>
      <c r="E313" s="635" t="s">
        <v>184</v>
      </c>
      <c r="F313" s="347">
        <f>DSUM('11_1'!A$12:J$43,'11_1'!$J$12,G310:G311)</f>
        <v>0.42111386222973513</v>
      </c>
      <c r="G313" s="382"/>
    </row>
    <row r="314" spans="1:7">
      <c r="A314" s="381"/>
      <c r="B314" s="635" t="s">
        <v>185</v>
      </c>
      <c r="C314" s="374">
        <v>1</v>
      </c>
      <c r="D314" s="76"/>
      <c r="E314" s="635" t="s">
        <v>186</v>
      </c>
      <c r="F314" s="368" t="str">
        <f>IF(VLOOKUP(G311,'11_1'!$A$12:$D$43,4,0)=2,"Eventual 80%","Definitivo 100%")</f>
        <v>Eventual 80%</v>
      </c>
      <c r="G314" s="382"/>
    </row>
    <row r="315" spans="1:7">
      <c r="A315" s="381"/>
      <c r="B315" s="635" t="s">
        <v>187</v>
      </c>
      <c r="C315" s="375">
        <f>DSUM('11_1'!$A$12:$H$43,'11_1'!$H$12,G310:G311)</f>
        <v>17.495439999999999</v>
      </c>
      <c r="D315" s="76"/>
      <c r="E315" s="635" t="s">
        <v>188</v>
      </c>
      <c r="F315" s="369" t="str">
        <f>+Hijuelas!$G$5</f>
        <v>fracción</v>
      </c>
      <c r="G315" s="384"/>
    </row>
    <row r="316" spans="1:7" ht="15.75">
      <c r="A316" s="381"/>
      <c r="B316" s="76"/>
      <c r="C316" s="635" t="s">
        <v>189</v>
      </c>
      <c r="D316" s="107">
        <f>DMIN('11_1'!A$12:K$43,'11_1'!$K$12,G310:G311)</f>
        <v>42976.511624695566</v>
      </c>
      <c r="E316" s="127" t="str">
        <f>IF(F316=1,"Domingo",IF(F316=2,"Lunes",IF(F316=3,"Martes",IF(F316=4,"Miercoles",IF(F316=5,"Jueves",IF(F316=6,"Viernes",IF(F316=7,"Sábado",0)))))))</f>
        <v>Martes</v>
      </c>
      <c r="F316" s="128">
        <f>WEEKDAY(D316)</f>
        <v>3</v>
      </c>
      <c r="G316" s="385" t="s">
        <v>70</v>
      </c>
    </row>
    <row r="317" spans="1:7" ht="15.75">
      <c r="A317" s="381"/>
      <c r="B317" s="76"/>
      <c r="C317" s="635" t="s">
        <v>190</v>
      </c>
      <c r="D317" s="107">
        <f>DMAX('11_1'!A$12:L$43,'11_1'!$L$12,G310:G311)</f>
        <v>42976.932738557793</v>
      </c>
      <c r="E317" s="127" t="str">
        <f>IF(F317=1,"Domingo",IF(F317=2,"Lunes",IF(F317=3,"Martes",IF(F317=4,"Miercoles",IF(F317=5,"Jueves",IF(F317=6,"Viernes",IF(F317=7,"Sábado",0)))))))</f>
        <v>Martes</v>
      </c>
      <c r="F317" s="128">
        <f>WEEKDAY(D317)</f>
        <v>3</v>
      </c>
      <c r="G317" s="385">
        <f>WEEKDAY(D317)</f>
        <v>3</v>
      </c>
    </row>
    <row r="318" spans="1:7">
      <c r="A318" s="381"/>
      <c r="B318" s="76"/>
      <c r="C318" s="76"/>
      <c r="D318" s="76"/>
      <c r="E318" s="76"/>
      <c r="F318" s="106"/>
      <c r="G318" s="384"/>
    </row>
    <row r="319" spans="1:7">
      <c r="A319" s="381"/>
      <c r="B319" s="108" t="str">
        <f>+Mensajes!$B$7</f>
        <v>PARA CUALQUIER MODIFICACION EN EL CUADRO DE TURNO COMUNIQUESE CON SU TOMERO</v>
      </c>
      <c r="C319" s="76"/>
      <c r="D319" s="76"/>
      <c r="E319" s="76"/>
      <c r="F319" s="76"/>
      <c r="G319" s="382"/>
    </row>
    <row r="320" spans="1:7">
      <c r="A320" s="381"/>
      <c r="B320" s="108" t="str">
        <f>+Mensajes!$B$12</f>
        <v>Recuerde que con 1 (una) cuotas vigentes impagas se restringirá el servicio.</v>
      </c>
      <c r="C320" s="76"/>
      <c r="D320" s="76"/>
      <c r="E320" s="76"/>
      <c r="F320" s="76"/>
      <c r="G320" s="382"/>
    </row>
    <row r="321" spans="1:7">
      <c r="A321" s="381"/>
      <c r="B321" s="108"/>
      <c r="C321" s="76"/>
      <c r="D321" s="76"/>
      <c r="E321" s="76"/>
      <c r="F321" s="76"/>
      <c r="G321" s="382"/>
    </row>
    <row r="322" spans="1:7" ht="13.5" thickBot="1">
      <c r="A322" s="386"/>
      <c r="B322" s="387" t="str">
        <f>IF(DSUM('11_1'!$A$12:$P$83,16,G310:G311)=COUNTIF('11_1'!$A$13:$A$83,G311),"","Regularice su Deuda")</f>
        <v/>
      </c>
      <c r="C322" s="326"/>
      <c r="D322" s="326"/>
      <c r="E322" s="326"/>
      <c r="F322" s="326"/>
      <c r="G322" s="388"/>
    </row>
    <row r="323" spans="1:7" ht="13.5" thickBot="1"/>
    <row r="324" spans="1:7">
      <c r="A324" s="378"/>
      <c r="B324" s="379"/>
      <c r="C324" s="379"/>
      <c r="D324" s="379"/>
      <c r="E324" s="379"/>
      <c r="F324" s="379"/>
      <c r="G324" s="380"/>
    </row>
    <row r="325" spans="1:7">
      <c r="A325" s="381"/>
      <c r="B325" s="109" t="s">
        <v>82</v>
      </c>
      <c r="C325" s="76"/>
      <c r="D325" s="76"/>
      <c r="E325" s="76"/>
      <c r="F325" s="76"/>
      <c r="G325" s="382"/>
    </row>
    <row r="326" spans="1:7">
      <c r="A326" s="381"/>
      <c r="B326" s="76"/>
      <c r="C326" s="76"/>
      <c r="D326" s="76"/>
      <c r="E326" s="76"/>
      <c r="F326" s="76"/>
      <c r="G326" s="382"/>
    </row>
    <row r="327" spans="1:7">
      <c r="A327" s="381"/>
      <c r="B327" s="76" t="s">
        <v>182</v>
      </c>
      <c r="C327" s="76" t="str">
        <f>VLOOKUP(G328,'11_1'!$A$12:$G$43,7,0)</f>
        <v>MIRABILE, LUIS ORLANDO</v>
      </c>
      <c r="D327" s="76"/>
      <c r="E327" s="76"/>
      <c r="F327" s="76"/>
      <c r="G327" s="383" t="s">
        <v>134</v>
      </c>
    </row>
    <row r="328" spans="1:7">
      <c r="A328" s="381"/>
      <c r="B328" s="76" t="s">
        <v>91</v>
      </c>
      <c r="C328" s="76" t="str">
        <f>+'11_1'!$H$2</f>
        <v>Hijuela El Guindo</v>
      </c>
      <c r="D328" s="76"/>
      <c r="E328" s="76"/>
      <c r="F328" s="76"/>
      <c r="G328" s="383">
        <v>20</v>
      </c>
    </row>
    <row r="329" spans="1:7">
      <c r="A329" s="381"/>
      <c r="B329" s="76"/>
      <c r="C329" s="76"/>
      <c r="D329" s="76"/>
      <c r="E329" s="76"/>
      <c r="F329" s="76"/>
      <c r="G329" s="382"/>
    </row>
    <row r="330" spans="1:7">
      <c r="A330" s="381"/>
      <c r="B330" s="635" t="s">
        <v>183</v>
      </c>
      <c r="C330" s="331">
        <f>VLOOKUP(G328,'11_1'!$A$12:$B$43,2,0)</f>
        <v>1247</v>
      </c>
      <c r="D330" s="76"/>
      <c r="E330" s="635" t="s">
        <v>184</v>
      </c>
      <c r="F330" s="347">
        <f>DSUM('11_1'!A$12:J$43,'11_1'!$J$12,G327:G328)</f>
        <v>5.7663828830056968E-2</v>
      </c>
      <c r="G330" s="382"/>
    </row>
    <row r="331" spans="1:7">
      <c r="A331" s="381"/>
      <c r="B331" s="635" t="s">
        <v>185</v>
      </c>
      <c r="C331" s="374" t="s">
        <v>440</v>
      </c>
      <c r="D331" s="76"/>
      <c r="E331" s="635" t="s">
        <v>186</v>
      </c>
      <c r="F331" s="368" t="str">
        <f>IF(VLOOKUP(G328,'11_1'!$A$12:$D$43,4,0)=2,"Eventual 80%","Definitivo 100%")</f>
        <v>Eventual 80%</v>
      </c>
      <c r="G331" s="382"/>
    </row>
    <row r="332" spans="1:7">
      <c r="A332" s="381"/>
      <c r="B332" s="635" t="s">
        <v>187</v>
      </c>
      <c r="C332" s="375">
        <f>DSUM('11_1'!$A$12:$H$43,'11_1'!$H$12,G327:G328)</f>
        <v>2.39568</v>
      </c>
      <c r="D332" s="76"/>
      <c r="E332" s="635" t="s">
        <v>188</v>
      </c>
      <c r="F332" s="369" t="str">
        <f>+Hijuelas!$G$5</f>
        <v>fracción</v>
      </c>
      <c r="G332" s="384"/>
    </row>
    <row r="333" spans="1:7" ht="15.75">
      <c r="A333" s="381"/>
      <c r="B333" s="76"/>
      <c r="C333" s="635" t="s">
        <v>189</v>
      </c>
      <c r="D333" s="107">
        <f>DMIN('11_1'!A$12:K$43,'11_1'!$K$12,G327:G328)</f>
        <v>42976.932738557793</v>
      </c>
      <c r="E333" s="127" t="str">
        <f>IF(F333=1,"Domingo",IF(F333=2,"Lunes",IF(F333=3,"Martes",IF(F333=4,"Miercoles",IF(F333=5,"Jueves",IF(F333=6,"Viernes",IF(F333=7,"Sábado",0)))))))</f>
        <v>Martes</v>
      </c>
      <c r="F333" s="128">
        <f>WEEKDAY(D333)</f>
        <v>3</v>
      </c>
      <c r="G333" s="385" t="s">
        <v>70</v>
      </c>
    </row>
    <row r="334" spans="1:7" ht="15.75">
      <c r="A334" s="381"/>
      <c r="B334" s="76"/>
      <c r="C334" s="635" t="s">
        <v>190</v>
      </c>
      <c r="D334" s="107">
        <f>DMAX('11_1'!A$12:L$43,'11_1'!$L$12,G327:G328)</f>
        <v>42977.011235719961</v>
      </c>
      <c r="E334" s="127" t="str">
        <f>IF(F334=1,"Domingo",IF(F334=2,"Lunes",IF(F334=3,"Martes",IF(F334=4,"Miercoles",IF(F334=5,"Jueves",IF(F334=6,"Viernes",IF(F334=7,"Sábado",0)))))))</f>
        <v>Miercoles</v>
      </c>
      <c r="F334" s="128">
        <f>WEEKDAY(D334)</f>
        <v>4</v>
      </c>
      <c r="G334" s="385">
        <f>WEEKDAY(D334)</f>
        <v>4</v>
      </c>
    </row>
    <row r="335" spans="1:7">
      <c r="A335" s="381"/>
      <c r="B335" s="76"/>
      <c r="C335" s="76"/>
      <c r="D335" s="76"/>
      <c r="E335" s="76"/>
      <c r="F335" s="106"/>
      <c r="G335" s="384"/>
    </row>
    <row r="336" spans="1:7">
      <c r="A336" s="381"/>
      <c r="B336" s="108" t="str">
        <f>+Mensajes!$B$7</f>
        <v>PARA CUALQUIER MODIFICACION EN EL CUADRO DE TURNO COMUNIQUESE CON SU TOMERO</v>
      </c>
      <c r="C336" s="76"/>
      <c r="D336" s="76"/>
      <c r="E336" s="76"/>
      <c r="F336" s="76"/>
      <c r="G336" s="382"/>
    </row>
    <row r="337" spans="1:7">
      <c r="A337" s="381"/>
      <c r="B337" s="108" t="str">
        <f>+Mensajes!$B$12</f>
        <v>Recuerde que con 1 (una) cuotas vigentes impagas se restringirá el servicio.</v>
      </c>
      <c r="C337" s="76"/>
      <c r="D337" s="76"/>
      <c r="E337" s="76"/>
      <c r="F337" s="76"/>
      <c r="G337" s="382"/>
    </row>
    <row r="338" spans="1:7">
      <c r="A338" s="381"/>
      <c r="B338" s="108"/>
      <c r="C338" s="76"/>
      <c r="D338" s="76"/>
      <c r="E338" s="76"/>
      <c r="F338" s="76"/>
      <c r="G338" s="382"/>
    </row>
    <row r="339" spans="1:7" ht="13.5" thickBot="1">
      <c r="A339" s="386"/>
      <c r="B339" s="387" t="str">
        <f>IF(DSUM('11_1'!$A$12:$P$83,16,G327:G328)=COUNTIF('11_1'!$A$13:$A$83,G328),"","Regularice su Deuda")</f>
        <v/>
      </c>
      <c r="C339" s="326"/>
      <c r="D339" s="326"/>
      <c r="E339" s="326"/>
      <c r="F339" s="326"/>
      <c r="G339" s="388"/>
    </row>
    <row r="340" spans="1:7" ht="13.5" thickBot="1"/>
    <row r="341" spans="1:7">
      <c r="A341" s="378"/>
      <c r="B341" s="379"/>
      <c r="C341" s="379"/>
      <c r="D341" s="379"/>
      <c r="E341" s="379"/>
      <c r="F341" s="379"/>
      <c r="G341" s="380"/>
    </row>
    <row r="342" spans="1:7">
      <c r="A342" s="381"/>
      <c r="B342" s="109" t="s">
        <v>82</v>
      </c>
      <c r="C342" s="76"/>
      <c r="D342" s="76"/>
      <c r="E342" s="76"/>
      <c r="F342" s="76"/>
      <c r="G342" s="382"/>
    </row>
    <row r="343" spans="1:7">
      <c r="A343" s="381"/>
      <c r="B343" s="76"/>
      <c r="C343" s="76"/>
      <c r="D343" s="76"/>
      <c r="E343" s="76"/>
      <c r="F343" s="76"/>
      <c r="G343" s="382"/>
    </row>
    <row r="344" spans="1:7">
      <c r="A344" s="381"/>
      <c r="B344" s="76" t="s">
        <v>182</v>
      </c>
      <c r="C344" s="76" t="str">
        <f>VLOOKUP(G345,'11_1'!$A$12:$G$43,7,0)</f>
        <v>MIRABILE, LUIS ORLANDO</v>
      </c>
      <c r="D344" s="76"/>
      <c r="E344" s="76"/>
      <c r="F344" s="76"/>
      <c r="G344" s="383" t="s">
        <v>134</v>
      </c>
    </row>
    <row r="345" spans="1:7">
      <c r="A345" s="381"/>
      <c r="B345" s="76" t="s">
        <v>91</v>
      </c>
      <c r="C345" s="76" t="str">
        <f>+'11_1'!$H$2</f>
        <v>Hijuela El Guindo</v>
      </c>
      <c r="D345" s="76"/>
      <c r="E345" s="76"/>
      <c r="F345" s="76"/>
      <c r="G345" s="383">
        <v>21</v>
      </c>
    </row>
    <row r="346" spans="1:7">
      <c r="A346" s="381"/>
      <c r="B346" s="76"/>
      <c r="C346" s="76"/>
      <c r="D346" s="76"/>
      <c r="E346" s="76"/>
      <c r="F346" s="76"/>
      <c r="G346" s="382"/>
    </row>
    <row r="347" spans="1:7">
      <c r="A347" s="381"/>
      <c r="B347" s="635" t="s">
        <v>183</v>
      </c>
      <c r="C347" s="331">
        <f>VLOOKUP(G345,'11_1'!$A$12:$B$43,2,0)</f>
        <v>1247</v>
      </c>
      <c r="D347" s="76"/>
      <c r="E347" s="635" t="s">
        <v>184</v>
      </c>
      <c r="F347" s="347">
        <f>DSUM('11_1'!A$12:J$43,'11_1'!$J$12,G344:G345)</f>
        <v>0.13489554080213756</v>
      </c>
      <c r="G347" s="382"/>
    </row>
    <row r="348" spans="1:7">
      <c r="A348" s="381"/>
      <c r="B348" s="635" t="s">
        <v>185</v>
      </c>
      <c r="C348" s="374">
        <v>50</v>
      </c>
      <c r="D348" s="76"/>
      <c r="E348" s="635" t="s">
        <v>186</v>
      </c>
      <c r="F348" s="368" t="str">
        <f>IF(VLOOKUP(G345,'11_1'!$A$12:$D$43,4,0)=2,"Eventual 80%","Definitivo 100%")</f>
        <v>Eventual 80%</v>
      </c>
      <c r="G348" s="382"/>
    </row>
    <row r="349" spans="1:7">
      <c r="A349" s="381"/>
      <c r="B349" s="635" t="s">
        <v>187</v>
      </c>
      <c r="C349" s="375">
        <f>DSUM('11_1'!$A$12:$H$43,'11_1'!$H$12,G344:G345)</f>
        <v>5.6043200000000004</v>
      </c>
      <c r="D349" s="76"/>
      <c r="E349" s="635" t="s">
        <v>188</v>
      </c>
      <c r="F349" s="369" t="str">
        <f>+Hijuelas!$G$5</f>
        <v>fracción</v>
      </c>
      <c r="G349" s="384"/>
    </row>
    <row r="350" spans="1:7" ht="15.75">
      <c r="A350" s="381"/>
      <c r="B350" s="76"/>
      <c r="C350" s="635" t="s">
        <v>189</v>
      </c>
      <c r="D350" s="107">
        <f>DMIN('11_1'!A$12:K$43,'11_1'!$K$12,G344:G345)</f>
        <v>42977.011235719961</v>
      </c>
      <c r="E350" s="127" t="str">
        <f>IF(F350=1,"Domingo",IF(F350=2,"Lunes",IF(F350=3,"Martes",IF(F350=4,"Miercoles",IF(F350=5,"Jueves",IF(F350=6,"Viernes",IF(F350=7,"Sábado",0)))))))</f>
        <v>Miercoles</v>
      </c>
      <c r="F350" s="128">
        <f>WEEKDAY(D350)</f>
        <v>4</v>
      </c>
      <c r="G350" s="385" t="s">
        <v>70</v>
      </c>
    </row>
    <row r="351" spans="1:7" ht="15.75">
      <c r="A351" s="381"/>
      <c r="B351" s="76"/>
      <c r="C351" s="635" t="s">
        <v>190</v>
      </c>
      <c r="D351" s="107">
        <f>DMAX('11_1'!A$12:L$43,'11_1'!$L$12,G344:G345)</f>
        <v>42977.146131260764</v>
      </c>
      <c r="E351" s="127" t="str">
        <f>IF(F351=1,"Domingo",IF(F351=2,"Lunes",IF(F351=3,"Martes",IF(F351=4,"Miercoles",IF(F351=5,"Jueves",IF(F351=6,"Viernes",IF(F351=7,"Sábado",0)))))))</f>
        <v>Miercoles</v>
      </c>
      <c r="F351" s="128">
        <f>WEEKDAY(D351)</f>
        <v>4</v>
      </c>
      <c r="G351" s="385">
        <f>WEEKDAY(D351)</f>
        <v>4</v>
      </c>
    </row>
    <row r="352" spans="1:7">
      <c r="A352" s="381"/>
      <c r="B352" s="76"/>
      <c r="C352" s="76"/>
      <c r="D352" s="76"/>
      <c r="E352" s="76"/>
      <c r="F352" s="106"/>
      <c r="G352" s="384"/>
    </row>
    <row r="353" spans="1:7">
      <c r="A353" s="381"/>
      <c r="B353" s="108" t="str">
        <f>+Mensajes!$B$7</f>
        <v>PARA CUALQUIER MODIFICACION EN EL CUADRO DE TURNO COMUNIQUESE CON SU TOMERO</v>
      </c>
      <c r="C353" s="76"/>
      <c r="D353" s="76"/>
      <c r="E353" s="76"/>
      <c r="F353" s="76"/>
      <c r="G353" s="382"/>
    </row>
    <row r="354" spans="1:7">
      <c r="A354" s="381"/>
      <c r="B354" s="108" t="str">
        <f>+Mensajes!$B$12</f>
        <v>Recuerde que con 1 (una) cuotas vigentes impagas se restringirá el servicio.</v>
      </c>
      <c r="C354" s="76"/>
      <c r="D354" s="76"/>
      <c r="E354" s="76"/>
      <c r="F354" s="76"/>
      <c r="G354" s="382"/>
    </row>
    <row r="355" spans="1:7">
      <c r="A355" s="381"/>
      <c r="B355" s="108"/>
      <c r="C355" s="76"/>
      <c r="D355" s="76"/>
      <c r="E355" s="76"/>
      <c r="F355" s="76"/>
      <c r="G355" s="382"/>
    </row>
    <row r="356" spans="1:7" ht="13.5" thickBot="1">
      <c r="A356" s="386"/>
      <c r="B356" s="387" t="str">
        <f>IF(DSUM('11_1'!$A$12:$P$83,16,G344:G345)=COUNTIF('11_1'!$A$13:$A$83,G345),"","Regularice su Deuda")</f>
        <v/>
      </c>
      <c r="C356" s="326"/>
      <c r="D356" s="326"/>
      <c r="E356" s="326"/>
      <c r="F356" s="326"/>
      <c r="G356" s="388"/>
    </row>
    <row r="357" spans="1:7" ht="13.5" thickBot="1"/>
    <row r="358" spans="1:7">
      <c r="A358" s="378"/>
      <c r="B358" s="379"/>
      <c r="C358" s="379"/>
      <c r="D358" s="379"/>
      <c r="E358" s="379"/>
      <c r="F358" s="379"/>
      <c r="G358" s="380"/>
    </row>
    <row r="359" spans="1:7">
      <c r="A359" s="381"/>
      <c r="B359" s="109" t="s">
        <v>82</v>
      </c>
      <c r="C359" s="76"/>
      <c r="D359" s="76"/>
      <c r="E359" s="76"/>
      <c r="F359" s="76"/>
      <c r="G359" s="382"/>
    </row>
    <row r="360" spans="1:7">
      <c r="A360" s="381"/>
      <c r="B360" s="76"/>
      <c r="C360" s="76"/>
      <c r="D360" s="76"/>
      <c r="E360" s="76"/>
      <c r="F360" s="76"/>
      <c r="G360" s="382"/>
    </row>
    <row r="361" spans="1:7">
      <c r="A361" s="381"/>
      <c r="B361" s="76" t="s">
        <v>182</v>
      </c>
      <c r="C361" s="76" t="str">
        <f>VLOOKUP(G362,'11_1'!$A$12:$G$43,7,0)</f>
        <v>FOGO, SANTOS Y LARRA╦AGA, JUAN ANTONIO</v>
      </c>
      <c r="D361" s="76"/>
      <c r="E361" s="76"/>
      <c r="F361" s="76"/>
      <c r="G361" s="383" t="s">
        <v>134</v>
      </c>
    </row>
    <row r="362" spans="1:7">
      <c r="A362" s="381"/>
      <c r="B362" s="76" t="s">
        <v>91</v>
      </c>
      <c r="C362" s="76" t="str">
        <f>+'11_1'!$H$2</f>
        <v>Hijuela El Guindo</v>
      </c>
      <c r="D362" s="76"/>
      <c r="E362" s="76"/>
      <c r="F362" s="76"/>
      <c r="G362" s="383">
        <v>22</v>
      </c>
    </row>
    <row r="363" spans="1:7">
      <c r="A363" s="381"/>
      <c r="B363" s="76"/>
      <c r="C363" s="76"/>
      <c r="D363" s="76"/>
      <c r="E363" s="76"/>
      <c r="F363" s="76"/>
      <c r="G363" s="382"/>
    </row>
    <row r="364" spans="1:7">
      <c r="A364" s="381"/>
      <c r="B364" s="635" t="s">
        <v>183</v>
      </c>
      <c r="C364" s="331">
        <f>VLOOKUP(G362,'11_1'!$A$12:$B$43,2,0)</f>
        <v>1247</v>
      </c>
      <c r="D364" s="76"/>
      <c r="E364" s="635" t="s">
        <v>184</v>
      </c>
      <c r="F364" s="347">
        <f>DSUM('11_1'!A$12:J$43,'11_1'!$J$12,G361:G362)</f>
        <v>9.6279684816097263E-2</v>
      </c>
      <c r="G364" s="382"/>
    </row>
    <row r="365" spans="1:7">
      <c r="A365" s="381"/>
      <c r="B365" s="635" t="s">
        <v>185</v>
      </c>
      <c r="C365" s="374">
        <v>2</v>
      </c>
      <c r="D365" s="76"/>
      <c r="E365" s="635" t="s">
        <v>186</v>
      </c>
      <c r="F365" s="368" t="str">
        <f>IF(VLOOKUP(G362,'11_1'!$A$12:$D$43,4,0)=2,"Eventual 80%","Definitivo 100%")</f>
        <v>Eventual 80%</v>
      </c>
      <c r="G365" s="382"/>
    </row>
    <row r="366" spans="1:7">
      <c r="A366" s="381"/>
      <c r="B366" s="635" t="s">
        <v>187</v>
      </c>
      <c r="C366" s="375">
        <f>DSUM('11_1'!$A$12:$H$43,'11_1'!$H$12,G361:G362)</f>
        <v>4</v>
      </c>
      <c r="D366" s="76"/>
      <c r="E366" s="635" t="s">
        <v>188</v>
      </c>
      <c r="F366" s="369" t="str">
        <f>+Hijuelas!$G$5</f>
        <v>fracción</v>
      </c>
      <c r="G366" s="384"/>
    </row>
    <row r="367" spans="1:7" ht="15.75">
      <c r="A367" s="381"/>
      <c r="B367" s="76"/>
      <c r="C367" s="635" t="s">
        <v>189</v>
      </c>
      <c r="D367" s="107">
        <f>DMIN('11_1'!A$12:K$43,'11_1'!$K$12,G361:G362)</f>
        <v>42977.146131260764</v>
      </c>
      <c r="E367" s="127" t="str">
        <f>IF(F367=1,"Domingo",IF(F367=2,"Lunes",IF(F367=3,"Martes",IF(F367=4,"Miercoles",IF(F367=5,"Jueves",IF(F367=6,"Viernes",IF(F367=7,"Sábado",0)))))))</f>
        <v>Miercoles</v>
      </c>
      <c r="F367" s="128">
        <f>WEEKDAY(D367)</f>
        <v>4</v>
      </c>
      <c r="G367" s="385" t="s">
        <v>70</v>
      </c>
    </row>
    <row r="368" spans="1:7" ht="15.75">
      <c r="A368" s="381"/>
      <c r="B368" s="76"/>
      <c r="C368" s="635" t="s">
        <v>190</v>
      </c>
      <c r="D368" s="107">
        <f>DMAX('11_1'!A$12:L$43,'11_1'!$L$12,G361:G362)</f>
        <v>42977.242410945582</v>
      </c>
      <c r="E368" s="127" t="str">
        <f>IF(F368=1,"Domingo",IF(F368=2,"Lunes",IF(F368=3,"Martes",IF(F368=4,"Miercoles",IF(F368=5,"Jueves",IF(F368=6,"Viernes",IF(F368=7,"Sábado",0)))))))</f>
        <v>Miercoles</v>
      </c>
      <c r="F368" s="128">
        <f>WEEKDAY(D368)</f>
        <v>4</v>
      </c>
      <c r="G368" s="385">
        <f>WEEKDAY(D368)</f>
        <v>4</v>
      </c>
    </row>
    <row r="369" spans="1:7">
      <c r="A369" s="381"/>
      <c r="B369" s="76"/>
      <c r="C369" s="76"/>
      <c r="D369" s="76"/>
      <c r="E369" s="76"/>
      <c r="F369" s="106"/>
      <c r="G369" s="384"/>
    </row>
    <row r="370" spans="1:7">
      <c r="A370" s="381"/>
      <c r="B370" s="108" t="str">
        <f>+Mensajes!$B$7</f>
        <v>PARA CUALQUIER MODIFICACION EN EL CUADRO DE TURNO COMUNIQUESE CON SU TOMERO</v>
      </c>
      <c r="C370" s="76"/>
      <c r="D370" s="76"/>
      <c r="E370" s="76"/>
      <c r="F370" s="76"/>
      <c r="G370" s="382"/>
    </row>
    <row r="371" spans="1:7">
      <c r="A371" s="381"/>
      <c r="B371" s="108" t="str">
        <f>+Mensajes!$B$12</f>
        <v>Recuerde que con 1 (una) cuotas vigentes impagas se restringirá el servicio.</v>
      </c>
      <c r="C371" s="76"/>
      <c r="D371" s="76"/>
      <c r="E371" s="76"/>
      <c r="F371" s="76"/>
      <c r="G371" s="382"/>
    </row>
    <row r="372" spans="1:7">
      <c r="A372" s="381"/>
      <c r="B372" s="108"/>
      <c r="C372" s="76"/>
      <c r="D372" s="76"/>
      <c r="E372" s="76"/>
      <c r="F372" s="76"/>
      <c r="G372" s="382"/>
    </row>
    <row r="373" spans="1:7" ht="13.5" thickBot="1">
      <c r="A373" s="386"/>
      <c r="B373" s="387" t="str">
        <f>IF(DSUM('11_1'!$A$12:$P$83,16,G361:G362)=COUNTIF('11_1'!$A$13:$A$83,G362),"","Regularice su Deuda")</f>
        <v/>
      </c>
      <c r="C373" s="326"/>
      <c r="D373" s="326"/>
      <c r="E373" s="326"/>
      <c r="F373" s="326"/>
      <c r="G373" s="388"/>
    </row>
    <row r="374" spans="1:7" ht="13.5" thickBot="1"/>
    <row r="375" spans="1:7">
      <c r="A375" s="378"/>
      <c r="B375" s="379"/>
      <c r="C375" s="379"/>
      <c r="D375" s="379"/>
      <c r="E375" s="379"/>
      <c r="F375" s="379"/>
      <c r="G375" s="380"/>
    </row>
    <row r="376" spans="1:7">
      <c r="A376" s="381"/>
      <c r="B376" s="109" t="s">
        <v>82</v>
      </c>
      <c r="C376" s="76"/>
      <c r="D376" s="76"/>
      <c r="E376" s="76"/>
      <c r="F376" s="76"/>
      <c r="G376" s="382"/>
    </row>
    <row r="377" spans="1:7">
      <c r="A377" s="381"/>
      <c r="B377" s="76"/>
      <c r="C377" s="76"/>
      <c r="D377" s="76"/>
      <c r="E377" s="76"/>
      <c r="F377" s="76"/>
      <c r="G377" s="382"/>
    </row>
    <row r="378" spans="1:7">
      <c r="A378" s="381"/>
      <c r="B378" s="76" t="s">
        <v>182</v>
      </c>
      <c r="C378" s="76" t="str">
        <f>VLOOKUP(G379,'11_1'!$A$12:$G$43,7,0)</f>
        <v xml:space="preserve">FOGO, SANTOS Y LARRA╦AGA, </v>
      </c>
      <c r="D378" s="76"/>
      <c r="E378" s="76"/>
      <c r="F378" s="76"/>
      <c r="G378" s="383" t="s">
        <v>134</v>
      </c>
    </row>
    <row r="379" spans="1:7">
      <c r="A379" s="381"/>
      <c r="B379" s="76" t="s">
        <v>91</v>
      </c>
      <c r="C379" s="76" t="str">
        <f>+'11_1'!$H$2</f>
        <v>Hijuela El Guindo</v>
      </c>
      <c r="D379" s="76"/>
      <c r="E379" s="76"/>
      <c r="F379" s="76"/>
      <c r="G379" s="383">
        <v>23</v>
      </c>
    </row>
    <row r="380" spans="1:7">
      <c r="A380" s="381"/>
      <c r="B380" s="76"/>
      <c r="C380" s="76"/>
      <c r="D380" s="76"/>
      <c r="E380" s="76"/>
      <c r="F380" s="76"/>
      <c r="G380" s="382"/>
    </row>
    <row r="381" spans="1:7">
      <c r="A381" s="381"/>
      <c r="B381" s="635" t="s">
        <v>183</v>
      </c>
      <c r="C381" s="331">
        <f>VLOOKUP(G379,'11_1'!$A$12:$B$43,2,0)</f>
        <v>1247</v>
      </c>
      <c r="D381" s="76"/>
      <c r="E381" s="635" t="s">
        <v>184</v>
      </c>
      <c r="F381" s="347">
        <f>DSUM('11_1'!A$12:J$43,'11_1'!$J$12,G378:G379)</f>
        <v>9.6279684816097263E-2</v>
      </c>
      <c r="G381" s="382"/>
    </row>
    <row r="382" spans="1:7">
      <c r="A382" s="381"/>
      <c r="B382" s="635" t="s">
        <v>185</v>
      </c>
      <c r="C382" s="374">
        <v>53</v>
      </c>
      <c r="D382" s="76"/>
      <c r="E382" s="635" t="s">
        <v>186</v>
      </c>
      <c r="F382" s="368" t="str">
        <f>IF(VLOOKUP(G379,'11_1'!$A$12:$D$43,4,0)=2,"Eventual 80%","Definitivo 100%")</f>
        <v>Eventual 80%</v>
      </c>
      <c r="G382" s="382"/>
    </row>
    <row r="383" spans="1:7">
      <c r="A383" s="381"/>
      <c r="B383" s="635" t="s">
        <v>187</v>
      </c>
      <c r="C383" s="375">
        <f>DSUM('11_1'!$A$12:$H$43,'11_1'!$H$12,G378:G379)</f>
        <v>4</v>
      </c>
      <c r="D383" s="76"/>
      <c r="E383" s="635" t="s">
        <v>188</v>
      </c>
      <c r="F383" s="369" t="str">
        <f>+Hijuelas!$G$5</f>
        <v>fracción</v>
      </c>
      <c r="G383" s="384"/>
    </row>
    <row r="384" spans="1:7" ht="15.75">
      <c r="A384" s="381"/>
      <c r="B384" s="76"/>
      <c r="C384" s="635" t="s">
        <v>189</v>
      </c>
      <c r="D384" s="107">
        <f>DMIN('11_1'!A$12:K$43,'11_1'!$K$12,G378:G379)</f>
        <v>42977.242410945582</v>
      </c>
      <c r="E384" s="127" t="str">
        <f>IF(F384=1,"Domingo",IF(F384=2,"Lunes",IF(F384=3,"Martes",IF(F384=4,"Miercoles",IF(F384=5,"Jueves",IF(F384=6,"Viernes",IF(F384=7,"Sábado",0)))))))</f>
        <v>Miercoles</v>
      </c>
      <c r="F384" s="128">
        <f>WEEKDAY(D384)</f>
        <v>4</v>
      </c>
      <c r="G384" s="385" t="s">
        <v>70</v>
      </c>
    </row>
    <row r="385" spans="1:7" ht="15.75">
      <c r="A385" s="381"/>
      <c r="B385" s="76"/>
      <c r="C385" s="635" t="s">
        <v>190</v>
      </c>
      <c r="D385" s="107">
        <f>DMAX('11_1'!A$12:L$43,'11_1'!$L$12,G378:G379)</f>
        <v>42977.3386906304</v>
      </c>
      <c r="E385" s="127" t="str">
        <f>IF(F385=1,"Domingo",IF(F385=2,"Lunes",IF(F385=3,"Martes",IF(F385=4,"Miercoles",IF(F385=5,"Jueves",IF(F385=6,"Viernes",IF(F385=7,"Sábado",0)))))))</f>
        <v>Miercoles</v>
      </c>
      <c r="F385" s="128">
        <f>WEEKDAY(D385)</f>
        <v>4</v>
      </c>
      <c r="G385" s="385">
        <f>WEEKDAY(D385)</f>
        <v>4</v>
      </c>
    </row>
    <row r="386" spans="1:7">
      <c r="A386" s="381"/>
      <c r="B386" s="76"/>
      <c r="C386" s="76"/>
      <c r="D386" s="76"/>
      <c r="E386" s="76"/>
      <c r="F386" s="106"/>
      <c r="G386" s="384"/>
    </row>
    <row r="387" spans="1:7">
      <c r="A387" s="381"/>
      <c r="B387" s="108" t="str">
        <f>+Mensajes!$B$7</f>
        <v>PARA CUALQUIER MODIFICACION EN EL CUADRO DE TURNO COMUNIQUESE CON SU TOMERO</v>
      </c>
      <c r="C387" s="76"/>
      <c r="D387" s="76"/>
      <c r="E387" s="76"/>
      <c r="F387" s="76"/>
      <c r="G387" s="382"/>
    </row>
    <row r="388" spans="1:7">
      <c r="A388" s="381"/>
      <c r="B388" s="108" t="str">
        <f>+Mensajes!$B$12</f>
        <v>Recuerde que con 1 (una) cuotas vigentes impagas se restringirá el servicio.</v>
      </c>
      <c r="C388" s="76"/>
      <c r="D388" s="76"/>
      <c r="E388" s="76"/>
      <c r="F388" s="76"/>
      <c r="G388" s="382"/>
    </row>
    <row r="389" spans="1:7">
      <c r="A389" s="381"/>
      <c r="B389" s="108"/>
      <c r="C389" s="76"/>
      <c r="D389" s="76"/>
      <c r="E389" s="76"/>
      <c r="F389" s="76"/>
      <c r="G389" s="382"/>
    </row>
    <row r="390" spans="1:7" ht="13.5" thickBot="1">
      <c r="A390" s="386"/>
      <c r="B390" s="387" t="str">
        <f>IF(DSUM('11_1'!$A$12:$P$83,16,G378:G379)=COUNTIF('11_1'!$A$13:$A$83,G379),"","Regularice su Deuda")</f>
        <v/>
      </c>
      <c r="C390" s="326"/>
      <c r="D390" s="326"/>
      <c r="E390" s="326"/>
      <c r="F390" s="326"/>
      <c r="G390" s="388"/>
    </row>
    <row r="391" spans="1:7" ht="13.5" thickBot="1"/>
    <row r="392" spans="1:7">
      <c r="A392" s="378"/>
      <c r="B392" s="379"/>
      <c r="C392" s="379"/>
      <c r="D392" s="379"/>
      <c r="E392" s="379"/>
      <c r="F392" s="379"/>
      <c r="G392" s="380"/>
    </row>
    <row r="393" spans="1:7">
      <c r="A393" s="381"/>
      <c r="B393" s="109" t="s">
        <v>82</v>
      </c>
      <c r="C393" s="76"/>
      <c r="D393" s="76"/>
      <c r="E393" s="76"/>
      <c r="F393" s="76"/>
      <c r="G393" s="382"/>
    </row>
    <row r="394" spans="1:7">
      <c r="A394" s="381"/>
      <c r="B394" s="76"/>
      <c r="C394" s="76"/>
      <c r="D394" s="76"/>
      <c r="E394" s="76"/>
      <c r="F394" s="76"/>
      <c r="G394" s="382"/>
    </row>
    <row r="395" spans="1:7">
      <c r="A395" s="381"/>
      <c r="B395" s="76" t="s">
        <v>182</v>
      </c>
      <c r="C395" s="76" t="str">
        <f>VLOOKUP(G396,'11_1'!$A$12:$G$43,7,0)</f>
        <v>CARABAJAL, ARTURO</v>
      </c>
      <c r="D395" s="76"/>
      <c r="E395" s="76"/>
      <c r="F395" s="76"/>
      <c r="G395" s="383" t="s">
        <v>134</v>
      </c>
    </row>
    <row r="396" spans="1:7">
      <c r="A396" s="381"/>
      <c r="B396" s="76" t="s">
        <v>91</v>
      </c>
      <c r="C396" s="76" t="str">
        <f>+'11_1'!$H$2</f>
        <v>Hijuela El Guindo</v>
      </c>
      <c r="D396" s="76"/>
      <c r="E396" s="76"/>
      <c r="F396" s="76"/>
      <c r="G396" s="383">
        <v>24</v>
      </c>
    </row>
    <row r="397" spans="1:7">
      <c r="A397" s="381"/>
      <c r="B397" s="76"/>
      <c r="C397" s="76"/>
      <c r="D397" s="76"/>
      <c r="E397" s="76"/>
      <c r="F397" s="76"/>
      <c r="G397" s="382"/>
    </row>
    <row r="398" spans="1:7">
      <c r="A398" s="381"/>
      <c r="B398" s="635" t="s">
        <v>183</v>
      </c>
      <c r="C398" s="331">
        <f>VLOOKUP(G396,'11_1'!$A$12:$B$43,2,0)</f>
        <v>1247</v>
      </c>
      <c r="D398" s="76"/>
      <c r="E398" s="635" t="s">
        <v>184</v>
      </c>
      <c r="F398" s="347">
        <f>DSUM('11_1'!A$12:J$43,'11_1'!$J$12,G395:G396)</f>
        <v>6.9323298661286351E-2</v>
      </c>
      <c r="G398" s="382"/>
    </row>
    <row r="399" spans="1:7">
      <c r="A399" s="381"/>
      <c r="B399" s="635" t="s">
        <v>185</v>
      </c>
      <c r="C399" s="374">
        <v>39</v>
      </c>
      <c r="D399" s="76"/>
      <c r="E399" s="635" t="s">
        <v>186</v>
      </c>
      <c r="F399" s="368" t="str">
        <f>IF(VLOOKUP(G396,'11_1'!$A$12:$D$43,4,0)=2,"Eventual 80%","Definitivo 100%")</f>
        <v>Eventual 80%</v>
      </c>
      <c r="G399" s="382"/>
    </row>
    <row r="400" spans="1:7">
      <c r="A400" s="381"/>
      <c r="B400" s="635" t="s">
        <v>187</v>
      </c>
      <c r="C400" s="375">
        <f>DSUM('11_1'!$A$12:$H$43,'11_1'!$H$12,G395:G396)</f>
        <v>2.88008</v>
      </c>
      <c r="D400" s="76"/>
      <c r="E400" s="635" t="s">
        <v>188</v>
      </c>
      <c r="F400" s="369" t="str">
        <f>+Hijuelas!$G$5</f>
        <v>fracción</v>
      </c>
      <c r="G400" s="384"/>
    </row>
    <row r="401" spans="1:7" ht="15.75">
      <c r="A401" s="381"/>
      <c r="B401" s="76"/>
      <c r="C401" s="635" t="s">
        <v>189</v>
      </c>
      <c r="D401" s="107">
        <f>DMIN('11_1'!A$12:K$43,'11_1'!$K$12,G395:G396)</f>
        <v>42977.3386906304</v>
      </c>
      <c r="E401" s="127" t="str">
        <f>IF(F401=1,"Domingo",IF(F401=2,"Lunes",IF(F401=3,"Martes",IF(F401=4,"Miercoles",IF(F401=5,"Jueves",IF(F401=6,"Viernes",IF(F401=7,"Sábado",0)))))))</f>
        <v>Miercoles</v>
      </c>
      <c r="F401" s="128">
        <f>WEEKDAY(D401)</f>
        <v>4</v>
      </c>
      <c r="G401" s="385" t="s">
        <v>70</v>
      </c>
    </row>
    <row r="402" spans="1:7" ht="15.75">
      <c r="A402" s="381"/>
      <c r="B402" s="76"/>
      <c r="C402" s="635" t="s">
        <v>190</v>
      </c>
      <c r="D402" s="107">
        <f>DMAX('11_1'!A$12:L$43,'11_1'!$L$12,G395:G396)</f>
        <v>42977.40801392906</v>
      </c>
      <c r="E402" s="127" t="str">
        <f>IF(F402=1,"Domingo",IF(F402=2,"Lunes",IF(F402=3,"Martes",IF(F402=4,"Miercoles",IF(F402=5,"Jueves",IF(F402=6,"Viernes",IF(F402=7,"Sábado",0)))))))</f>
        <v>Miercoles</v>
      </c>
      <c r="F402" s="128">
        <f>WEEKDAY(D402)</f>
        <v>4</v>
      </c>
      <c r="G402" s="385">
        <f>WEEKDAY(D402)</f>
        <v>4</v>
      </c>
    </row>
    <row r="403" spans="1:7">
      <c r="A403" s="381"/>
      <c r="B403" s="76"/>
      <c r="C403" s="76"/>
      <c r="D403" s="76"/>
      <c r="E403" s="76"/>
      <c r="F403" s="106"/>
      <c r="G403" s="384"/>
    </row>
    <row r="404" spans="1:7">
      <c r="A404" s="381"/>
      <c r="B404" s="108" t="str">
        <f>+Mensajes!$B$7</f>
        <v>PARA CUALQUIER MODIFICACION EN EL CUADRO DE TURNO COMUNIQUESE CON SU TOMERO</v>
      </c>
      <c r="C404" s="76"/>
      <c r="D404" s="76"/>
      <c r="E404" s="76"/>
      <c r="F404" s="76"/>
      <c r="G404" s="382"/>
    </row>
    <row r="405" spans="1:7">
      <c r="A405" s="381"/>
      <c r="B405" s="108" t="str">
        <f>+Mensajes!$B$12</f>
        <v>Recuerde que con 1 (una) cuotas vigentes impagas se restringirá el servicio.</v>
      </c>
      <c r="C405" s="76"/>
      <c r="D405" s="76"/>
      <c r="E405" s="76"/>
      <c r="F405" s="76"/>
      <c r="G405" s="382"/>
    </row>
    <row r="406" spans="1:7">
      <c r="A406" s="381"/>
      <c r="B406" s="108"/>
      <c r="C406" s="76"/>
      <c r="D406" s="76"/>
      <c r="E406" s="76"/>
      <c r="F406" s="76"/>
      <c r="G406" s="382"/>
    </row>
    <row r="407" spans="1:7" ht="13.5" thickBot="1">
      <c r="A407" s="386"/>
      <c r="B407" s="387" t="str">
        <f>IF(DSUM('11_1'!$A$12:$P$83,16,G395:G396)=COUNTIF('11_1'!$A$13:$A$83,G396),"","Regularice su Deuda")</f>
        <v/>
      </c>
      <c r="C407" s="326"/>
      <c r="D407" s="326"/>
      <c r="E407" s="326"/>
      <c r="F407" s="326"/>
      <c r="G407" s="388"/>
    </row>
    <row r="408" spans="1:7" ht="13.5" thickBot="1"/>
    <row r="409" spans="1:7">
      <c r="A409" s="378"/>
      <c r="B409" s="379"/>
      <c r="C409" s="379"/>
      <c r="D409" s="379"/>
      <c r="E409" s="379"/>
      <c r="F409" s="379"/>
      <c r="G409" s="380"/>
    </row>
    <row r="410" spans="1:7">
      <c r="A410" s="381"/>
      <c r="B410" s="109" t="s">
        <v>82</v>
      </c>
      <c r="C410" s="76"/>
      <c r="D410" s="76"/>
      <c r="E410" s="76"/>
      <c r="F410" s="76"/>
      <c r="G410" s="382"/>
    </row>
    <row r="411" spans="1:7">
      <c r="A411" s="381"/>
      <c r="B411" s="76"/>
      <c r="C411" s="76"/>
      <c r="D411" s="76"/>
      <c r="E411" s="76"/>
      <c r="F411" s="76"/>
      <c r="G411" s="382"/>
    </row>
    <row r="412" spans="1:7">
      <c r="A412" s="381"/>
      <c r="B412" s="76" t="s">
        <v>182</v>
      </c>
      <c r="C412" s="76" t="str">
        <f>VLOOKUP(G413,'11_1'!$A$12:$G$43,7,0)</f>
        <v>ZANI, ROBERTO RAUL</v>
      </c>
      <c r="D412" s="76"/>
      <c r="E412" s="76"/>
      <c r="F412" s="76"/>
      <c r="G412" s="383" t="s">
        <v>134</v>
      </c>
    </row>
    <row r="413" spans="1:7">
      <c r="A413" s="381"/>
      <c r="B413" s="76" t="s">
        <v>91</v>
      </c>
      <c r="C413" s="76" t="str">
        <f>+'11_1'!$H$2</f>
        <v>Hijuela El Guindo</v>
      </c>
      <c r="D413" s="76"/>
      <c r="E413" s="76"/>
      <c r="F413" s="76"/>
      <c r="G413" s="383">
        <v>25</v>
      </c>
    </row>
    <row r="414" spans="1:7">
      <c r="A414" s="381"/>
      <c r="B414" s="76"/>
      <c r="C414" s="76"/>
      <c r="D414" s="76"/>
      <c r="E414" s="76"/>
      <c r="F414" s="76"/>
      <c r="G414" s="382"/>
    </row>
    <row r="415" spans="1:7">
      <c r="A415" s="381"/>
      <c r="B415" s="635" t="s">
        <v>183</v>
      </c>
      <c r="C415" s="331">
        <f>VLOOKUP(G413,'11_1'!$A$12:$B$43,2,0)</f>
        <v>1247</v>
      </c>
      <c r="D415" s="76"/>
      <c r="E415" s="635" t="s">
        <v>184</v>
      </c>
      <c r="F415" s="347">
        <f>DSUM('11_1'!A$12:J$43,'11_1'!$J$12,G412:G413)</f>
        <v>0.12323607097090819</v>
      </c>
      <c r="G415" s="382"/>
    </row>
    <row r="416" spans="1:7">
      <c r="A416" s="381"/>
      <c r="B416" s="635" t="s">
        <v>185</v>
      </c>
      <c r="C416" s="374">
        <v>3</v>
      </c>
      <c r="D416" s="76"/>
      <c r="E416" s="635" t="s">
        <v>186</v>
      </c>
      <c r="F416" s="368" t="str">
        <f>IF(VLOOKUP(G413,'11_1'!$A$12:$D$43,4,0)=2,"Eventual 80%","Definitivo 100%")</f>
        <v>Eventual 80%</v>
      </c>
      <c r="G416" s="382"/>
    </row>
    <row r="417" spans="1:7">
      <c r="A417" s="381"/>
      <c r="B417" s="635" t="s">
        <v>187</v>
      </c>
      <c r="C417" s="375">
        <f>DSUM('11_1'!$A$12:$H$43,'11_1'!$H$12,G412:G413)</f>
        <v>5.1199200000000005</v>
      </c>
      <c r="D417" s="76"/>
      <c r="E417" s="635" t="s">
        <v>188</v>
      </c>
      <c r="F417" s="369" t="str">
        <f>+Hijuelas!$G$5</f>
        <v>fracción</v>
      </c>
      <c r="G417" s="384"/>
    </row>
    <row r="418" spans="1:7" ht="15.75">
      <c r="A418" s="381"/>
      <c r="B418" s="76"/>
      <c r="C418" s="635" t="s">
        <v>189</v>
      </c>
      <c r="D418" s="107">
        <f>DMIN('11_1'!A$12:K$43,'11_1'!$K$12,G412:G413)</f>
        <v>42977.40801392906</v>
      </c>
      <c r="E418" s="127" t="str">
        <f>IF(F418=1,"Domingo",IF(F418=2,"Lunes",IF(F418=3,"Martes",IF(F418=4,"Miercoles",IF(F418=5,"Jueves",IF(F418=6,"Viernes",IF(F418=7,"Sábado",0)))))))</f>
        <v>Miercoles</v>
      </c>
      <c r="F418" s="128">
        <f>WEEKDAY(D418)</f>
        <v>4</v>
      </c>
      <c r="G418" s="385" t="s">
        <v>70</v>
      </c>
    </row>
    <row r="419" spans="1:7" ht="15.75">
      <c r="A419" s="381"/>
      <c r="B419" s="76"/>
      <c r="C419" s="635" t="s">
        <v>190</v>
      </c>
      <c r="D419" s="107">
        <f>DMAX('11_1'!A$12:L$43,'11_1'!$L$12,G412:G413)</f>
        <v>42977.531250000029</v>
      </c>
      <c r="E419" s="127" t="str">
        <f>IF(F419=1,"Domingo",IF(F419=2,"Lunes",IF(F419=3,"Martes",IF(F419=4,"Miercoles",IF(F419=5,"Jueves",IF(F419=6,"Viernes",IF(F419=7,"Sábado",0)))))))</f>
        <v>Miercoles</v>
      </c>
      <c r="F419" s="128">
        <f>WEEKDAY(D419)</f>
        <v>4</v>
      </c>
      <c r="G419" s="385">
        <f>WEEKDAY(D419)</f>
        <v>4</v>
      </c>
    </row>
    <row r="420" spans="1:7">
      <c r="A420" s="381"/>
      <c r="B420" s="76"/>
      <c r="C420" s="76"/>
      <c r="D420" s="76"/>
      <c r="E420" s="76"/>
      <c r="F420" s="106"/>
      <c r="G420" s="384"/>
    </row>
    <row r="421" spans="1:7">
      <c r="A421" s="381"/>
      <c r="B421" s="108" t="str">
        <f>+Mensajes!$B$7</f>
        <v>PARA CUALQUIER MODIFICACION EN EL CUADRO DE TURNO COMUNIQUESE CON SU TOMERO</v>
      </c>
      <c r="C421" s="76"/>
      <c r="D421" s="76"/>
      <c r="E421" s="76"/>
      <c r="F421" s="76"/>
      <c r="G421" s="382"/>
    </row>
    <row r="422" spans="1:7">
      <c r="A422" s="381"/>
      <c r="B422" s="108" t="str">
        <f>+Mensajes!$B$12</f>
        <v>Recuerde que con 1 (una) cuotas vigentes impagas se restringirá el servicio.</v>
      </c>
      <c r="C422" s="76"/>
      <c r="D422" s="76"/>
      <c r="E422" s="76"/>
      <c r="F422" s="76"/>
      <c r="G422" s="382"/>
    </row>
    <row r="423" spans="1:7">
      <c r="A423" s="381"/>
      <c r="B423" s="108"/>
      <c r="C423" s="76"/>
      <c r="D423" s="76"/>
      <c r="E423" s="76"/>
      <c r="F423" s="76"/>
      <c r="G423" s="382"/>
    </row>
    <row r="424" spans="1:7" ht="13.5" thickBot="1">
      <c r="A424" s="386"/>
      <c r="B424" s="387" t="str">
        <f>IF(DSUM('11_1'!$A$12:$P$83,16,G412:G413)=COUNTIF('11_1'!$A$13:$A$83,G413),"","Regularice su Deuda")</f>
        <v/>
      </c>
      <c r="C424" s="326"/>
      <c r="D424" s="326"/>
      <c r="E424" s="326"/>
      <c r="F424" s="326"/>
      <c r="G424" s="388"/>
    </row>
    <row r="425" spans="1:7" ht="13.5" thickBot="1"/>
    <row r="426" spans="1:7">
      <c r="A426" s="378"/>
      <c r="B426" s="379"/>
      <c r="C426" s="379"/>
      <c r="D426" s="379"/>
      <c r="E426" s="379"/>
      <c r="F426" s="379"/>
      <c r="G426" s="380"/>
    </row>
    <row r="427" spans="1:7">
      <c r="A427" s="381"/>
      <c r="B427" s="109" t="s">
        <v>82</v>
      </c>
      <c r="C427" s="76"/>
      <c r="D427" s="76"/>
      <c r="E427" s="76"/>
      <c r="F427" s="76"/>
      <c r="G427" s="382"/>
    </row>
    <row r="428" spans="1:7">
      <c r="A428" s="381"/>
      <c r="B428" s="76"/>
      <c r="C428" s="76"/>
      <c r="D428" s="76"/>
      <c r="E428" s="76"/>
      <c r="F428" s="76"/>
      <c r="G428" s="382"/>
    </row>
    <row r="429" spans="1:7">
      <c r="A429" s="381"/>
      <c r="B429" s="76" t="s">
        <v>182</v>
      </c>
      <c r="C429" s="76" t="e">
        <f>VLOOKUP(G430,'11_1'!$A$12:$G$43,7,0)</f>
        <v>#N/A</v>
      </c>
      <c r="D429" s="76"/>
      <c r="E429" s="76"/>
      <c r="F429" s="76"/>
      <c r="G429" s="383" t="s">
        <v>134</v>
      </c>
    </row>
    <row r="430" spans="1:7">
      <c r="A430" s="381"/>
      <c r="B430" s="76" t="s">
        <v>91</v>
      </c>
      <c r="C430" s="76" t="str">
        <f>+'11_1'!$H$2</f>
        <v>Hijuela El Guindo</v>
      </c>
      <c r="D430" s="76"/>
      <c r="E430" s="76"/>
      <c r="F430" s="76"/>
      <c r="G430" s="383">
        <v>26</v>
      </c>
    </row>
    <row r="431" spans="1:7">
      <c r="A431" s="381"/>
      <c r="B431" s="76"/>
      <c r="C431" s="76"/>
      <c r="D431" s="76"/>
      <c r="E431" s="76"/>
      <c r="F431" s="76"/>
      <c r="G431" s="382"/>
    </row>
    <row r="432" spans="1:7">
      <c r="A432" s="381"/>
      <c r="B432" s="635" t="s">
        <v>183</v>
      </c>
      <c r="C432" s="331" t="e">
        <f>VLOOKUP(G430,'11_1'!$A$12:$B$43,2,0)</f>
        <v>#N/A</v>
      </c>
      <c r="D432" s="76"/>
      <c r="E432" s="635" t="s">
        <v>184</v>
      </c>
      <c r="F432" s="347">
        <f>DSUM('11_1'!A$12:J$43,'11_1'!$J$12,G429:G430)</f>
        <v>0</v>
      </c>
      <c r="G432" s="382"/>
    </row>
    <row r="433" spans="1:7">
      <c r="A433" s="381"/>
      <c r="B433" s="635" t="s">
        <v>185</v>
      </c>
      <c r="C433" s="374">
        <v>39</v>
      </c>
      <c r="D433" s="76"/>
      <c r="E433" s="635" t="s">
        <v>186</v>
      </c>
      <c r="F433" s="368" t="e">
        <f>IF(VLOOKUP(G430,'11_1'!$A$12:$D$43,4,0)=2,"Eventual 80%","Definitivo 100%")</f>
        <v>#N/A</v>
      </c>
      <c r="G433" s="382"/>
    </row>
    <row r="434" spans="1:7">
      <c r="A434" s="381"/>
      <c r="B434" s="635" t="s">
        <v>187</v>
      </c>
      <c r="C434" s="375">
        <f>DSUM('11_1'!$A$12:$H$43,'11_1'!$H$12,G429:G430)</f>
        <v>0</v>
      </c>
      <c r="D434" s="76"/>
      <c r="E434" s="635" t="s">
        <v>188</v>
      </c>
      <c r="F434" s="369" t="str">
        <f>+Hijuelas!$G$5</f>
        <v>fracción</v>
      </c>
      <c r="G434" s="384"/>
    </row>
    <row r="435" spans="1:7" ht="15.75">
      <c r="A435" s="381"/>
      <c r="B435" s="76"/>
      <c r="C435" s="635" t="s">
        <v>189</v>
      </c>
      <c r="D435" s="107">
        <f>DMIN('11_1'!A$12:K$43,'11_1'!$K$12,G429:G430)</f>
        <v>0</v>
      </c>
      <c r="E435" s="127" t="str">
        <f>IF(F435=1,"Domingo",IF(F435=2,"Lunes",IF(F435=3,"Martes",IF(F435=4,"Miercoles",IF(F435=5,"Jueves",IF(F435=6,"Viernes",IF(F435=7,"Sábado",0)))))))</f>
        <v>Sábado</v>
      </c>
      <c r="F435" s="128">
        <f>WEEKDAY(D435)</f>
        <v>7</v>
      </c>
      <c r="G435" s="385" t="s">
        <v>70</v>
      </c>
    </row>
    <row r="436" spans="1:7" ht="15.75">
      <c r="A436" s="381"/>
      <c r="B436" s="76"/>
      <c r="C436" s="635" t="s">
        <v>190</v>
      </c>
      <c r="D436" s="107">
        <f>DMAX('11_1'!A$12:L$43,'11_1'!$L$12,G429:G430)</f>
        <v>0</v>
      </c>
      <c r="E436" s="127" t="str">
        <f>IF(F436=1,"Domingo",IF(F436=2,"Lunes",IF(F436=3,"Martes",IF(F436=4,"Miercoles",IF(F436=5,"Jueves",IF(F436=6,"Viernes",IF(F436=7,"Sábado",0)))))))</f>
        <v>Sábado</v>
      </c>
      <c r="F436" s="128">
        <f>WEEKDAY(D436)</f>
        <v>7</v>
      </c>
      <c r="G436" s="385">
        <f>WEEKDAY(D436)</f>
        <v>7</v>
      </c>
    </row>
    <row r="437" spans="1:7">
      <c r="A437" s="381"/>
      <c r="B437" s="76"/>
      <c r="C437" s="76"/>
      <c r="D437" s="76"/>
      <c r="E437" s="76"/>
      <c r="F437" s="106"/>
      <c r="G437" s="384"/>
    </row>
    <row r="438" spans="1:7">
      <c r="A438" s="381"/>
      <c r="B438" s="108" t="str">
        <f>+Mensajes!$B$7</f>
        <v>PARA CUALQUIER MODIFICACION EN EL CUADRO DE TURNO COMUNIQUESE CON SU TOMERO</v>
      </c>
      <c r="C438" s="76"/>
      <c r="D438" s="76"/>
      <c r="E438" s="76"/>
      <c r="F438" s="76"/>
      <c r="G438" s="382"/>
    </row>
    <row r="439" spans="1:7">
      <c r="A439" s="381"/>
      <c r="B439" s="108" t="str">
        <f>+Mensajes!$B$12</f>
        <v>Recuerde que con 1 (una) cuotas vigentes impagas se restringirá el servicio.</v>
      </c>
      <c r="C439" s="76"/>
      <c r="D439" s="76"/>
      <c r="E439" s="76"/>
      <c r="F439" s="76"/>
      <c r="G439" s="382"/>
    </row>
    <row r="440" spans="1:7">
      <c r="A440" s="381"/>
      <c r="B440" s="108"/>
      <c r="C440" s="76"/>
      <c r="D440" s="76"/>
      <c r="E440" s="76"/>
      <c r="F440" s="76"/>
      <c r="G440" s="382"/>
    </row>
    <row r="441" spans="1:7" ht="13.5" thickBot="1">
      <c r="A441" s="386"/>
      <c r="B441" s="387" t="str">
        <f>IF(DSUM('11_1'!$A$12:$P$83,16,G429:G430)=COUNTIF('11_1'!$A$13:$A$83,G430),"","Regularice su Deuda")</f>
        <v/>
      </c>
      <c r="C441" s="326"/>
      <c r="D441" s="326"/>
      <c r="E441" s="326"/>
      <c r="F441" s="326"/>
      <c r="G441" s="388"/>
    </row>
    <row r="442" spans="1:7" ht="13.5" thickBot="1"/>
    <row r="443" spans="1:7">
      <c r="A443" s="378"/>
      <c r="B443" s="379"/>
      <c r="C443" s="379"/>
      <c r="D443" s="379"/>
      <c r="E443" s="379"/>
      <c r="F443" s="379"/>
      <c r="G443" s="380"/>
    </row>
    <row r="444" spans="1:7">
      <c r="A444" s="381"/>
      <c r="B444" s="109" t="s">
        <v>82</v>
      </c>
      <c r="C444" s="76"/>
      <c r="D444" s="76"/>
      <c r="E444" s="76"/>
      <c r="F444" s="76"/>
      <c r="G444" s="382"/>
    </row>
    <row r="445" spans="1:7">
      <c r="A445" s="381"/>
      <c r="B445" s="76"/>
      <c r="C445" s="76"/>
      <c r="D445" s="76"/>
      <c r="E445" s="76"/>
      <c r="F445" s="76"/>
      <c r="G445" s="382"/>
    </row>
    <row r="446" spans="1:7">
      <c r="A446" s="381"/>
      <c r="B446" s="76" t="s">
        <v>182</v>
      </c>
      <c r="C446" s="76" t="e">
        <f>VLOOKUP(G447,'11_1'!$A$12:$G$43,7,0)</f>
        <v>#N/A</v>
      </c>
      <c r="D446" s="76"/>
      <c r="E446" s="76"/>
      <c r="F446" s="76"/>
      <c r="G446" s="383" t="s">
        <v>134</v>
      </c>
    </row>
    <row r="447" spans="1:7">
      <c r="A447" s="381"/>
      <c r="B447" s="76" t="s">
        <v>91</v>
      </c>
      <c r="C447" s="76" t="str">
        <f>+'11_1'!$H$2</f>
        <v>Hijuela El Guindo</v>
      </c>
      <c r="D447" s="76"/>
      <c r="E447" s="76"/>
      <c r="F447" s="76"/>
      <c r="G447" s="383">
        <v>27</v>
      </c>
    </row>
    <row r="448" spans="1:7">
      <c r="A448" s="381"/>
      <c r="B448" s="76"/>
      <c r="C448" s="76"/>
      <c r="D448" s="76"/>
      <c r="E448" s="76"/>
      <c r="F448" s="76"/>
      <c r="G448" s="382"/>
    </row>
    <row r="449" spans="1:7">
      <c r="A449" s="381"/>
      <c r="B449" s="635" t="s">
        <v>183</v>
      </c>
      <c r="C449" s="331" t="e">
        <f>VLOOKUP(G447,'11_1'!$A$12:$B$43,2,0)</f>
        <v>#N/A</v>
      </c>
      <c r="D449" s="76"/>
      <c r="E449" s="635" t="s">
        <v>184</v>
      </c>
      <c r="F449" s="347">
        <f>DSUM('11_1'!A$12:J$43,'11_1'!$J$12,G446:G447)</f>
        <v>0</v>
      </c>
      <c r="G449" s="382"/>
    </row>
    <row r="450" spans="1:7">
      <c r="A450" s="381"/>
      <c r="B450" s="635" t="s">
        <v>185</v>
      </c>
      <c r="C450" s="374">
        <v>3</v>
      </c>
      <c r="D450" s="76"/>
      <c r="E450" s="635" t="s">
        <v>186</v>
      </c>
      <c r="F450" s="368" t="e">
        <f>IF(VLOOKUP(G447,'11_1'!$A$12:$D$43,4,0)=2,"Eventual 80%","Definitivo 100%")</f>
        <v>#N/A</v>
      </c>
      <c r="G450" s="382"/>
    </row>
    <row r="451" spans="1:7">
      <c r="A451" s="381"/>
      <c r="B451" s="635" t="s">
        <v>187</v>
      </c>
      <c r="C451" s="375">
        <f>DSUM('11_1'!$A$12:$H$43,'11_1'!$H$12,G446:G447)</f>
        <v>0</v>
      </c>
      <c r="D451" s="76"/>
      <c r="E451" s="635" t="s">
        <v>188</v>
      </c>
      <c r="F451" s="369" t="str">
        <f>+Hijuelas!$G$5</f>
        <v>fracción</v>
      </c>
      <c r="G451" s="384"/>
    </row>
    <row r="452" spans="1:7" ht="15.75">
      <c r="A452" s="381"/>
      <c r="B452" s="76"/>
      <c r="C452" s="635" t="s">
        <v>189</v>
      </c>
      <c r="D452" s="107">
        <f>DMIN('11_1'!A$12:K$43,'11_1'!$K$12,G446:G447)</f>
        <v>0</v>
      </c>
      <c r="E452" s="127" t="str">
        <f>IF(F452=1,"Domingo",IF(F452=2,"Lunes",IF(F452=3,"Martes",IF(F452=4,"Miercoles",IF(F452=5,"Jueves",IF(F452=6,"Viernes",IF(F452=7,"Sábado",0)))))))</f>
        <v>Sábado</v>
      </c>
      <c r="F452" s="128">
        <f>WEEKDAY(D452)</f>
        <v>7</v>
      </c>
      <c r="G452" s="385" t="s">
        <v>70</v>
      </c>
    </row>
    <row r="453" spans="1:7" ht="15.75">
      <c r="A453" s="381"/>
      <c r="B453" s="76"/>
      <c r="C453" s="635" t="s">
        <v>190</v>
      </c>
      <c r="D453" s="107">
        <f>DMAX('11_1'!A$12:L$43,'11_1'!$L$12,G446:G447)</f>
        <v>0</v>
      </c>
      <c r="E453" s="127" t="str">
        <f>IF(F453=1,"Domingo",IF(F453=2,"Lunes",IF(F453=3,"Martes",IF(F453=4,"Miercoles",IF(F453=5,"Jueves",IF(F453=6,"Viernes",IF(F453=7,"Sábado",0)))))))</f>
        <v>Sábado</v>
      </c>
      <c r="F453" s="128">
        <f>WEEKDAY(D453)</f>
        <v>7</v>
      </c>
      <c r="G453" s="385">
        <f>WEEKDAY(D453)</f>
        <v>7</v>
      </c>
    </row>
    <row r="454" spans="1:7">
      <c r="A454" s="381"/>
      <c r="B454" s="76"/>
      <c r="C454" s="76"/>
      <c r="D454" s="76"/>
      <c r="E454" s="76"/>
      <c r="F454" s="106"/>
      <c r="G454" s="384"/>
    </row>
    <row r="455" spans="1:7">
      <c r="A455" s="381"/>
      <c r="B455" s="108" t="str">
        <f>+Mensajes!$B$7</f>
        <v>PARA CUALQUIER MODIFICACION EN EL CUADRO DE TURNO COMUNIQUESE CON SU TOMERO</v>
      </c>
      <c r="C455" s="76"/>
      <c r="D455" s="76"/>
      <c r="E455" s="76"/>
      <c r="F455" s="76"/>
      <c r="G455" s="382"/>
    </row>
    <row r="456" spans="1:7">
      <c r="A456" s="381"/>
      <c r="B456" s="108" t="str">
        <f>+Mensajes!$B$12</f>
        <v>Recuerde que con 1 (una) cuotas vigentes impagas se restringirá el servicio.</v>
      </c>
      <c r="C456" s="76"/>
      <c r="D456" s="76"/>
      <c r="E456" s="76"/>
      <c r="F456" s="76"/>
      <c r="G456" s="382"/>
    </row>
    <row r="457" spans="1:7">
      <c r="A457" s="381"/>
      <c r="B457" s="108"/>
      <c r="C457" s="76"/>
      <c r="D457" s="76"/>
      <c r="E457" s="76"/>
      <c r="F457" s="76"/>
      <c r="G457" s="382"/>
    </row>
    <row r="458" spans="1:7" ht="13.5" thickBot="1">
      <c r="A458" s="386"/>
      <c r="B458" s="387" t="str">
        <f>IF(DSUM('11_1'!$A$12:$P$83,16,G446:G447)=COUNTIF('11_1'!$A$13:$A$83,G447),"","Regularice su Deuda")</f>
        <v/>
      </c>
      <c r="C458" s="326"/>
      <c r="D458" s="326"/>
      <c r="E458" s="326"/>
      <c r="F458" s="326"/>
      <c r="G458" s="388"/>
    </row>
  </sheetData>
  <phoneticPr fontId="0" type="noConversion"/>
  <pageMargins left="0.55118110236220474" right="0.47244094488188981" top="0.19685039370078741" bottom="0.19685039370078741" header="0" footer="0"/>
  <pageSetup paperSize="9" scale="73" orientation="portrait" r:id="rId1"/>
  <headerFooter alignWithMargins="0"/>
  <rowBreaks count="5" manualBreakCount="5">
    <brk id="85" max="6" man="1"/>
    <brk id="170" max="6" man="1"/>
    <brk id="254" max="6" man="1"/>
    <brk id="340" max="6" man="1"/>
    <brk id="425" max="6" man="1"/>
  </rowBreaks>
  <colBreaks count="1" manualBreakCount="1">
    <brk id="8" max="1048575" man="1"/>
  </col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17"/>
  <dimension ref="A1:U91"/>
  <sheetViews>
    <sheetView topLeftCell="A69" zoomScale="75" zoomScaleNormal="100" workbookViewId="0" xr3:uid="{EE242A16-C6B8-5192-B120-522BC795EE76}">
      <selection activeCell="L84" sqref="L84:M90"/>
    </sheetView>
  </sheetViews>
  <sheetFormatPr defaultRowHeight="12.75"/>
  <cols>
    <col min="1" max="1" width="4.7109375" customWidth="1"/>
    <col min="2" max="2" width="5.140625" customWidth="1"/>
    <col min="3" max="3" width="7.5703125" customWidth="1"/>
    <col min="4" max="4" width="6.7109375" customWidth="1"/>
    <col min="5" max="5" width="11.28515625" customWidth="1"/>
    <col min="6" max="6" width="9.7109375" customWidth="1"/>
    <col min="7" max="7" width="31.42578125" customWidth="1"/>
    <col min="8" max="8" width="15.5703125" bestFit="1" customWidth="1"/>
    <col min="9" max="9" width="6.7109375" customWidth="1"/>
    <col min="10" max="10" width="7.5703125" customWidth="1"/>
    <col min="11" max="11" width="8.140625" customWidth="1"/>
    <col min="12" max="12" width="17.42578125" customWidth="1"/>
    <col min="13" max="13" width="16" customWidth="1"/>
    <col min="14" max="14" width="23.42578125" customWidth="1"/>
    <col min="15" max="15" width="28.5703125" customWidth="1"/>
    <col min="16" max="16" width="11.42578125" customWidth="1"/>
    <col min="17" max="20" width="11.7109375" bestFit="1" customWidth="1"/>
    <col min="21" max="256" width="11.42578125" customWidth="1"/>
  </cols>
  <sheetData>
    <row r="1" spans="1:2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1:21" ht="15">
      <c r="A3" s="105" t="s">
        <v>123</v>
      </c>
      <c r="B3" s="99"/>
      <c r="C3" s="99"/>
      <c r="D3" s="99"/>
      <c r="E3" s="99"/>
      <c r="F3" s="99"/>
      <c r="G3" s="515" t="s">
        <v>441</v>
      </c>
      <c r="H3" s="99"/>
      <c r="I3" s="99"/>
      <c r="J3" s="99"/>
      <c r="K3" s="99"/>
      <c r="L3" s="99"/>
      <c r="M3" s="99"/>
      <c r="N3" s="99"/>
    </row>
    <row r="4" spans="1:2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21" ht="13.5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</row>
    <row r="6" spans="1:21">
      <c r="A6" s="662" t="s">
        <v>124</v>
      </c>
      <c r="B6" s="663"/>
      <c r="C6" s="659">
        <f>+Hijuelas!D21</f>
        <v>42973.541666666664</v>
      </c>
      <c r="D6" s="667"/>
      <c r="E6" s="660"/>
      <c r="F6" s="305"/>
      <c r="G6" s="306" t="s">
        <v>125</v>
      </c>
      <c r="H6" s="307">
        <f>+Hijuelas!G4</f>
        <v>3.9895833333333335</v>
      </c>
      <c r="I6" s="99"/>
      <c r="J6" s="99"/>
      <c r="K6" s="99"/>
      <c r="L6" s="99"/>
      <c r="M6" s="99"/>
      <c r="N6" s="99"/>
    </row>
    <row r="7" spans="1:21" ht="13.5" thickBot="1">
      <c r="A7" s="664" t="s">
        <v>126</v>
      </c>
      <c r="B7" s="665"/>
      <c r="C7" s="668">
        <f>+M13</f>
        <v>42975.393081668699</v>
      </c>
      <c r="D7" s="669"/>
      <c r="E7" s="670"/>
      <c r="F7" s="305"/>
      <c r="G7" s="265" t="s">
        <v>127</v>
      </c>
      <c r="H7" s="328">
        <v>0.16666666666666666</v>
      </c>
      <c r="I7" s="305"/>
      <c r="J7" s="305"/>
      <c r="K7" s="99"/>
      <c r="L7" s="309"/>
      <c r="M7" s="99"/>
      <c r="N7" s="99"/>
    </row>
    <row r="8" spans="1:21">
      <c r="A8" s="99"/>
      <c r="B8" s="99"/>
      <c r="C8" s="99"/>
      <c r="D8" s="99"/>
      <c r="E8" s="99"/>
      <c r="F8" s="99"/>
      <c r="G8" s="418" t="s">
        <v>128</v>
      </c>
      <c r="H8" s="419">
        <v>0</v>
      </c>
      <c r="I8" s="99"/>
      <c r="J8" s="99"/>
      <c r="K8" s="99"/>
      <c r="L8" s="99"/>
      <c r="M8" s="99"/>
      <c r="N8" s="99"/>
    </row>
    <row r="9" spans="1:21" ht="13.5" thickBot="1">
      <c r="A9" s="99"/>
      <c r="B9" s="99"/>
      <c r="C9" s="99"/>
      <c r="D9" s="99"/>
      <c r="E9" s="99"/>
      <c r="F9" s="99"/>
      <c r="G9" s="310" t="s">
        <v>442</v>
      </c>
      <c r="H9" s="470">
        <f>+J46</f>
        <v>0.27083333333333331</v>
      </c>
      <c r="I9" s="99"/>
      <c r="J9" s="99"/>
      <c r="K9" s="99"/>
      <c r="L9" s="99"/>
      <c r="M9" s="99"/>
      <c r="N9" s="99"/>
    </row>
    <row r="10" spans="1:21">
      <c r="A10" s="666" t="s">
        <v>129</v>
      </c>
      <c r="B10" s="666"/>
      <c r="C10" s="312">
        <f>+H6-H7-H9</f>
        <v>3.5520833333333335</v>
      </c>
      <c r="D10" s="636" t="s">
        <v>130</v>
      </c>
      <c r="E10" s="317">
        <f>+C10*60</f>
        <v>213.125</v>
      </c>
      <c r="F10" s="636" t="s">
        <v>131</v>
      </c>
      <c r="G10" s="400">
        <f>+H46</f>
        <v>232.96992000000009</v>
      </c>
      <c r="H10" s="636" t="s">
        <v>132</v>
      </c>
      <c r="I10" s="313">
        <f>+E10/G10</f>
        <v>0.91481767259910607</v>
      </c>
      <c r="J10" s="313"/>
      <c r="K10" s="99"/>
      <c r="L10" s="99"/>
      <c r="M10" s="99"/>
      <c r="N10" s="99"/>
    </row>
    <row r="11" spans="1:21" ht="13.5" thickBot="1">
      <c r="A11" s="636"/>
      <c r="B11" s="636"/>
      <c r="C11" s="312"/>
      <c r="D11" s="636"/>
      <c r="E11" s="313"/>
      <c r="F11" s="636"/>
      <c r="G11" s="636"/>
      <c r="I11" s="312"/>
      <c r="J11" s="312"/>
      <c r="K11" s="99"/>
      <c r="L11" s="99"/>
      <c r="M11" s="99"/>
      <c r="N11" s="99"/>
    </row>
    <row r="12" spans="1:21" ht="13.5" thickBot="1">
      <c r="A12" s="291" t="s">
        <v>134</v>
      </c>
      <c r="B12" s="292" t="s">
        <v>135</v>
      </c>
      <c r="C12" s="292" t="s">
        <v>136</v>
      </c>
      <c r="D12" s="292" t="s">
        <v>408</v>
      </c>
      <c r="E12" s="292" t="s">
        <v>138</v>
      </c>
      <c r="F12" s="292" t="s">
        <v>141</v>
      </c>
      <c r="G12" s="354" t="s">
        <v>140</v>
      </c>
      <c r="H12" s="292" t="s">
        <v>139</v>
      </c>
      <c r="I12" s="292" t="s">
        <v>443</v>
      </c>
      <c r="J12" s="292" t="s">
        <v>142</v>
      </c>
      <c r="K12" s="292" t="s">
        <v>143</v>
      </c>
      <c r="L12" s="292" t="s">
        <v>193</v>
      </c>
      <c r="M12" s="292" t="s">
        <v>194</v>
      </c>
      <c r="N12" s="292" t="s">
        <v>146</v>
      </c>
      <c r="O12" s="292" t="s">
        <v>204</v>
      </c>
      <c r="P12" s="292" t="s">
        <v>148</v>
      </c>
      <c r="Q12" s="292" t="s">
        <v>149</v>
      </c>
      <c r="R12" s="292" t="s">
        <v>150</v>
      </c>
      <c r="S12" s="292" t="s">
        <v>151</v>
      </c>
      <c r="T12" s="292" t="s">
        <v>152</v>
      </c>
      <c r="U12" s="294" t="s">
        <v>153</v>
      </c>
    </row>
    <row r="13" spans="1:21" ht="24" customHeight="1" thickTop="1">
      <c r="A13" s="247">
        <v>1</v>
      </c>
      <c r="B13" s="47">
        <v>1250</v>
      </c>
      <c r="C13" s="244">
        <v>20</v>
      </c>
      <c r="D13" s="244">
        <v>2</v>
      </c>
      <c r="E13" s="245">
        <v>7.8608000000000002</v>
      </c>
      <c r="F13" s="245" t="str">
        <f>IF(Q13=0,"NO",IF(Q13=1,"SI","CONDICIONAL"))</f>
        <v>SI</v>
      </c>
      <c r="G13" s="391" t="s">
        <v>444</v>
      </c>
      <c r="H13" s="125">
        <f>IF(Hijuelas!$G$5="fracción",IF(F13="NO",0,IF(Hijuelas!$G$6="si",IF(D13=1,E13,E13*0.8),E13)),IF(F13="NO",0,IF(Hijuelas!$G$6="si",IF(D13=1,ROUNDUP(E13,0),ROUNDUP(E13*0.8,0)),ROUNDUP(E13,0))))</f>
        <v>6.2886400000000009</v>
      </c>
      <c r="I13" s="122">
        <f>H13*$I$10</f>
        <v>5.7529590086136428</v>
      </c>
      <c r="J13" s="123"/>
      <c r="K13" s="298">
        <f>+I13/60</f>
        <v>9.5882650143560719E-2</v>
      </c>
      <c r="L13" s="341">
        <f t="shared" ref="L13:L43" si="0">+M14</f>
        <v>42975.297199018554</v>
      </c>
      <c r="M13" s="95">
        <f t="shared" ref="M13:M43" si="1">+L13+K13+J13</f>
        <v>42975.393081668699</v>
      </c>
      <c r="N13" s="47"/>
      <c r="O13" s="47"/>
      <c r="P13" s="47" t="str">
        <f>+CONCATENATE(B13,C13)</f>
        <v>125020</v>
      </c>
      <c r="Q13" s="112">
        <f>VLOOKUP(P13,deuda!A$1:J$551,4,0)</f>
        <v>1</v>
      </c>
      <c r="R13" s="112">
        <f>VLOOKUP(P13,deuda!A$1:H$551,5,0)</f>
        <v>2</v>
      </c>
      <c r="S13" s="112" t="str">
        <f>IF(VLOOKUP(P13,deuda!A$1:H$551,6,0)=0,"",VLOOKUP(P13,deuda!A$1:H$551,6,0))</f>
        <v/>
      </c>
      <c r="T13" s="113" t="str">
        <f>IF((VLOOKUP(P13,deuda!A$1:H$551,7,0))=0,"",VLOOKUP(P13,deuda!A$1:H$551,7,0))</f>
        <v/>
      </c>
      <c r="U13" s="114" t="str">
        <f>IF((VLOOKUP(P13,deuda!A$1:H$551,8,0))=0,"",VLOOKUP(P13,deuda!A$1:H$551,8,0))</f>
        <v/>
      </c>
    </row>
    <row r="14" spans="1:21" ht="24" customHeight="1">
      <c r="A14" s="248">
        <v>1</v>
      </c>
      <c r="B14" s="5">
        <v>1250</v>
      </c>
      <c r="C14" s="179">
        <v>4</v>
      </c>
      <c r="D14" s="179">
        <v>2</v>
      </c>
      <c r="E14" s="20">
        <v>15.7301</v>
      </c>
      <c r="F14" s="245" t="str">
        <f t="shared" ref="F14:F45" si="2">IF(Q14=0,"NO",IF(Q14=1,"SI","CONDICIONAL"))</f>
        <v>SI</v>
      </c>
      <c r="G14" s="392" t="s">
        <v>444</v>
      </c>
      <c r="H14" s="125">
        <f>IF(Hijuelas!$G$5="fracción",IF(F14="NO",0,IF(Hijuelas!$G$6="si",IF(D14=1,E14,E14*0.8),E14)),IF(F14="NO",0,IF(Hijuelas!$G$6="si",IF(D14=1,ROUNDUP(E14,0),ROUNDUP(E14*0.8,0)),ROUNDUP(E14,0))))</f>
        <v>12.58408</v>
      </c>
      <c r="I14" s="122">
        <f t="shared" ref="I14:I45" si="3">H14*$I$10</f>
        <v>11.512138777400958</v>
      </c>
      <c r="J14" s="122"/>
      <c r="K14" s="298">
        <f t="shared" ref="K14:K45" si="4">+I14/60</f>
        <v>0.19186897962334931</v>
      </c>
      <c r="L14" s="341">
        <f t="shared" si="0"/>
        <v>42975.105330038932</v>
      </c>
      <c r="M14" s="95">
        <f t="shared" si="1"/>
        <v>42975.297199018554</v>
      </c>
      <c r="N14" s="5"/>
      <c r="O14" s="5"/>
      <c r="P14" s="47" t="str">
        <f t="shared" ref="P14:P45" si="5">+CONCATENATE(B14,C14)</f>
        <v>12504</v>
      </c>
      <c r="Q14" s="112">
        <f>VLOOKUP(P14,deuda!A$1:J$551,4,0)</f>
        <v>1</v>
      </c>
      <c r="R14" s="112">
        <f>VLOOKUP(P14,deuda!A$1:H$551,5,0)</f>
        <v>2</v>
      </c>
      <c r="S14" s="112" t="str">
        <f>IF(VLOOKUP(P14,deuda!A$1:H$551,6,0)=0,"",VLOOKUP(P14,deuda!A$1:H$551,6,0))</f>
        <v/>
      </c>
      <c r="T14" s="113" t="str">
        <f>IF((VLOOKUP(P14,deuda!A$1:H$551,7,0))=0,"",VLOOKUP(P14,deuda!A$1:H$551,7,0))</f>
        <v/>
      </c>
      <c r="U14" s="114" t="str">
        <f>IF((VLOOKUP(P14,deuda!A$1:H$551,8,0))=0,"",VLOOKUP(P14,deuda!A$1:H$551,8,0))</f>
        <v/>
      </c>
    </row>
    <row r="15" spans="1:21" ht="24" customHeight="1">
      <c r="A15" s="248">
        <v>2</v>
      </c>
      <c r="B15" s="5">
        <v>1250</v>
      </c>
      <c r="C15" s="179">
        <v>2</v>
      </c>
      <c r="D15" s="179">
        <v>2</v>
      </c>
      <c r="E15" s="20">
        <v>25.211400000000001</v>
      </c>
      <c r="F15" s="245" t="str">
        <f t="shared" si="2"/>
        <v>SI</v>
      </c>
      <c r="G15" s="392" t="s">
        <v>445</v>
      </c>
      <c r="H15" s="125">
        <f>IF(Hijuelas!$G$5="fracción",IF(F15="NO",0,IF(Hijuelas!$G$6="si",IF(D15=1,E15,E15*0.8),E15)),IF(F15="NO",0,IF(Hijuelas!$G$6="si",IF(D15=1,ROUNDUP(E15,0),ROUNDUP(E15*0.8,0)),ROUNDUP(E15,0))))</f>
        <v>20.169120000000003</v>
      </c>
      <c r="I15" s="122">
        <f t="shared" si="3"/>
        <v>18.451067416772084</v>
      </c>
      <c r="J15" s="122"/>
      <c r="K15" s="298">
        <f t="shared" si="4"/>
        <v>0.30751779027953474</v>
      </c>
      <c r="L15" s="341">
        <f t="shared" si="0"/>
        <v>42974.797812248653</v>
      </c>
      <c r="M15" s="95">
        <f t="shared" si="1"/>
        <v>42975.105330038932</v>
      </c>
      <c r="N15" s="5"/>
      <c r="O15" s="5"/>
      <c r="P15" s="47" t="str">
        <f t="shared" si="5"/>
        <v>12502</v>
      </c>
      <c r="Q15" s="112">
        <f>VLOOKUP(P15,deuda!A$1:J$551,4,0)</f>
        <v>1</v>
      </c>
      <c r="R15" s="112">
        <f>VLOOKUP(P15,deuda!A$1:H$551,5,0)</f>
        <v>2</v>
      </c>
      <c r="S15" s="112" t="str">
        <f>IF(VLOOKUP(P15,deuda!A$1:H$551,6,0)=0,"",VLOOKUP(P15,deuda!A$1:H$551,6,0))</f>
        <v/>
      </c>
      <c r="T15" s="113" t="str">
        <f>IF((VLOOKUP(P15,deuda!A$1:H$551,7,0))=0,"",VLOOKUP(P15,deuda!A$1:H$551,7,0))</f>
        <v/>
      </c>
      <c r="U15" s="114" t="str">
        <f>IF((VLOOKUP(P15,deuda!A$1:H$551,8,0))=0,"",VLOOKUP(P15,deuda!A$1:H$551,8,0))</f>
        <v/>
      </c>
    </row>
    <row r="16" spans="1:21" ht="24" customHeight="1">
      <c r="A16" s="248">
        <v>3</v>
      </c>
      <c r="B16" s="5">
        <v>1250</v>
      </c>
      <c r="C16" s="179">
        <v>6</v>
      </c>
      <c r="D16" s="179">
        <v>2</v>
      </c>
      <c r="E16" s="20">
        <v>22.534500000000001</v>
      </c>
      <c r="F16" s="245" t="str">
        <f t="shared" si="2"/>
        <v>SI</v>
      </c>
      <c r="G16" s="392" t="s">
        <v>446</v>
      </c>
      <c r="H16" s="125">
        <f>IF(Hijuelas!$G$5="fracción",IF(F16="NO",0,IF(Hijuelas!$G$6="si",IF(D16=1,E16,E16*0.8),E16)),IF(F16="NO",0,IF(Hijuelas!$G$6="si",IF(D16=1,ROUNDUP(E16,0),ROUNDUP(E16*0.8,0)),ROUNDUP(E16,0))))</f>
        <v>18.027600000000003</v>
      </c>
      <c r="I16" s="122">
        <f t="shared" si="3"/>
        <v>16.491967074547649</v>
      </c>
      <c r="J16" s="122"/>
      <c r="K16" s="298">
        <f t="shared" si="4"/>
        <v>0.27486611790912746</v>
      </c>
      <c r="L16" s="341">
        <f t="shared" si="0"/>
        <v>42974.522946130746</v>
      </c>
      <c r="M16" s="95">
        <f t="shared" si="1"/>
        <v>42974.797812248653</v>
      </c>
      <c r="N16" s="5"/>
      <c r="O16" s="5"/>
      <c r="P16" s="47" t="str">
        <f t="shared" si="5"/>
        <v>12506</v>
      </c>
      <c r="Q16" s="112">
        <f>VLOOKUP(P16,deuda!A$1:J$551,4,0)</f>
        <v>1</v>
      </c>
      <c r="R16" s="112">
        <f>VLOOKUP(P16,deuda!A$1:H$551,5,0)</f>
        <v>0</v>
      </c>
      <c r="S16" s="112" t="str">
        <f>IF(VLOOKUP(P16,deuda!A$1:H$551,6,0)=0,"",VLOOKUP(P16,deuda!A$1:H$551,6,0))</f>
        <v/>
      </c>
      <c r="T16" s="113" t="str">
        <f>IF((VLOOKUP(P16,deuda!A$1:H$551,7,0))=0,"",VLOOKUP(P16,deuda!A$1:H$551,7,0))</f>
        <v/>
      </c>
      <c r="U16" s="114" t="str">
        <f>IF((VLOOKUP(P16,deuda!A$1:H$551,8,0))=0,"",VLOOKUP(P16,deuda!A$1:H$551,8,0))</f>
        <v/>
      </c>
    </row>
    <row r="17" spans="1:21" ht="33" customHeight="1">
      <c r="A17" s="248">
        <v>3</v>
      </c>
      <c r="B17" s="5">
        <v>1250</v>
      </c>
      <c r="C17" s="179">
        <v>7</v>
      </c>
      <c r="D17" s="179">
        <v>2</v>
      </c>
      <c r="E17" s="20">
        <v>24.998899999999999</v>
      </c>
      <c r="F17" s="245" t="str">
        <f t="shared" si="2"/>
        <v>SI</v>
      </c>
      <c r="G17" s="392" t="s">
        <v>447</v>
      </c>
      <c r="H17" s="125">
        <f>IF(Hijuelas!$G$5="fracción",IF(F17="NO",0,IF(Hijuelas!$G$6="si",IF(D17=1,E17,E17*0.8),E17)),IF(F17="NO",0,IF(Hijuelas!$G$6="si",IF(D17=1,ROUNDUP(E17,0),ROUNDUP(E17*0.8,0)),ROUNDUP(E17,0))))</f>
        <v>19.999120000000001</v>
      </c>
      <c r="I17" s="122">
        <f t="shared" si="3"/>
        <v>18.295548412430236</v>
      </c>
      <c r="J17" s="122"/>
      <c r="K17" s="298">
        <f t="shared" si="4"/>
        <v>0.30492580687383725</v>
      </c>
      <c r="L17" s="341">
        <f>+M83</f>
        <v>42974.218020323875</v>
      </c>
      <c r="M17" s="95">
        <f t="shared" si="1"/>
        <v>42974.522946130746</v>
      </c>
      <c r="N17" s="5"/>
      <c r="O17" s="5"/>
      <c r="P17" s="47" t="str">
        <f t="shared" si="5"/>
        <v>12507</v>
      </c>
      <c r="Q17" s="112">
        <f>VLOOKUP(P17,deuda!A$1:J$551,4,0)</f>
        <v>1</v>
      </c>
      <c r="R17" s="112">
        <f>VLOOKUP(P17,deuda!A$1:H$551,5,0)</f>
        <v>2</v>
      </c>
      <c r="S17" s="112" t="str">
        <f>IF(VLOOKUP(P17,deuda!A$1:H$551,6,0)=0,"",VLOOKUP(P17,deuda!A$1:H$551,6,0))</f>
        <v/>
      </c>
      <c r="T17" s="113" t="str">
        <f>IF((VLOOKUP(P17,deuda!A$1:H$551,7,0))=0,"",VLOOKUP(P17,deuda!A$1:H$551,7,0))</f>
        <v/>
      </c>
      <c r="U17" s="114" t="str">
        <f>IF((VLOOKUP(P17,deuda!A$1:H$551,8,0))=0,"",VLOOKUP(P17,deuda!A$1:H$551,8,0))</f>
        <v/>
      </c>
    </row>
    <row r="26" spans="1:21" ht="24.95" customHeight="1">
      <c r="A26" s="605">
        <v>6</v>
      </c>
      <c r="B26" s="5">
        <v>1250</v>
      </c>
      <c r="C26" s="179">
        <v>14</v>
      </c>
      <c r="D26" s="179">
        <v>2</v>
      </c>
      <c r="E26" s="20">
        <v>3.0205000000000002</v>
      </c>
      <c r="F26" s="245" t="str">
        <f t="shared" si="2"/>
        <v>SI</v>
      </c>
      <c r="G26" s="392" t="s">
        <v>448</v>
      </c>
      <c r="H26" s="125">
        <f>IF(Hijuelas!$G$5="fracción",IF(F26="NO",0,IF(Hijuelas!$G$6="si",IF(D26=1,E26,E26*0.8),E26)),IF(F26="NO",0,IF(Hijuelas!$G$6="si",IF(D26=1,ROUNDUP(E26,0),ROUNDUP(E26*0.8,0)),ROUNDUP(E26,0))))</f>
        <v>2.4164000000000003</v>
      </c>
      <c r="I26" s="122">
        <f t="shared" si="3"/>
        <v>2.2105654240684802</v>
      </c>
      <c r="J26" s="526">
        <v>0</v>
      </c>
      <c r="K26" s="298">
        <f t="shared" si="4"/>
        <v>3.6842757067808006E-2</v>
      </c>
      <c r="L26" s="341">
        <f t="shared" si="0"/>
        <v>42976.31934589809</v>
      </c>
      <c r="M26" s="95">
        <f t="shared" si="1"/>
        <v>42976.356188655154</v>
      </c>
      <c r="N26" s="95"/>
      <c r="O26" s="5"/>
      <c r="P26" s="47" t="str">
        <f>+CONCATENATE(B26,C26)</f>
        <v>125014</v>
      </c>
      <c r="Q26" s="112">
        <f>VLOOKUP(P26,deuda!A$1:J$551,4,0)</f>
        <v>1</v>
      </c>
      <c r="R26" s="112">
        <f>VLOOKUP(P26,deuda!A$1:H$551,5,0)</f>
        <v>0</v>
      </c>
      <c r="S26" s="112" t="str">
        <f>IF(VLOOKUP(P26,deuda!A$1:H$551,6,0)=0,"",VLOOKUP(P26,deuda!A$1:H$551,6,0))</f>
        <v/>
      </c>
      <c r="T26" s="113" t="str">
        <f>IF((VLOOKUP(P26,deuda!A$1:H$551,7,0))=0,"",VLOOKUP(P26,deuda!A$1:H$551,7,0))</f>
        <v/>
      </c>
      <c r="U26" s="114" t="str">
        <f>IF((VLOOKUP(P26,deuda!A$1:H$551,8,0))=0,"",VLOOKUP(P26,deuda!A$1:H$551,8,0))</f>
        <v/>
      </c>
    </row>
    <row r="27" spans="1:21" ht="24.95" customHeight="1">
      <c r="A27" s="248">
        <v>6</v>
      </c>
      <c r="B27" s="5">
        <v>1250</v>
      </c>
      <c r="C27" s="179">
        <v>33</v>
      </c>
      <c r="D27" s="179">
        <v>2</v>
      </c>
      <c r="E27" s="20">
        <v>1.7161999999999999</v>
      </c>
      <c r="F27" s="245" t="str">
        <f t="shared" si="2"/>
        <v>SI</v>
      </c>
      <c r="G27" s="392" t="s">
        <v>449</v>
      </c>
      <c r="H27" s="125">
        <f>IF(Hijuelas!$G$5="fracción",IF(F27="NO",0,IF(Hijuelas!$G$6="si",IF(D27=1,E27,E27*0.8),E27)),IF(F27="NO",0,IF(Hijuelas!$G$6="si",IF(D27=1,ROUNDUP(E27,0),ROUNDUP(E27*0.8,0)),ROUNDUP(E27,0))))</f>
        <v>1.37296</v>
      </c>
      <c r="I27" s="122">
        <f t="shared" si="3"/>
        <v>1.2560080717716686</v>
      </c>
      <c r="J27" s="514">
        <v>0</v>
      </c>
      <c r="K27" s="298">
        <f t="shared" si="4"/>
        <v>2.0933467862861144E-2</v>
      </c>
      <c r="L27" s="341">
        <f t="shared" si="0"/>
        <v>42976.298412430224</v>
      </c>
      <c r="M27" s="95">
        <f t="shared" si="1"/>
        <v>42976.31934589809</v>
      </c>
      <c r="N27" s="95"/>
      <c r="O27" s="5"/>
      <c r="P27" s="47" t="str">
        <f>+CONCATENATE(B27,C27)</f>
        <v>125033</v>
      </c>
      <c r="Q27" s="112">
        <f>VLOOKUP(P27,deuda!A$1:J$551,4,0)</f>
        <v>1</v>
      </c>
      <c r="R27" s="112">
        <f>VLOOKUP(P27,deuda!A$1:H$551,5,0)</f>
        <v>0</v>
      </c>
      <c r="S27" s="112" t="str">
        <f>IF(VLOOKUP(P27,deuda!A$1:H$551,6,0)=0,"",VLOOKUP(P27,deuda!A$1:H$551,6,0))</f>
        <v/>
      </c>
      <c r="T27" s="113" t="str">
        <f>IF((VLOOKUP(P27,deuda!A$1:H$551,7,0))=0,"",VLOOKUP(P27,deuda!A$1:H$551,7,0))</f>
        <v/>
      </c>
      <c r="U27" s="114" t="str">
        <f>IF((VLOOKUP(P27,deuda!A$1:H$551,8,0))=0,"",VLOOKUP(P27,deuda!A$1:H$551,8,0))</f>
        <v/>
      </c>
    </row>
    <row r="28" spans="1:21" ht="24.95" customHeight="1">
      <c r="A28" s="248">
        <v>7</v>
      </c>
      <c r="B28" s="5">
        <v>1250</v>
      </c>
      <c r="C28" s="179">
        <v>24</v>
      </c>
      <c r="D28" s="179">
        <v>2</v>
      </c>
      <c r="E28" s="20">
        <v>4.7210999999999999</v>
      </c>
      <c r="F28" s="245" t="str">
        <f t="shared" si="2"/>
        <v>SI</v>
      </c>
      <c r="G28" s="392" t="s">
        <v>450</v>
      </c>
      <c r="H28" s="125">
        <f>IF(Hijuelas!$G$5="fracción",IF(F28="NO",0,IF(Hijuelas!$G$6="si",IF(D28=1,E28,E28*0.8),E28)),IF(F28="NO",0,IF(Hijuelas!$G$6="si",IF(D28=1,ROUNDUP(E28,0),ROUNDUP(E28*0.8,0)),ROUNDUP(E28,0))))</f>
        <v>3.7768800000000002</v>
      </c>
      <c r="I28" s="122">
        <f t="shared" si="3"/>
        <v>3.4551565712861119</v>
      </c>
      <c r="J28" s="514">
        <v>0</v>
      </c>
      <c r="K28" s="298">
        <f t="shared" si="4"/>
        <v>5.7585942854768528E-2</v>
      </c>
      <c r="L28" s="341">
        <f t="shared" si="0"/>
        <v>42976.240826487367</v>
      </c>
      <c r="M28" s="95">
        <f t="shared" si="1"/>
        <v>42976.298412430224</v>
      </c>
      <c r="N28" s="95"/>
      <c r="O28" s="5"/>
      <c r="P28" s="47" t="str">
        <f>+CONCATENATE(B28,C28)</f>
        <v>125024</v>
      </c>
      <c r="Q28" s="112">
        <f>VLOOKUP(P28,deuda!A$1:J$551,4,0)</f>
        <v>1</v>
      </c>
      <c r="R28" s="112">
        <f>VLOOKUP(P28,deuda!A$1:H$551,5,0)</f>
        <v>1</v>
      </c>
      <c r="S28" s="112" t="str">
        <f>IF(VLOOKUP(P28,deuda!A$1:H$551,6,0)=0,"",VLOOKUP(P28,deuda!A$1:H$551,6,0))</f>
        <v/>
      </c>
      <c r="T28" s="113" t="str">
        <f>IF((VLOOKUP(P28,deuda!A$1:H$551,7,0))=0,"",VLOOKUP(P28,deuda!A$1:H$551,7,0))</f>
        <v/>
      </c>
      <c r="U28" s="114" t="str">
        <f>IF((VLOOKUP(P28,deuda!A$1:H$551,8,0))=0,"",VLOOKUP(P28,deuda!A$1:H$551,8,0))</f>
        <v/>
      </c>
    </row>
    <row r="29" spans="1:21" ht="24" customHeight="1">
      <c r="A29" s="248">
        <v>8</v>
      </c>
      <c r="B29" s="5">
        <v>1250</v>
      </c>
      <c r="C29" s="179">
        <v>32</v>
      </c>
      <c r="D29" s="179">
        <v>2</v>
      </c>
      <c r="E29" s="20">
        <v>28.147300000000001</v>
      </c>
      <c r="F29" s="245" t="str">
        <f t="shared" si="2"/>
        <v>SI</v>
      </c>
      <c r="G29" s="392" t="s">
        <v>451</v>
      </c>
      <c r="H29" s="125">
        <f>IF(Hijuelas!$G$5="fracción",IF(F29="NO",0,IF(Hijuelas!$G$6="si",IF(D29=1,E29,E29*0.8),E29)),IF(F29="NO",0,IF(Hijuelas!$G$6="si",IF(D29=1,ROUNDUP(E29,0),ROUNDUP(E29*0.8,0)),ROUNDUP(E29,0))))</f>
        <v>22.517840000000003</v>
      </c>
      <c r="I29" s="122">
        <f t="shared" si="3"/>
        <v>20.599717980759056</v>
      </c>
      <c r="J29" s="122"/>
      <c r="K29" s="298">
        <f t="shared" si="4"/>
        <v>0.34332863301265093</v>
      </c>
      <c r="L29" s="341">
        <f t="shared" si="0"/>
        <v>42975.897497854356</v>
      </c>
      <c r="M29" s="95">
        <f t="shared" si="1"/>
        <v>42976.240826487367</v>
      </c>
      <c r="N29" s="5"/>
      <c r="O29" s="5"/>
      <c r="P29" s="47" t="str">
        <f t="shared" si="5"/>
        <v>125032</v>
      </c>
      <c r="Q29" s="112">
        <f>VLOOKUP(P29,deuda!A$1:J$551,4,0)</f>
        <v>1</v>
      </c>
      <c r="R29" s="112">
        <f>VLOOKUP(P29,deuda!A$1:H$551,5,0)</f>
        <v>1</v>
      </c>
      <c r="S29" s="112" t="str">
        <f>IF(VLOOKUP(P29,deuda!A$1:H$551,6,0)=0,"",VLOOKUP(P29,deuda!A$1:H$551,6,0))</f>
        <v/>
      </c>
      <c r="T29" s="113" t="str">
        <f>IF((VLOOKUP(P29,deuda!A$1:H$551,7,0))=0,"",VLOOKUP(P29,deuda!A$1:H$551,7,0))</f>
        <v/>
      </c>
      <c r="U29" s="114" t="str">
        <f>IF((VLOOKUP(P29,deuda!A$1:H$551,8,0))=0,"",VLOOKUP(P29,deuda!A$1:H$551,8,0))</f>
        <v/>
      </c>
    </row>
    <row r="30" spans="1:21" ht="24" customHeight="1">
      <c r="A30" s="248">
        <v>8</v>
      </c>
      <c r="B30" s="5">
        <v>1250</v>
      </c>
      <c r="C30" s="179">
        <v>26</v>
      </c>
      <c r="D30" s="179">
        <v>2</v>
      </c>
      <c r="E30" s="20">
        <v>9.9772999999999996</v>
      </c>
      <c r="F30" s="245" t="str">
        <f t="shared" si="2"/>
        <v>SI</v>
      </c>
      <c r="G30" s="392" t="s">
        <v>452</v>
      </c>
      <c r="H30" s="125">
        <f>IF(Hijuelas!$G$5="fracción",IF(F30="NO",0,IF(Hijuelas!$G$6="si",IF(D30=1,E30,E30*0.8),E30)),IF(F30="NO",0,IF(Hijuelas!$G$6="si",IF(D30=1,ROUNDUP(E30,0),ROUNDUP(E30*0.8,0)),ROUNDUP(E30,0))))</f>
        <v>7.98184</v>
      </c>
      <c r="I30" s="122">
        <f t="shared" si="3"/>
        <v>7.3019282918584487</v>
      </c>
      <c r="J30" s="122"/>
      <c r="K30" s="298">
        <f t="shared" si="4"/>
        <v>0.12169880486430748</v>
      </c>
      <c r="L30" s="341">
        <f t="shared" si="0"/>
        <v>42975.775799049494</v>
      </c>
      <c r="M30" s="95">
        <f t="shared" si="1"/>
        <v>42975.897497854356</v>
      </c>
      <c r="N30" s="5"/>
      <c r="O30" s="5"/>
      <c r="P30" s="47" t="str">
        <f t="shared" si="5"/>
        <v>125026</v>
      </c>
      <c r="Q30" s="112">
        <f>VLOOKUP(P30,deuda!A$1:J$551,4,0)</f>
        <v>1</v>
      </c>
      <c r="R30" s="112">
        <f>VLOOKUP(P30,deuda!A$1:H$551,5,0)</f>
        <v>0</v>
      </c>
      <c r="S30" s="112" t="str">
        <f>IF(VLOOKUP(P30,deuda!A$1:H$551,6,0)=0,"",VLOOKUP(P30,deuda!A$1:H$551,6,0))</f>
        <v/>
      </c>
      <c r="T30" s="113" t="str">
        <f>IF((VLOOKUP(P30,deuda!A$1:H$551,7,0))=0,"",VLOOKUP(P30,deuda!A$1:H$551,7,0))</f>
        <v/>
      </c>
      <c r="U30" s="114" t="str">
        <f>IF((VLOOKUP(P30,deuda!A$1:H$551,8,0))=0,"",VLOOKUP(P30,deuda!A$1:H$551,8,0))</f>
        <v/>
      </c>
    </row>
    <row r="31" spans="1:21" ht="38.25">
      <c r="A31" s="248">
        <v>9</v>
      </c>
      <c r="B31" s="5">
        <v>1250</v>
      </c>
      <c r="C31" s="594">
        <v>8</v>
      </c>
      <c r="D31" s="179">
        <v>2</v>
      </c>
      <c r="E31" s="20">
        <v>50</v>
      </c>
      <c r="F31" s="245" t="str">
        <f t="shared" si="2"/>
        <v>SI</v>
      </c>
      <c r="G31" s="392" t="s">
        <v>453</v>
      </c>
      <c r="H31" s="125">
        <f>IF(Hijuelas!$G$5="fracción",IF(F31="NO",0,IF(Hijuelas!$G$6="si",IF(D31=1,E31,E31*0.8),E31)),IF(F31="NO",0,IF(Hijuelas!$G$6="si",IF(D31=1,ROUNDUP(E31,0),ROUNDUP(E31*0.8,0)),ROUNDUP(E31,0))))</f>
        <v>40</v>
      </c>
      <c r="I31" s="122">
        <f t="shared" si="3"/>
        <v>36.592706903964242</v>
      </c>
      <c r="J31" s="122"/>
      <c r="K31" s="298">
        <f t="shared" si="4"/>
        <v>0.60987844839940408</v>
      </c>
      <c r="L31" s="341">
        <f t="shared" si="0"/>
        <v>42975.165920601095</v>
      </c>
      <c r="M31" s="95">
        <f t="shared" si="1"/>
        <v>42975.775799049494</v>
      </c>
      <c r="N31" s="5"/>
      <c r="O31" s="5"/>
      <c r="P31" s="47" t="str">
        <f t="shared" si="5"/>
        <v>12508</v>
      </c>
      <c r="Q31" s="112">
        <f>VLOOKUP(P31,deuda!A$1:J$551,4,0)</f>
        <v>1</v>
      </c>
      <c r="R31" s="112">
        <f>VLOOKUP(P31,deuda!A$1:H$551,5,0)</f>
        <v>0</v>
      </c>
      <c r="S31" s="112" t="str">
        <f>IF(VLOOKUP(P31,deuda!A$1:H$551,6,0)=0,"",VLOOKUP(P31,deuda!A$1:H$551,6,0))</f>
        <v/>
      </c>
      <c r="T31" s="113" t="str">
        <f>IF((VLOOKUP(P31,deuda!A$1:H$551,7,0))=0,"",VLOOKUP(P31,deuda!A$1:H$551,7,0))</f>
        <v/>
      </c>
      <c r="U31" s="114" t="str">
        <f>IF((VLOOKUP(P31,deuda!A$1:H$551,8,0))=0,"",VLOOKUP(P31,deuda!A$1:H$551,8,0))</f>
        <v/>
      </c>
    </row>
    <row r="32" spans="1:21" ht="24" customHeight="1">
      <c r="A32" s="248">
        <v>9</v>
      </c>
      <c r="B32" s="5">
        <v>1250</v>
      </c>
      <c r="C32" s="179">
        <v>1</v>
      </c>
      <c r="D32" s="179">
        <v>2</v>
      </c>
      <c r="E32" s="20">
        <v>50</v>
      </c>
      <c r="F32" s="245" t="str">
        <f t="shared" si="2"/>
        <v>SI</v>
      </c>
      <c r="G32" s="392" t="s">
        <v>454</v>
      </c>
      <c r="H32" s="125">
        <f>IF(Hijuelas!$G$5="fracción",IF(F32="NO",0,IF(Hijuelas!$G$6="si",IF(D32=1,E32,E32*0.8),E32)),IF(F32="NO",0,IF(Hijuelas!$G$6="si",IF(D32=1,ROUNDUP(E32,0),ROUNDUP(E32*0.8,0)),ROUNDUP(E32,0))))</f>
        <v>40</v>
      </c>
      <c r="I32" s="122">
        <f t="shared" si="3"/>
        <v>36.592706903964242</v>
      </c>
      <c r="J32" s="122"/>
      <c r="K32" s="298">
        <f t="shared" si="4"/>
        <v>0.60987844839940408</v>
      </c>
      <c r="L32" s="341">
        <f t="shared" si="0"/>
        <v>42974.556042152697</v>
      </c>
      <c r="M32" s="95">
        <f t="shared" si="1"/>
        <v>42975.165920601095</v>
      </c>
      <c r="N32" s="5"/>
      <c r="O32" s="5"/>
      <c r="P32" s="47" t="str">
        <f t="shared" si="5"/>
        <v>12501</v>
      </c>
      <c r="Q32" s="112">
        <f>VLOOKUP(P32,deuda!A$1:J$551,4,0)</f>
        <v>1</v>
      </c>
      <c r="R32" s="112">
        <f>VLOOKUP(P32,deuda!A$1:H$551,5,0)</f>
        <v>1</v>
      </c>
      <c r="S32" s="112" t="str">
        <f>IF(VLOOKUP(P32,deuda!A$1:H$551,6,0)=0,"",VLOOKUP(P32,deuda!A$1:H$551,6,0))</f>
        <v/>
      </c>
      <c r="T32" s="113" t="str">
        <f>IF((VLOOKUP(P32,deuda!A$1:H$551,7,0))=0,"",VLOOKUP(P32,deuda!A$1:H$551,7,0))</f>
        <v/>
      </c>
      <c r="U32" s="114" t="str">
        <f>IF((VLOOKUP(P32,deuda!A$1:H$551,8,0))=0,"",VLOOKUP(P32,deuda!A$1:H$551,8,0))</f>
        <v/>
      </c>
    </row>
    <row r="33" spans="1:21" ht="24" customHeight="1">
      <c r="A33" s="248">
        <v>10</v>
      </c>
      <c r="B33" s="5">
        <v>1250</v>
      </c>
      <c r="C33" s="179">
        <v>25</v>
      </c>
      <c r="D33" s="179">
        <v>2</v>
      </c>
      <c r="E33" s="20">
        <v>1</v>
      </c>
      <c r="F33" s="245" t="str">
        <f t="shared" si="2"/>
        <v>SI</v>
      </c>
      <c r="G33" s="392" t="s">
        <v>455</v>
      </c>
      <c r="H33" s="125">
        <f>IF(Hijuelas!$G$5="fracción",IF(F33="NO",0,IF(Hijuelas!$G$6="si",IF(D33=1,E33,E33*0.8),E33)),IF(F33="NO",0,IF(Hijuelas!$G$6="si",IF(D33=1,ROUNDUP(E33,0),ROUNDUP(E33*0.8,0)),ROUNDUP(E33,0))))</f>
        <v>0.8</v>
      </c>
      <c r="I33" s="122">
        <f t="shared" si="3"/>
        <v>0.7318541380792849</v>
      </c>
      <c r="J33" s="526">
        <v>4.1666666666666664E-2</v>
      </c>
      <c r="K33" s="298">
        <f t="shared" si="4"/>
        <v>1.2197568967988081E-2</v>
      </c>
      <c r="L33" s="341">
        <f t="shared" si="0"/>
        <v>42974.502177917064</v>
      </c>
      <c r="M33" s="95">
        <f t="shared" si="1"/>
        <v>42974.556042152697</v>
      </c>
      <c r="N33" s="539"/>
      <c r="O33" s="5"/>
      <c r="P33" s="47" t="str">
        <f t="shared" si="5"/>
        <v>125025</v>
      </c>
      <c r="Q33" s="112">
        <f>VLOOKUP(P33,deuda!A$1:J$551,4,0)</f>
        <v>1</v>
      </c>
      <c r="R33" s="112">
        <f>VLOOKUP(P33,deuda!A$1:H$551,5,0)</f>
        <v>0</v>
      </c>
      <c r="S33" s="112" t="str">
        <f>IF(VLOOKUP(P33,deuda!A$1:H$551,6,0)=0,"",VLOOKUP(P33,deuda!A$1:H$551,6,0))</f>
        <v/>
      </c>
      <c r="T33" s="113" t="str">
        <f>IF((VLOOKUP(P33,deuda!A$1:H$551,7,0))=0,"",VLOOKUP(P33,deuda!A$1:H$551,7,0))</f>
        <v/>
      </c>
      <c r="U33" s="114" t="str">
        <f>IF((VLOOKUP(P33,deuda!A$1:H$551,8,0))=0,"",VLOOKUP(P33,deuda!A$1:H$551,8,0))</f>
        <v/>
      </c>
    </row>
    <row r="34" spans="1:21" ht="24" customHeight="1">
      <c r="A34" s="248">
        <v>10</v>
      </c>
      <c r="B34" s="5">
        <v>1250</v>
      </c>
      <c r="C34" s="179">
        <v>27</v>
      </c>
      <c r="D34" s="179">
        <v>1</v>
      </c>
      <c r="E34" s="20">
        <v>1.0055000000000001</v>
      </c>
      <c r="F34" s="245" t="str">
        <f t="shared" si="2"/>
        <v>SI</v>
      </c>
      <c r="G34" s="392" t="s">
        <v>456</v>
      </c>
      <c r="H34" s="125">
        <f>IF(Hijuelas!$G$5="fracción",IF(F34="NO",0,IF(Hijuelas!$G$6="si",IF(D34=1,E34,E34*0.8),E34)),IF(F34="NO",0,IF(Hijuelas!$G$6="si",IF(D34=1,ROUNDUP(E34,0),ROUNDUP(E34*0.8,0)),ROUNDUP(E34,0))))</f>
        <v>1.0055000000000001</v>
      </c>
      <c r="I34" s="122">
        <f t="shared" si="3"/>
        <v>0.91984916979840126</v>
      </c>
      <c r="J34" s="526"/>
      <c r="K34" s="298">
        <f t="shared" si="4"/>
        <v>1.5330819496640022E-2</v>
      </c>
      <c r="L34" s="341">
        <f t="shared" si="0"/>
        <v>42974.486847097571</v>
      </c>
      <c r="M34" s="95">
        <f t="shared" si="1"/>
        <v>42974.502177917064</v>
      </c>
      <c r="N34" s="5"/>
      <c r="O34" s="5"/>
      <c r="P34" s="47" t="str">
        <f t="shared" si="5"/>
        <v>125027</v>
      </c>
      <c r="Q34" s="112">
        <f>VLOOKUP(P34,deuda!A$1:J$551,4,0)</f>
        <v>1</v>
      </c>
      <c r="R34" s="112">
        <f>VLOOKUP(P34,deuda!A$1:H$551,5,0)</f>
        <v>0</v>
      </c>
      <c r="S34" s="112" t="str">
        <f>IF(VLOOKUP(P34,deuda!A$1:H$551,6,0)=0,"",VLOOKUP(P34,deuda!A$1:H$551,6,0))</f>
        <v/>
      </c>
      <c r="T34" s="113" t="str">
        <f>IF((VLOOKUP(P34,deuda!A$1:H$551,7,0))=0,"",VLOOKUP(P34,deuda!A$1:H$551,7,0))</f>
        <v/>
      </c>
      <c r="U34" s="114" t="str">
        <f>IF((VLOOKUP(P34,deuda!A$1:H$551,8,0))=0,"",VLOOKUP(P34,deuda!A$1:H$551,8,0))</f>
        <v/>
      </c>
    </row>
    <row r="35" spans="1:21" ht="24" customHeight="1">
      <c r="A35" s="248">
        <v>10</v>
      </c>
      <c r="B35" s="5">
        <v>1250</v>
      </c>
      <c r="C35" s="179">
        <v>13</v>
      </c>
      <c r="D35" s="179">
        <v>1</v>
      </c>
      <c r="E35" s="20">
        <v>1.0055000000000001</v>
      </c>
      <c r="F35" s="245" t="str">
        <f t="shared" si="2"/>
        <v>SI</v>
      </c>
      <c r="G35" s="392" t="s">
        <v>455</v>
      </c>
      <c r="H35" s="125">
        <f>IF(Hijuelas!$G$5="fracción",IF(F35="NO",0,IF(Hijuelas!$G$6="si",IF(D35=1,E35,E35*0.8),E35)),IF(F35="NO",0,IF(Hijuelas!$G$6="si",IF(D35=1,ROUNDUP(E35,0),ROUNDUP(E35*0.8,0)),ROUNDUP(E35,0))))</f>
        <v>1.0055000000000001</v>
      </c>
      <c r="I35" s="122">
        <f t="shared" si="3"/>
        <v>0.91984916979840126</v>
      </c>
      <c r="J35" s="526"/>
      <c r="K35" s="298">
        <f t="shared" si="4"/>
        <v>1.5330819496640022E-2</v>
      </c>
      <c r="L35" s="341">
        <f t="shared" si="0"/>
        <v>42974.471516278078</v>
      </c>
      <c r="M35" s="95">
        <f t="shared" si="1"/>
        <v>42974.486847097571</v>
      </c>
      <c r="N35" s="5"/>
      <c r="O35" s="5"/>
      <c r="P35" s="47" t="str">
        <f t="shared" si="5"/>
        <v>125013</v>
      </c>
      <c r="Q35" s="112">
        <f>VLOOKUP(P35,deuda!A$1:J$551,4,0)</f>
        <v>1</v>
      </c>
      <c r="R35" s="112">
        <f>VLOOKUP(P35,deuda!A$1:H$551,5,0)</f>
        <v>0</v>
      </c>
      <c r="S35" s="112" t="str">
        <f>IF(VLOOKUP(P35,deuda!A$1:H$551,6,0)=0,"",VLOOKUP(P35,deuda!A$1:H$551,6,0))</f>
        <v/>
      </c>
      <c r="T35" s="113" t="str">
        <f>IF((VLOOKUP(P35,deuda!A$1:H$551,7,0))=0,"",VLOOKUP(P35,deuda!A$1:H$551,7,0))</f>
        <v/>
      </c>
      <c r="U35" s="114" t="str">
        <f>IF((VLOOKUP(P35,deuda!A$1:H$551,8,0))=0,"",VLOOKUP(P35,deuda!A$1:H$551,8,0))</f>
        <v/>
      </c>
    </row>
    <row r="36" spans="1:21" ht="24" customHeight="1">
      <c r="A36" s="248">
        <v>10</v>
      </c>
      <c r="B36" s="5">
        <v>1250</v>
      </c>
      <c r="C36" s="179">
        <v>31</v>
      </c>
      <c r="D36" s="179">
        <v>1</v>
      </c>
      <c r="E36" s="20">
        <v>4.1009000000000002</v>
      </c>
      <c r="F36" s="245" t="str">
        <f t="shared" si="2"/>
        <v>SI</v>
      </c>
      <c r="G36" s="392" t="s">
        <v>456</v>
      </c>
      <c r="H36" s="125">
        <f>IF(Hijuelas!$G$5="fracción",IF(F36="NO",0,IF(Hijuelas!$G$6="si",IF(D36=1,E36,E36*0.8),E36)),IF(F36="NO",0,IF(Hijuelas!$G$6="si",IF(D36=1,ROUNDUP(E36,0),ROUNDUP(E36*0.8,0)),ROUNDUP(E36,0))))</f>
        <v>4.1009000000000002</v>
      </c>
      <c r="I36" s="122">
        <f t="shared" si="3"/>
        <v>3.7515757935616745</v>
      </c>
      <c r="J36" s="526"/>
      <c r="K36" s="298">
        <f t="shared" si="4"/>
        <v>6.2526263226027903E-2</v>
      </c>
      <c r="L36" s="341">
        <f t="shared" si="0"/>
        <v>42974.408990014854</v>
      </c>
      <c r="M36" s="95">
        <f t="shared" si="1"/>
        <v>42974.471516278078</v>
      </c>
      <c r="N36" s="5"/>
      <c r="O36" s="5"/>
      <c r="P36" s="47" t="str">
        <f t="shared" si="5"/>
        <v>125031</v>
      </c>
      <c r="Q36" s="112">
        <f>VLOOKUP(P36,deuda!A$1:J$551,4,0)</f>
        <v>1</v>
      </c>
      <c r="R36" s="112">
        <f>VLOOKUP(P36,deuda!A$1:H$551,5,0)</f>
        <v>0</v>
      </c>
      <c r="S36" s="112" t="str">
        <f>IF(VLOOKUP(P36,deuda!A$1:H$551,6,0)=0,"",VLOOKUP(P36,deuda!A$1:H$551,6,0))</f>
        <v/>
      </c>
      <c r="T36" s="113" t="str">
        <f>IF((VLOOKUP(P36,deuda!A$1:H$551,7,0))=0,"",VLOOKUP(P36,deuda!A$1:H$551,7,0))</f>
        <v/>
      </c>
      <c r="U36" s="114" t="str">
        <f>IF((VLOOKUP(P36,deuda!A$1:H$551,8,0))=0,"",VLOOKUP(P36,deuda!A$1:H$551,8,0))</f>
        <v/>
      </c>
    </row>
    <row r="37" spans="1:21" ht="24" customHeight="1">
      <c r="A37" s="248">
        <v>11</v>
      </c>
      <c r="B37" s="5">
        <v>1250</v>
      </c>
      <c r="C37" s="179">
        <v>19</v>
      </c>
      <c r="D37" s="179">
        <v>2</v>
      </c>
      <c r="E37" s="20">
        <v>1.339</v>
      </c>
      <c r="F37" s="245" t="str">
        <f t="shared" si="2"/>
        <v>SI</v>
      </c>
      <c r="G37" s="392" t="s">
        <v>457</v>
      </c>
      <c r="H37" s="125">
        <f>IF(Hijuelas!$G$5="fracción",IF(F37="NO",0,IF(Hijuelas!$G$6="si",IF(D37=1,E37,E37*0.8),E37)),IF(F37="NO",0,IF(Hijuelas!$G$6="si",IF(D37=1,ROUNDUP(E37,0),ROUNDUP(E37*0.8,0)),ROUNDUP(E37,0))))</f>
        <v>1.0711999999999999</v>
      </c>
      <c r="I37" s="122">
        <f t="shared" si="3"/>
        <v>0.97995269088816239</v>
      </c>
      <c r="J37" s="526">
        <v>0</v>
      </c>
      <c r="K37" s="298">
        <f t="shared" si="4"/>
        <v>1.6332544848136041E-2</v>
      </c>
      <c r="L37" s="341">
        <f t="shared" si="0"/>
        <v>42974.392657470009</v>
      </c>
      <c r="M37" s="95">
        <f t="shared" si="1"/>
        <v>42974.408990014854</v>
      </c>
      <c r="N37" s="5"/>
      <c r="O37" s="5"/>
      <c r="P37" s="47" t="str">
        <f t="shared" si="5"/>
        <v>125019</v>
      </c>
      <c r="Q37" s="112">
        <f>VLOOKUP(P37,deuda!A$1:J$551,4,0)</f>
        <v>1</v>
      </c>
      <c r="R37" s="112">
        <f>VLOOKUP(P37,deuda!A$1:H$551,5,0)</f>
        <v>0</v>
      </c>
      <c r="S37" s="112" t="str">
        <f>IF(VLOOKUP(P37,deuda!A$1:H$551,6,0)=0,"",VLOOKUP(P37,deuda!A$1:H$551,6,0))</f>
        <v/>
      </c>
      <c r="T37" s="113" t="str">
        <f>IF((VLOOKUP(P37,deuda!A$1:H$551,7,0))=0,"",VLOOKUP(P37,deuda!A$1:H$551,7,0))</f>
        <v/>
      </c>
      <c r="U37" s="114" t="str">
        <f>IF((VLOOKUP(P37,deuda!A$1:H$551,8,0))=0,"",VLOOKUP(P37,deuda!A$1:H$551,8,0))</f>
        <v/>
      </c>
    </row>
    <row r="38" spans="1:21" ht="24" customHeight="1">
      <c r="A38" s="248">
        <v>11</v>
      </c>
      <c r="B38" s="5">
        <v>1250</v>
      </c>
      <c r="C38" s="179">
        <v>28</v>
      </c>
      <c r="D38" s="179">
        <v>1</v>
      </c>
      <c r="E38" s="20">
        <v>2.0358999999999998</v>
      </c>
      <c r="F38" s="245" t="str">
        <f t="shared" si="2"/>
        <v>SI</v>
      </c>
      <c r="G38" s="392" t="s">
        <v>456</v>
      </c>
      <c r="H38" s="125">
        <f>IF(Hijuelas!$G$5="fracción",IF(F38="NO",0,IF(Hijuelas!$G$6="si",IF(D38=1,E38,E38*0.8),E38)),IF(F38="NO",0,IF(Hijuelas!$G$6="si",IF(D38=1,ROUNDUP(E38,0),ROUNDUP(E38*0.8,0)),ROUNDUP(E38,0))))</f>
        <v>2.0358999999999998</v>
      </c>
      <c r="I38" s="122">
        <f t="shared" si="3"/>
        <v>1.8624772996445198</v>
      </c>
      <c r="J38" s="122"/>
      <c r="K38" s="298">
        <f t="shared" si="4"/>
        <v>3.1041288327408663E-2</v>
      </c>
      <c r="L38" s="341">
        <f t="shared" si="0"/>
        <v>42974.361616181683</v>
      </c>
      <c r="M38" s="95">
        <f t="shared" si="1"/>
        <v>42974.392657470009</v>
      </c>
      <c r="N38" s="5"/>
      <c r="O38" s="5"/>
      <c r="P38" s="47" t="str">
        <f t="shared" si="5"/>
        <v>125028</v>
      </c>
      <c r="Q38" s="112">
        <f>VLOOKUP(P38,deuda!A$1:J$551,4,0)</f>
        <v>1</v>
      </c>
      <c r="R38" s="112">
        <f>VLOOKUP(P38,deuda!A$1:H$551,5,0)</f>
        <v>0</v>
      </c>
      <c r="S38" s="112" t="str">
        <f>IF(VLOOKUP(P38,deuda!A$1:H$551,6,0)=0,"",VLOOKUP(P38,deuda!A$1:H$551,6,0))</f>
        <v/>
      </c>
      <c r="T38" s="113" t="str">
        <f>IF((VLOOKUP(P38,deuda!A$1:H$551,7,0))=0,"",VLOOKUP(P38,deuda!A$1:H$551,7,0))</f>
        <v/>
      </c>
      <c r="U38" s="114" t="str">
        <f>IF((VLOOKUP(P38,deuda!A$1:H$551,8,0))=0,"",VLOOKUP(P38,deuda!A$1:H$551,8,0))</f>
        <v/>
      </c>
    </row>
    <row r="39" spans="1:21" ht="24" customHeight="1">
      <c r="A39" s="248">
        <v>11</v>
      </c>
      <c r="B39" s="5">
        <v>1250</v>
      </c>
      <c r="C39" s="179">
        <v>29</v>
      </c>
      <c r="D39" s="179">
        <v>1</v>
      </c>
      <c r="E39" s="20">
        <v>1.8707</v>
      </c>
      <c r="F39" s="245" t="str">
        <f t="shared" si="2"/>
        <v>SI</v>
      </c>
      <c r="G39" s="392" t="s">
        <v>456</v>
      </c>
      <c r="H39" s="125">
        <f>IF(Hijuelas!$G$5="fracción",IF(F39="NO",0,IF(Hijuelas!$G$6="si",IF(D39=1,E39,E39*0.8),E39)),IF(F39="NO",0,IF(Hijuelas!$G$6="si",IF(D39=1,ROUNDUP(E39,0),ROUNDUP(E39*0.8,0)),ROUNDUP(E39,0))))</f>
        <v>1.8707</v>
      </c>
      <c r="I39" s="122">
        <f t="shared" si="3"/>
        <v>1.7113494201311477</v>
      </c>
      <c r="J39" s="122"/>
      <c r="K39" s="298">
        <f t="shared" si="4"/>
        <v>2.8522490335519127E-2</v>
      </c>
      <c r="L39" s="341">
        <f t="shared" si="0"/>
        <v>42974.333093691348</v>
      </c>
      <c r="M39" s="95">
        <f t="shared" si="1"/>
        <v>42974.361616181683</v>
      </c>
      <c r="N39" s="5"/>
      <c r="O39" s="5"/>
      <c r="P39" s="47" t="str">
        <f t="shared" si="5"/>
        <v>125029</v>
      </c>
      <c r="Q39" s="112">
        <f>VLOOKUP(P39,deuda!A$1:J$551,4,0)</f>
        <v>1</v>
      </c>
      <c r="R39" s="112">
        <f>VLOOKUP(P39,deuda!A$1:H$551,5,0)</f>
        <v>0</v>
      </c>
      <c r="S39" s="112" t="str">
        <f>IF(VLOOKUP(P39,deuda!A$1:H$551,6,0)=0,"",VLOOKUP(P39,deuda!A$1:H$551,6,0))</f>
        <v/>
      </c>
      <c r="T39" s="113" t="str">
        <f>IF((VLOOKUP(P39,deuda!A$1:H$551,7,0))=0,"",VLOOKUP(P39,deuda!A$1:H$551,7,0))</f>
        <v/>
      </c>
      <c r="U39" s="114" t="str">
        <f>IF((VLOOKUP(P39,deuda!A$1:H$551,8,0))=0,"",VLOOKUP(P39,deuda!A$1:H$551,8,0))</f>
        <v/>
      </c>
    </row>
    <row r="40" spans="1:21" ht="24" customHeight="1">
      <c r="A40" s="248">
        <v>11</v>
      </c>
      <c r="B40" s="5">
        <v>1250</v>
      </c>
      <c r="C40" s="179">
        <v>30</v>
      </c>
      <c r="D40" s="179">
        <v>1</v>
      </c>
      <c r="E40" s="20">
        <v>2.2315</v>
      </c>
      <c r="F40" s="245" t="str">
        <f t="shared" si="2"/>
        <v>SI</v>
      </c>
      <c r="G40" s="392" t="s">
        <v>456</v>
      </c>
      <c r="H40" s="125">
        <f>IF(Hijuelas!$G$5="fracción",IF(F40="NO",0,IF(Hijuelas!$G$6="si",IF(D40=1,E40,E40*0.8),E40)),IF(F40="NO",0,IF(Hijuelas!$G$6="si",IF(D40=1,ROUNDUP(E40,0),ROUNDUP(E40*0.8,0)),ROUNDUP(E40,0))))</f>
        <v>2.2315</v>
      </c>
      <c r="I40" s="122">
        <f t="shared" si="3"/>
        <v>2.0414156364049054</v>
      </c>
      <c r="J40" s="122"/>
      <c r="K40" s="298">
        <f t="shared" si="4"/>
        <v>3.402359394008176E-2</v>
      </c>
      <c r="L40" s="341">
        <f t="shared" si="0"/>
        <v>42974.299070097411</v>
      </c>
      <c r="M40" s="95">
        <f t="shared" si="1"/>
        <v>42974.333093691348</v>
      </c>
      <c r="N40" s="5"/>
      <c r="O40" s="5"/>
      <c r="P40" s="47" t="str">
        <f t="shared" si="5"/>
        <v>125030</v>
      </c>
      <c r="Q40" s="112">
        <f>VLOOKUP(P40,deuda!A$1:J$551,4,0)</f>
        <v>1</v>
      </c>
      <c r="R40" s="112">
        <f>VLOOKUP(P40,deuda!A$1:H$551,5,0)</f>
        <v>0</v>
      </c>
      <c r="S40" s="112" t="str">
        <f>IF(VLOOKUP(P40,deuda!A$1:H$551,6,0)=0,"",VLOOKUP(P40,deuda!A$1:H$551,6,0))</f>
        <v/>
      </c>
      <c r="T40" s="113" t="str">
        <f>IF((VLOOKUP(P40,deuda!A$1:H$551,7,0))=0,"",VLOOKUP(P40,deuda!A$1:H$551,7,0))</f>
        <v/>
      </c>
      <c r="U40" s="114" t="str">
        <f>IF((VLOOKUP(P40,deuda!A$1:H$551,8,0))=0,"",VLOOKUP(P40,deuda!A$1:H$551,8,0))</f>
        <v/>
      </c>
    </row>
    <row r="41" spans="1:21" s="73" customFormat="1" ht="24" customHeight="1">
      <c r="A41" s="248">
        <v>12</v>
      </c>
      <c r="B41" s="71">
        <v>1250</v>
      </c>
      <c r="C41" s="179">
        <v>12</v>
      </c>
      <c r="D41" s="179">
        <v>2</v>
      </c>
      <c r="E41" s="20">
        <v>29.052800000000001</v>
      </c>
      <c r="F41" s="245" t="str">
        <f t="shared" si="2"/>
        <v>NO</v>
      </c>
      <c r="G41" s="392" t="s">
        <v>458</v>
      </c>
      <c r="H41" s="125">
        <f>IF(Hijuelas!$G$5="fracción",IF(F41="NO",0,IF(Hijuelas!$G$6="si",IF(D41=1,E41,E41*0.8),E41)),IF(F41="NO",0,IF(Hijuelas!$G$6="si",IF(D41=1,ROUNDUP(E41,0),ROUNDUP(E41*0.8,0)),ROUNDUP(E41,0))))</f>
        <v>0</v>
      </c>
      <c r="I41" s="122">
        <f t="shared" si="3"/>
        <v>0</v>
      </c>
      <c r="J41" s="528">
        <v>4.1666666666666664E-2</v>
      </c>
      <c r="K41" s="298">
        <f t="shared" si="4"/>
        <v>0</v>
      </c>
      <c r="L41" s="341">
        <f t="shared" si="0"/>
        <v>42974.257403430747</v>
      </c>
      <c r="M41" s="95">
        <f t="shared" si="1"/>
        <v>42974.299070097411</v>
      </c>
      <c r="N41" s="71"/>
      <c r="O41" s="71"/>
      <c r="P41" s="47" t="str">
        <f t="shared" si="5"/>
        <v>125012</v>
      </c>
      <c r="Q41" s="112">
        <f>VLOOKUP(P41,deuda!A$1:J$551,4,0)</f>
        <v>0</v>
      </c>
      <c r="R41" s="112">
        <f>VLOOKUP(P41,deuda!A$1:H$551,5,0)</f>
        <v>79</v>
      </c>
      <c r="S41" s="112" t="str">
        <f>IF(VLOOKUP(P41,deuda!A$1:H$551,6,0)=0,"",VLOOKUP(P41,deuda!A$1:H$551,6,0))</f>
        <v/>
      </c>
      <c r="T41" s="113" t="str">
        <f>IF((VLOOKUP(P41,deuda!A$1:H$551,7,0))=0,"",VLOOKUP(P41,deuda!A$1:H$551,7,0))</f>
        <v/>
      </c>
      <c r="U41" s="114" t="str">
        <f>IF((VLOOKUP(P41,deuda!A$1:H$551,8,0))=0,"",VLOOKUP(P41,deuda!A$1:H$551,8,0))</f>
        <v/>
      </c>
    </row>
    <row r="42" spans="1:21" ht="24" customHeight="1">
      <c r="A42" s="248">
        <v>13</v>
      </c>
      <c r="B42" s="5">
        <v>1250</v>
      </c>
      <c r="C42" s="179">
        <v>9</v>
      </c>
      <c r="D42" s="179">
        <v>2</v>
      </c>
      <c r="E42" s="20">
        <v>11.911300000000001</v>
      </c>
      <c r="F42" s="245" t="str">
        <f t="shared" si="2"/>
        <v>SI</v>
      </c>
      <c r="G42" s="392" t="s">
        <v>459</v>
      </c>
      <c r="H42" s="125">
        <f>IF(Hijuelas!$G$5="fracción",IF(F42="NO",0,IF(Hijuelas!$G$6="si",IF(D42=1,E42,E42*0.8),E42)),IF(F42="NO",0,IF(Hijuelas!$G$6="si",IF(D42=1,ROUNDUP(E42,0),ROUNDUP(E42*0.8,0)),ROUNDUP(E42,0))))</f>
        <v>9.5290400000000002</v>
      </c>
      <c r="I42" s="122">
        <f t="shared" si="3"/>
        <v>8.7173341949037866</v>
      </c>
      <c r="J42" s="528">
        <v>8.3333333333333329E-2</v>
      </c>
      <c r="K42" s="298">
        <f t="shared" si="4"/>
        <v>0.14528890324839644</v>
      </c>
      <c r="L42" s="341">
        <f t="shared" si="0"/>
        <v>42974.02878119416</v>
      </c>
      <c r="M42" s="95">
        <f t="shared" si="1"/>
        <v>42974.257403430747</v>
      </c>
      <c r="N42" s="5"/>
      <c r="O42" s="5"/>
      <c r="P42" s="47" t="str">
        <f t="shared" si="5"/>
        <v>12509</v>
      </c>
      <c r="Q42" s="112">
        <f>VLOOKUP(P42,deuda!A$1:J$551,4,0)</f>
        <v>1</v>
      </c>
      <c r="R42" s="112">
        <f>VLOOKUP(P42,deuda!A$1:H$551,5,0)</f>
        <v>1</v>
      </c>
      <c r="S42" s="112" t="str">
        <f>IF(VLOOKUP(P42,deuda!A$1:H$551,6,0)=0,"",VLOOKUP(P42,deuda!A$1:H$551,6,0))</f>
        <v/>
      </c>
      <c r="T42" s="113" t="str">
        <f>IF((VLOOKUP(P42,deuda!A$1:H$551,7,0))=0,"",VLOOKUP(P42,deuda!A$1:H$551,7,0))</f>
        <v/>
      </c>
      <c r="U42" s="114" t="str">
        <f>IF((VLOOKUP(P42,deuda!A$1:H$551,8,0))=0,"",VLOOKUP(P42,deuda!A$1:H$551,8,0))</f>
        <v/>
      </c>
    </row>
    <row r="43" spans="1:21" ht="24" customHeight="1">
      <c r="A43" s="248">
        <v>14</v>
      </c>
      <c r="B43" s="5">
        <v>1250</v>
      </c>
      <c r="C43" s="179">
        <v>18</v>
      </c>
      <c r="D43" s="179">
        <v>2</v>
      </c>
      <c r="E43" s="20">
        <v>8.0457000000000001</v>
      </c>
      <c r="F43" s="245" t="str">
        <f t="shared" si="2"/>
        <v>SI</v>
      </c>
      <c r="G43" s="392" t="s">
        <v>459</v>
      </c>
      <c r="H43" s="125">
        <f>IF(Hijuelas!$G$5="fracción",IF(F43="NO",0,IF(Hijuelas!$G$6="si",IF(D43=1,E43,E43*0.8),E43)),IF(F43="NO",0,IF(Hijuelas!$G$6="si",IF(D43=1,ROUNDUP(E43,0),ROUNDUP(E43*0.8,0)),ROUNDUP(E43,0))))</f>
        <v>6.4365600000000001</v>
      </c>
      <c r="I43" s="122">
        <f t="shared" si="3"/>
        <v>5.888278838744502</v>
      </c>
      <c r="J43" s="528">
        <v>8.3333333333333329E-2</v>
      </c>
      <c r="K43" s="298">
        <f t="shared" si="4"/>
        <v>9.8137980645741696E-2</v>
      </c>
      <c r="L43" s="341">
        <f t="shared" si="0"/>
        <v>42973.847309880177</v>
      </c>
      <c r="M43" s="95">
        <f t="shared" si="1"/>
        <v>42974.02878119416</v>
      </c>
      <c r="N43" s="5" t="s">
        <v>460</v>
      </c>
      <c r="O43" s="5"/>
      <c r="P43" s="47" t="str">
        <f t="shared" si="5"/>
        <v>125018</v>
      </c>
      <c r="Q43" s="112">
        <f>VLOOKUP(P43,deuda!A$1:J$551,4,0)</f>
        <v>1</v>
      </c>
      <c r="R43" s="112">
        <f>VLOOKUP(P43,deuda!A$1:H$551,5,0)</f>
        <v>1</v>
      </c>
      <c r="S43" s="112" t="str">
        <f>IF(VLOOKUP(P43,deuda!A$1:H$551,6,0)=0,"",VLOOKUP(P43,deuda!A$1:H$551,6,0))</f>
        <v/>
      </c>
      <c r="T43" s="113" t="str">
        <f>IF((VLOOKUP(P43,deuda!A$1:H$551,7,0))=0,"",VLOOKUP(P43,deuda!A$1:H$551,7,0))</f>
        <v/>
      </c>
      <c r="U43" s="114" t="str">
        <f>IF((VLOOKUP(P43,deuda!A$1:H$551,8,0))=0,"",VLOOKUP(P43,deuda!A$1:H$551,8,0))</f>
        <v/>
      </c>
    </row>
    <row r="44" spans="1:21" ht="24" customHeight="1">
      <c r="A44" s="248">
        <v>15</v>
      </c>
      <c r="B44" s="5">
        <v>1250</v>
      </c>
      <c r="C44" s="179">
        <v>11</v>
      </c>
      <c r="D44" s="179">
        <v>2</v>
      </c>
      <c r="E44" s="20">
        <v>4.8202999999999996</v>
      </c>
      <c r="F44" s="245" t="str">
        <f t="shared" si="2"/>
        <v>NO</v>
      </c>
      <c r="G44" s="392" t="s">
        <v>461</v>
      </c>
      <c r="H44" s="125">
        <f>IF(Hijuelas!$G$5="fracción",IF(F44="NO",0,IF(Hijuelas!$G$6="si",IF(D44=1,E44,E44*0.8),E44)),IF(F44="NO",0,IF(Hijuelas!$G$6="si",IF(D44=1,ROUNDUP(E44,0),ROUNDUP(E44*0.8,0)),ROUNDUP(E44,0))))</f>
        <v>0</v>
      </c>
      <c r="I44" s="122">
        <f t="shared" si="3"/>
        <v>0</v>
      </c>
      <c r="J44" s="528">
        <v>2.0833333333333332E-2</v>
      </c>
      <c r="K44" s="298">
        <f t="shared" si="4"/>
        <v>0</v>
      </c>
      <c r="L44" s="341">
        <f>+M45</f>
        <v>42973.826476546841</v>
      </c>
      <c r="M44" s="95">
        <f>+L44+K44+J44</f>
        <v>42973.847309880177</v>
      </c>
      <c r="N44" s="5"/>
      <c r="O44" s="5"/>
      <c r="P44" s="47" t="str">
        <f t="shared" si="5"/>
        <v>125011</v>
      </c>
      <c r="Q44" s="112">
        <f>VLOOKUP(P44,deuda!A$1:J$551,4,0)</f>
        <v>0</v>
      </c>
      <c r="R44" s="112">
        <f>VLOOKUP(P44,deuda!A$1:H$551,5,0)</f>
        <v>1</v>
      </c>
      <c r="S44" s="112" t="str">
        <f>IF(VLOOKUP(P44,deuda!A$1:H$551,6,0)=0,"",VLOOKUP(P44,deuda!A$1:H$551,6,0))</f>
        <v/>
      </c>
      <c r="T44" s="113" t="str">
        <f>IF((VLOOKUP(P44,deuda!A$1:H$551,7,0))=0,"",VLOOKUP(P44,deuda!A$1:H$551,7,0))</f>
        <v/>
      </c>
      <c r="U44" s="114" t="str">
        <f>IF((VLOOKUP(P44,deuda!A$1:H$551,8,0))=0,"",VLOOKUP(P44,deuda!A$1:H$551,8,0))</f>
        <v/>
      </c>
    </row>
    <row r="45" spans="1:21" ht="25.5">
      <c r="A45" s="248">
        <v>16</v>
      </c>
      <c r="B45" s="5">
        <v>1250</v>
      </c>
      <c r="C45" s="179">
        <v>34</v>
      </c>
      <c r="D45" s="179">
        <v>2</v>
      </c>
      <c r="E45" s="20">
        <v>9.6858000000000004</v>
      </c>
      <c r="F45" s="245" t="str">
        <f t="shared" si="2"/>
        <v>SI</v>
      </c>
      <c r="G45" s="392" t="s">
        <v>462</v>
      </c>
      <c r="H45" s="125">
        <f>IF(Hijuelas!$G$5="fracción",IF(F45="NO",0,IF(Hijuelas!$G$6="si",IF(D45=1,E45,E45*0.8),E45)),IF(F45="NO",0,IF(Hijuelas!$G$6="si",IF(D45=1,ROUNDUP(E45,0),ROUNDUP(E45*0.8,0)),ROUNDUP(E45,0))))</f>
        <v>7.7486400000000009</v>
      </c>
      <c r="I45" s="122">
        <f t="shared" si="3"/>
        <v>7.088592810608338</v>
      </c>
      <c r="J45" s="122"/>
      <c r="K45" s="298">
        <f t="shared" si="4"/>
        <v>0.11814321351013897</v>
      </c>
      <c r="L45" s="341">
        <f>+C6+H7</f>
        <v>42973.708333333328</v>
      </c>
      <c r="M45" s="95">
        <f>+L45+K45</f>
        <v>42973.826476546841</v>
      </c>
      <c r="N45" s="5"/>
      <c r="O45" s="5"/>
      <c r="P45" s="47" t="str">
        <f t="shared" si="5"/>
        <v>125034</v>
      </c>
      <c r="Q45" s="112">
        <f>VLOOKUP(P45,deuda!A$1:J$551,4,0)</f>
        <v>1</v>
      </c>
      <c r="R45" s="112">
        <f>VLOOKUP(P45,deuda!A$1:H$551,5,0)</f>
        <v>0</v>
      </c>
      <c r="S45" s="112" t="str">
        <f>IF(VLOOKUP(P45,deuda!A$1:H$551,6,0)=0,"",VLOOKUP(P45,deuda!A$1:H$551,6,0))</f>
        <v/>
      </c>
      <c r="T45" s="113" t="str">
        <f>IF((VLOOKUP(P45,deuda!A$1:H$551,7,0))=0,"",VLOOKUP(P45,deuda!A$1:H$551,7,0))</f>
        <v/>
      </c>
      <c r="U45" s="114" t="str">
        <f>IF((VLOOKUP(P45,deuda!A$1:H$551,8,0))=0,"",VLOOKUP(P45,deuda!A$1:H$551,8,0))</f>
        <v/>
      </c>
    </row>
    <row r="46" spans="1:21" ht="15" customHeight="1">
      <c r="E46" s="482">
        <f>SUM(E13:E45)</f>
        <v>322.02299999999991</v>
      </c>
      <c r="F46" s="289"/>
      <c r="G46" s="290"/>
      <c r="H46" s="482">
        <f>SUM(H13:H45)</f>
        <v>232.96992000000009</v>
      </c>
      <c r="I46" s="485">
        <f>SUM(I13:I45)</f>
        <v>213.12499999999991</v>
      </c>
      <c r="J46" s="472">
        <f>SUM(J13:J45)</f>
        <v>0.27083333333333331</v>
      </c>
      <c r="K46" s="472">
        <f>SUM(K13:K45)</f>
        <v>3.5520833333333321</v>
      </c>
      <c r="L46" s="73"/>
    </row>
    <row r="47" spans="1:21" ht="15" customHeight="1">
      <c r="E47" s="284"/>
      <c r="F47" s="289"/>
      <c r="G47" s="290"/>
      <c r="H47" s="284"/>
      <c r="I47" s="595"/>
      <c r="J47" s="596"/>
      <c r="K47" s="596"/>
      <c r="L47" s="73"/>
    </row>
    <row r="48" spans="1:21" ht="15" customHeight="1">
      <c r="E48" s="284"/>
      <c r="F48" s="289"/>
      <c r="G48" s="290"/>
      <c r="H48" s="284"/>
      <c r="I48" s="595"/>
      <c r="J48" s="596"/>
      <c r="K48" s="596"/>
      <c r="L48" s="73"/>
    </row>
    <row r="49" spans="5:12" ht="15" customHeight="1">
      <c r="E49" s="284"/>
      <c r="F49" s="289"/>
      <c r="G49" s="290"/>
      <c r="H49" s="284"/>
      <c r="I49" s="595"/>
      <c r="J49" s="596"/>
      <c r="K49" s="596"/>
      <c r="L49" s="73"/>
    </row>
    <row r="50" spans="5:12" ht="15" customHeight="1">
      <c r="E50" s="284"/>
      <c r="F50" s="289"/>
      <c r="G50" s="290"/>
      <c r="H50" s="284"/>
      <c r="I50" s="595"/>
      <c r="J50" s="596"/>
      <c r="K50" s="596"/>
      <c r="L50" s="73"/>
    </row>
    <row r="51" spans="5:12" ht="15" customHeight="1">
      <c r="E51" s="284"/>
      <c r="F51" s="289"/>
      <c r="G51" s="290"/>
      <c r="H51" s="284"/>
      <c r="I51" s="595"/>
      <c r="J51" s="596"/>
      <c r="K51" s="596"/>
      <c r="L51" s="73"/>
    </row>
    <row r="52" spans="5:12" ht="15" customHeight="1">
      <c r="E52" s="284"/>
      <c r="F52" s="289"/>
      <c r="G52" s="290"/>
      <c r="H52" s="284"/>
      <c r="I52" s="595"/>
      <c r="J52" s="596"/>
      <c r="K52" s="596"/>
      <c r="L52" s="73"/>
    </row>
    <row r="53" spans="5:12" ht="15" customHeight="1">
      <c r="E53" s="284"/>
      <c r="F53" s="289"/>
      <c r="G53" s="290"/>
      <c r="H53" s="284"/>
      <c r="I53" s="595"/>
      <c r="J53" s="596"/>
      <c r="K53" s="596"/>
      <c r="L53" s="73"/>
    </row>
    <row r="54" spans="5:12" ht="15" customHeight="1">
      <c r="E54" s="284"/>
      <c r="F54" s="289"/>
      <c r="G54" s="290"/>
      <c r="H54" s="284"/>
      <c r="I54" s="595"/>
      <c r="J54" s="596"/>
      <c r="K54" s="596"/>
      <c r="L54" s="73"/>
    </row>
    <row r="55" spans="5:12" ht="15" customHeight="1">
      <c r="E55" s="284"/>
      <c r="F55" s="289"/>
      <c r="G55" s="290"/>
      <c r="H55" s="284"/>
      <c r="I55" s="595"/>
      <c r="J55" s="596"/>
      <c r="K55" s="596"/>
      <c r="L55" s="73"/>
    </row>
    <row r="56" spans="5:12" ht="15" customHeight="1">
      <c r="E56" s="284"/>
      <c r="F56" s="289"/>
      <c r="G56" s="290"/>
      <c r="H56" s="284"/>
      <c r="I56" s="595"/>
      <c r="J56" s="596"/>
      <c r="K56" s="596"/>
      <c r="L56" s="73"/>
    </row>
    <row r="57" spans="5:12" ht="15" customHeight="1">
      <c r="E57" s="284"/>
      <c r="F57" s="289"/>
      <c r="G57" s="290"/>
      <c r="H57" s="284"/>
      <c r="I57" s="595"/>
      <c r="J57" s="596"/>
      <c r="K57" s="596"/>
      <c r="L57" s="73"/>
    </row>
    <row r="58" spans="5:12" ht="15" customHeight="1">
      <c r="E58" s="284"/>
      <c r="F58" s="289"/>
      <c r="G58" s="290"/>
      <c r="H58" s="284"/>
      <c r="I58" s="595"/>
      <c r="J58" s="596"/>
      <c r="K58" s="596"/>
      <c r="L58" s="73"/>
    </row>
    <row r="59" spans="5:12" ht="15" customHeight="1">
      <c r="E59" s="284"/>
      <c r="F59" s="289"/>
      <c r="G59" s="290"/>
      <c r="H59" s="284"/>
      <c r="I59" s="595"/>
      <c r="J59" s="596"/>
      <c r="K59" s="596"/>
      <c r="L59" s="73"/>
    </row>
    <row r="60" spans="5:12" ht="15" customHeight="1">
      <c r="E60" s="284"/>
      <c r="F60" s="289"/>
      <c r="G60" s="290"/>
      <c r="H60" s="284"/>
      <c r="I60" s="595"/>
      <c r="J60" s="596"/>
      <c r="K60" s="596"/>
      <c r="L60" s="73"/>
    </row>
    <row r="61" spans="5:12" ht="15" customHeight="1">
      <c r="E61" s="284"/>
      <c r="F61" s="289"/>
      <c r="G61" s="290"/>
      <c r="H61" s="284"/>
      <c r="I61" s="595"/>
      <c r="J61" s="596"/>
      <c r="K61" s="596"/>
      <c r="L61" s="73"/>
    </row>
    <row r="62" spans="5:12" ht="15" customHeight="1">
      <c r="E62" s="284"/>
      <c r="F62" s="289"/>
      <c r="G62" s="290"/>
      <c r="H62" s="284"/>
      <c r="I62" s="595"/>
      <c r="J62" s="596"/>
      <c r="K62" s="596"/>
      <c r="L62" s="73"/>
    </row>
    <row r="63" spans="5:12" ht="15" customHeight="1">
      <c r="E63" s="284"/>
      <c r="F63" s="289"/>
      <c r="G63" s="290"/>
      <c r="H63" s="284"/>
      <c r="I63" s="595"/>
      <c r="J63" s="596"/>
      <c r="K63" s="596"/>
      <c r="L63" s="73"/>
    </row>
    <row r="64" spans="5:12" ht="15" customHeight="1">
      <c r="E64" s="284"/>
      <c r="F64" s="289"/>
      <c r="G64" s="290"/>
      <c r="H64" s="284"/>
      <c r="I64" s="595"/>
      <c r="J64" s="596"/>
      <c r="K64" s="596"/>
      <c r="L64" s="73"/>
    </row>
    <row r="65" spans="1:14" ht="15" customHeight="1">
      <c r="E65" s="284"/>
      <c r="F65" s="289"/>
      <c r="G65" s="290"/>
      <c r="H65" s="284"/>
      <c r="I65" s="595"/>
      <c r="J65" s="596"/>
      <c r="K65" s="596"/>
      <c r="L65" s="73"/>
    </row>
    <row r="66" spans="1:14" ht="15" customHeight="1">
      <c r="E66" s="284"/>
      <c r="F66" s="289"/>
      <c r="G66" s="290"/>
      <c r="H66" s="284"/>
      <c r="I66" s="595"/>
      <c r="J66" s="596"/>
      <c r="K66" s="596"/>
      <c r="L66" s="73"/>
    </row>
    <row r="67" spans="1:14" ht="15" customHeight="1">
      <c r="E67" s="284"/>
      <c r="F67" s="289"/>
      <c r="G67" s="290"/>
      <c r="H67" s="284"/>
      <c r="I67" s="595"/>
      <c r="J67" s="596"/>
      <c r="K67" s="596"/>
      <c r="L67" s="73"/>
    </row>
    <row r="68" spans="1:14" ht="15" customHeight="1">
      <c r="E68" s="284"/>
      <c r="F68" s="289"/>
      <c r="G68" s="290"/>
      <c r="H68" s="284"/>
      <c r="I68" s="595"/>
      <c r="J68" s="596"/>
      <c r="K68" s="596"/>
      <c r="L68" s="73"/>
    </row>
    <row r="69" spans="1:14" ht="15" customHeight="1">
      <c r="E69" s="284"/>
      <c r="F69" s="289"/>
      <c r="G69" s="290"/>
      <c r="H69" s="284"/>
      <c r="I69" s="595"/>
      <c r="J69" s="596"/>
      <c r="K69" s="596"/>
      <c r="L69" s="73"/>
    </row>
    <row r="70" spans="1:14" ht="26.25" customHeight="1">
      <c r="E70" s="284"/>
      <c r="F70" s="289"/>
      <c r="G70" s="290"/>
      <c r="H70" s="284"/>
      <c r="I70" s="595"/>
      <c r="J70" s="596"/>
      <c r="K70" s="596"/>
      <c r="L70" s="73"/>
    </row>
    <row r="71" spans="1:14" s="597" customFormat="1" ht="26.25" customHeight="1">
      <c r="A71" s="597" t="s">
        <v>463</v>
      </c>
      <c r="E71" s="598"/>
      <c r="F71" s="599"/>
      <c r="G71" s="600"/>
      <c r="H71" s="598"/>
      <c r="I71" s="601"/>
      <c r="J71" s="602"/>
      <c r="K71" s="602"/>
      <c r="L71" s="603"/>
    </row>
    <row r="73" spans="1:14" ht="13.5" thickBo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1:14">
      <c r="A74" s="662" t="s">
        <v>124</v>
      </c>
      <c r="B74" s="663"/>
      <c r="C74" s="659">
        <f>+Hijuelas!D21</f>
        <v>42973.541666666664</v>
      </c>
      <c r="D74" s="667"/>
      <c r="E74" s="660"/>
      <c r="F74" s="305"/>
      <c r="G74" s="306" t="s">
        <v>125</v>
      </c>
      <c r="H74" s="307">
        <f>+Hijuelas!G4</f>
        <v>3.9895833333333335</v>
      </c>
      <c r="I74" s="99"/>
      <c r="J74" s="99"/>
      <c r="K74" s="99"/>
      <c r="L74" s="99"/>
      <c r="M74" s="99"/>
      <c r="N74" s="99"/>
    </row>
    <row r="75" spans="1:14" ht="13.5" thickBot="1">
      <c r="A75" s="664" t="s">
        <v>126</v>
      </c>
      <c r="B75" s="665"/>
      <c r="C75" s="668">
        <f>+Hijuelas!E21</f>
        <v>42977.53125</v>
      </c>
      <c r="D75" s="669"/>
      <c r="E75" s="670"/>
      <c r="F75" s="305"/>
      <c r="G75" s="265" t="s">
        <v>127</v>
      </c>
      <c r="H75" s="328">
        <v>0.22916666666666666</v>
      </c>
      <c r="I75" s="305"/>
      <c r="J75" s="305"/>
      <c r="K75" s="99"/>
      <c r="L75" s="309"/>
      <c r="M75" s="99"/>
      <c r="N75" s="99"/>
    </row>
    <row r="76" spans="1:14">
      <c r="A76" s="99"/>
      <c r="B76" s="99"/>
      <c r="C76" s="99"/>
      <c r="D76" s="99"/>
      <c r="E76" s="99"/>
      <c r="F76" s="99"/>
      <c r="G76" s="418" t="s">
        <v>128</v>
      </c>
      <c r="H76" s="419">
        <v>0</v>
      </c>
      <c r="I76" s="99"/>
      <c r="J76" s="99"/>
      <c r="K76" s="99"/>
      <c r="L76" s="99"/>
      <c r="M76" s="99"/>
      <c r="N76" s="99"/>
    </row>
    <row r="77" spans="1:14" ht="13.5" thickBot="1">
      <c r="A77" s="99"/>
      <c r="B77" s="99"/>
      <c r="C77" s="99"/>
      <c r="D77" s="99"/>
      <c r="E77" s="99"/>
      <c r="F77" s="99"/>
      <c r="G77" s="310" t="s">
        <v>442</v>
      </c>
      <c r="H77" s="470">
        <f>+J91</f>
        <v>0.10416666666666666</v>
      </c>
      <c r="I77" s="99"/>
      <c r="J77" s="99"/>
      <c r="K77" s="99"/>
      <c r="L77" s="99"/>
      <c r="M77" s="99"/>
      <c r="N77" s="99"/>
    </row>
    <row r="78" spans="1:14">
      <c r="A78" s="666" t="s">
        <v>129</v>
      </c>
      <c r="B78" s="666"/>
      <c r="C78" s="312">
        <f>+H74-H75-H76-H77</f>
        <v>3.6562500000000004</v>
      </c>
      <c r="D78" s="636" t="s">
        <v>130</v>
      </c>
      <c r="E78" s="317">
        <f>+C78*60</f>
        <v>219.37500000000003</v>
      </c>
      <c r="F78" s="636" t="s">
        <v>131</v>
      </c>
      <c r="G78" s="400">
        <f>+H91</f>
        <v>420.96159999999998</v>
      </c>
      <c r="H78" s="636" t="s">
        <v>132</v>
      </c>
      <c r="I78" s="313">
        <f>+E78/G78</f>
        <v>0.52112829293693308</v>
      </c>
      <c r="J78" s="313"/>
      <c r="K78" s="99"/>
      <c r="L78" s="99"/>
      <c r="M78" s="99"/>
      <c r="N78" s="99"/>
    </row>
    <row r="81" spans="1:21" ht="13.5" thickBot="1"/>
    <row r="82" spans="1:21" ht="18.75" customHeight="1" thickBot="1">
      <c r="A82" s="291" t="s">
        <v>134</v>
      </c>
      <c r="B82" s="292" t="s">
        <v>135</v>
      </c>
      <c r="C82" s="292" t="s">
        <v>136</v>
      </c>
      <c r="D82" s="292" t="s">
        <v>408</v>
      </c>
      <c r="E82" s="292" t="s">
        <v>138</v>
      </c>
      <c r="F82" s="292" t="s">
        <v>141</v>
      </c>
      <c r="G82" s="354" t="s">
        <v>140</v>
      </c>
      <c r="H82" s="292" t="s">
        <v>139</v>
      </c>
      <c r="I82" s="292" t="s">
        <v>443</v>
      </c>
      <c r="J82" s="292" t="s">
        <v>142</v>
      </c>
      <c r="K82" s="292" t="s">
        <v>143</v>
      </c>
      <c r="L82" s="292" t="s">
        <v>193</v>
      </c>
      <c r="M82" s="292" t="s">
        <v>194</v>
      </c>
      <c r="N82" s="292" t="s">
        <v>146</v>
      </c>
      <c r="O82" s="292" t="s">
        <v>204</v>
      </c>
      <c r="P82" s="292" t="s">
        <v>148</v>
      </c>
      <c r="Q82" s="292" t="s">
        <v>149</v>
      </c>
      <c r="R82" s="292" t="s">
        <v>150</v>
      </c>
      <c r="S82" s="292" t="s">
        <v>151</v>
      </c>
      <c r="T82" s="292" t="s">
        <v>152</v>
      </c>
      <c r="U82" s="294" t="s">
        <v>153</v>
      </c>
    </row>
    <row r="83" spans="1:21" ht="24.95" customHeight="1" thickTop="1">
      <c r="A83" s="24">
        <v>1</v>
      </c>
      <c r="B83" s="5">
        <v>1247</v>
      </c>
      <c r="C83" s="250">
        <v>41</v>
      </c>
      <c r="D83" s="250">
        <v>1</v>
      </c>
      <c r="E83" s="9">
        <v>46.689500000000002</v>
      </c>
      <c r="F83" s="245" t="str">
        <f>IF(Q83=0,"NO",IF(Q83=1,"SI","CONDICIONAL"))</f>
        <v>SI</v>
      </c>
      <c r="G83" s="38" t="s">
        <v>464</v>
      </c>
      <c r="H83" s="125">
        <f>IF(Hijuelas!$G$5="fracción",IF(F83="NO",0,IF(Hijuelas!$G$6="si",IF(D83=1,E83,E83*0.8),E83)),IF(F83="NO",0,IF(Hijuelas!$G$6="si",IF(D83=1,ROUNDUP(E83,0),ROUNDUP(E83*0.8,0)),ROUNDUP(E83,0))))</f>
        <v>46.689500000000002</v>
      </c>
      <c r="I83" s="122">
        <f>H83*$I$78</f>
        <v>24.331219433078939</v>
      </c>
      <c r="J83" s="526">
        <v>4.1666666666666664E-2</v>
      </c>
      <c r="K83" s="298">
        <f>+I83/60</f>
        <v>0.40552032388464898</v>
      </c>
      <c r="L83" s="341">
        <f>+C74+H75</f>
        <v>42973.770833333328</v>
      </c>
      <c r="M83" s="95">
        <f>+L83+K83+J83</f>
        <v>42974.218020323875</v>
      </c>
      <c r="N83" s="7"/>
      <c r="O83" s="5"/>
      <c r="P83" s="47" t="str">
        <f>+CONCATENATE(B83,C83)</f>
        <v>124741</v>
      </c>
      <c r="Q83" s="112">
        <f>VLOOKUP(P83,deuda!A$1:J$551,4,0)</f>
        <v>1</v>
      </c>
      <c r="R83" s="112">
        <f>VLOOKUP(P83,deuda!A$1:H$551,5,0)</f>
        <v>0</v>
      </c>
      <c r="S83" s="112" t="str">
        <f>IF(VLOOKUP(P83,deuda!A$1:H$551,6,0)=0,"",VLOOKUP(P83,deuda!A$1:H$551,6,0))</f>
        <v/>
      </c>
      <c r="T83" s="113" t="str">
        <f>IF((VLOOKUP(P83,deuda!A$1:H$551,7,0))=0,"",VLOOKUP(P83,deuda!A$1:H$551,7,0))</f>
        <v/>
      </c>
      <c r="U83" s="114" t="str">
        <f>IF((VLOOKUP(P83,deuda!A$1:H$551,8,0))=0,"",VLOOKUP(P83,deuda!A$1:H$551,8,0))</f>
        <v/>
      </c>
    </row>
    <row r="84" spans="1:21" ht="24.95" customHeight="1">
      <c r="A84" s="24">
        <v>1</v>
      </c>
      <c r="B84" s="47">
        <v>1247</v>
      </c>
      <c r="C84" s="250">
        <v>42</v>
      </c>
      <c r="D84" s="250">
        <v>1</v>
      </c>
      <c r="E84" s="9">
        <v>9.6547000000000001</v>
      </c>
      <c r="F84" s="245" t="str">
        <f t="shared" ref="F84:F89" si="6">IF(Q84=0,"NO",IF(Q84=1,"SI","CONDICIONAL"))</f>
        <v>SI</v>
      </c>
      <c r="G84" s="38" t="s">
        <v>464</v>
      </c>
      <c r="H84" s="125">
        <f>IF(Hijuelas!$G$5="fracción",IF(F84="NO",0,IF(Hijuelas!$G$6="si",IF(D84=1,E84,E84*0.8),E84)),IF(F84="NO",0,IF(Hijuelas!$G$6="si",IF(D84=1,ROUNDUP(E84,0),ROUNDUP(E84*0.8,0)),ROUNDUP(E84,0))))</f>
        <v>9.6547000000000001</v>
      </c>
      <c r="I84" s="122">
        <f t="shared" ref="I84:I90" si="7">H84*$I$78</f>
        <v>5.031337329818208</v>
      </c>
      <c r="J84" s="526"/>
      <c r="K84" s="298">
        <f t="shared" ref="K84:K90" si="8">+I84/60</f>
        <v>8.3855622163636803E-2</v>
      </c>
      <c r="L84" s="341">
        <f>+M83</f>
        <v>42974.218020323875</v>
      </c>
      <c r="M84" s="95">
        <f>+L84+K84+J84</f>
        <v>42974.301875946039</v>
      </c>
      <c r="N84" s="7"/>
      <c r="O84" s="5"/>
      <c r="P84" s="47" t="str">
        <f t="shared" ref="P84:P90" si="9">+CONCATENATE(B84,C84)</f>
        <v>124742</v>
      </c>
      <c r="Q84" s="112">
        <f>VLOOKUP(P84,deuda!A$1:J$551,4,0)</f>
        <v>1</v>
      </c>
      <c r="R84" s="112">
        <f>VLOOKUP(P84,deuda!A$1:H$551,5,0)</f>
        <v>0</v>
      </c>
      <c r="S84" s="112" t="str">
        <f>IF(VLOOKUP(P84,deuda!A$1:H$551,6,0)=0,"",VLOOKUP(P84,deuda!A$1:H$551,6,0))</f>
        <v/>
      </c>
      <c r="T84" s="113" t="str">
        <f>IF((VLOOKUP(P84,deuda!A$1:H$551,7,0))=0,"",VLOOKUP(P84,deuda!A$1:H$551,7,0))</f>
        <v/>
      </c>
      <c r="U84" s="114" t="str">
        <f>IF((VLOOKUP(P84,deuda!A$1:H$551,8,0))=0,"",VLOOKUP(P84,deuda!A$1:H$551,8,0))</f>
        <v/>
      </c>
    </row>
    <row r="85" spans="1:21" ht="24.95" customHeight="1">
      <c r="A85" s="24">
        <v>1</v>
      </c>
      <c r="B85" s="5">
        <v>1247</v>
      </c>
      <c r="C85" s="250">
        <v>43</v>
      </c>
      <c r="D85" s="250">
        <v>1</v>
      </c>
      <c r="E85" s="9">
        <v>13.386799999999999</v>
      </c>
      <c r="F85" s="245" t="str">
        <f t="shared" si="6"/>
        <v>SI</v>
      </c>
      <c r="G85" s="38" t="s">
        <v>464</v>
      </c>
      <c r="H85" s="125">
        <f>IF(Hijuelas!$G$5="fracción",IF(F85="NO",0,IF(Hijuelas!$G$6="si",IF(D85=1,E85,E85*0.8),E85)),IF(F85="NO",0,IF(Hijuelas!$G$6="si",IF(D85=1,ROUNDUP(E85,0),ROUNDUP(E85*0.8,0)),ROUNDUP(E85,0))))</f>
        <v>13.386799999999999</v>
      </c>
      <c r="I85" s="122">
        <f t="shared" si="7"/>
        <v>6.9762402318881351</v>
      </c>
      <c r="J85" s="526"/>
      <c r="K85" s="298">
        <f t="shared" si="8"/>
        <v>0.11627067053146892</v>
      </c>
      <c r="L85" s="341">
        <f t="shared" ref="L85:L90" si="10">+M84</f>
        <v>42974.301875946039</v>
      </c>
      <c r="M85" s="95">
        <f t="shared" ref="M85:M90" si="11">+L85+K85+J85</f>
        <v>42974.418146616568</v>
      </c>
      <c r="N85" s="7"/>
      <c r="O85" s="5"/>
      <c r="P85" s="47" t="str">
        <f t="shared" si="9"/>
        <v>124743</v>
      </c>
      <c r="Q85" s="112">
        <f>VLOOKUP(P85,deuda!A$1:J$551,4,0)</f>
        <v>1</v>
      </c>
      <c r="R85" s="112">
        <f>VLOOKUP(P85,deuda!A$1:H$551,5,0)</f>
        <v>0</v>
      </c>
      <c r="S85" s="112" t="str">
        <f>IF(VLOOKUP(P85,deuda!A$1:H$551,6,0)=0,"",VLOOKUP(P85,deuda!A$1:H$551,6,0))</f>
        <v/>
      </c>
      <c r="T85" s="113" t="str">
        <f>IF((VLOOKUP(P85,deuda!A$1:H$551,7,0))=0,"",VLOOKUP(P85,deuda!A$1:H$551,7,0))</f>
        <v/>
      </c>
      <c r="U85" s="114" t="str">
        <f>IF((VLOOKUP(P85,deuda!A$1:H$551,8,0))=0,"",VLOOKUP(P85,deuda!A$1:H$551,8,0))</f>
        <v/>
      </c>
    </row>
    <row r="86" spans="1:21" ht="24.95" customHeight="1">
      <c r="A86" s="24">
        <v>1</v>
      </c>
      <c r="B86" s="47">
        <v>1247</v>
      </c>
      <c r="C86" s="250">
        <v>44</v>
      </c>
      <c r="D86" s="250">
        <v>1</v>
      </c>
      <c r="E86" s="9">
        <v>0.54010000000000002</v>
      </c>
      <c r="F86" s="245" t="str">
        <f t="shared" si="6"/>
        <v>SI</v>
      </c>
      <c r="G86" s="38" t="s">
        <v>464</v>
      </c>
      <c r="H86" s="125">
        <f>IF(Hijuelas!$G$5="fracción",IF(F86="NO",0,IF(Hijuelas!$G$6="si",IF(D86=1,E86,E86*0.8),E86)),IF(F86="NO",0,IF(Hijuelas!$G$6="si",IF(D86=1,ROUNDUP(E86,0),ROUNDUP(E86*0.8,0)),ROUNDUP(E86,0))))</f>
        <v>0.54010000000000002</v>
      </c>
      <c r="I86" s="122">
        <f t="shared" si="7"/>
        <v>0.28146139101523759</v>
      </c>
      <c r="J86" s="526"/>
      <c r="K86" s="298">
        <f t="shared" si="8"/>
        <v>4.6910231835872928E-3</v>
      </c>
      <c r="L86" s="341">
        <f t="shared" si="10"/>
        <v>42974.418146616568</v>
      </c>
      <c r="M86" s="95">
        <f t="shared" si="11"/>
        <v>42974.422837639751</v>
      </c>
      <c r="N86" s="7"/>
      <c r="O86" s="5"/>
      <c r="P86" s="47" t="str">
        <f t="shared" si="9"/>
        <v>124744</v>
      </c>
      <c r="Q86" s="112">
        <f>VLOOKUP(P86,deuda!A$1:J$551,4,0)</f>
        <v>1</v>
      </c>
      <c r="R86" s="112">
        <f>VLOOKUP(P86,deuda!A$1:H$551,5,0)</f>
        <v>0</v>
      </c>
      <c r="S86" s="112" t="str">
        <f>IF(VLOOKUP(P86,deuda!A$1:H$551,6,0)=0,"",VLOOKUP(P86,deuda!A$1:H$551,6,0))</f>
        <v/>
      </c>
      <c r="T86" s="113" t="str">
        <f>IF((VLOOKUP(P86,deuda!A$1:H$551,7,0))=0,"",VLOOKUP(P86,deuda!A$1:H$551,7,0))</f>
        <v/>
      </c>
      <c r="U86" s="114" t="str">
        <f>IF((VLOOKUP(P86,deuda!A$1:H$551,8,0))=0,"",VLOOKUP(P86,deuda!A$1:H$551,8,0))</f>
        <v/>
      </c>
    </row>
    <row r="87" spans="1:21" ht="24.95" customHeight="1">
      <c r="A87" s="24">
        <v>1</v>
      </c>
      <c r="B87" s="5">
        <v>1247</v>
      </c>
      <c r="C87" s="250">
        <v>45</v>
      </c>
      <c r="D87" s="250">
        <v>1</v>
      </c>
      <c r="E87" s="9">
        <v>1.7290000000000001</v>
      </c>
      <c r="F87" s="245" t="str">
        <f t="shared" si="6"/>
        <v>SI</v>
      </c>
      <c r="G87" s="38" t="s">
        <v>464</v>
      </c>
      <c r="H87" s="125">
        <f>IF(Hijuelas!$G$5="fracción",IF(F87="NO",0,IF(Hijuelas!$G$6="si",IF(D87=1,E87,E87*0.8),E87)),IF(F87="NO",0,IF(Hijuelas!$G$6="si",IF(D87=1,ROUNDUP(E87,0),ROUNDUP(E87*0.8,0)),ROUNDUP(E87,0))))</f>
        <v>1.7290000000000001</v>
      </c>
      <c r="I87" s="122">
        <f t="shared" si="7"/>
        <v>0.9010308184879573</v>
      </c>
      <c r="J87" s="526"/>
      <c r="K87" s="298">
        <f t="shared" si="8"/>
        <v>1.5017180308132622E-2</v>
      </c>
      <c r="L87" s="341">
        <f t="shared" si="10"/>
        <v>42974.422837639751</v>
      </c>
      <c r="M87" s="95">
        <f t="shared" si="11"/>
        <v>42974.437854820062</v>
      </c>
      <c r="N87" s="7"/>
      <c r="O87" s="5"/>
      <c r="P87" s="47" t="str">
        <f t="shared" si="9"/>
        <v>124745</v>
      </c>
      <c r="Q87" s="112">
        <f>VLOOKUP(P87,deuda!A$1:J$551,4,0)</f>
        <v>1</v>
      </c>
      <c r="R87" s="112">
        <f>VLOOKUP(P87,deuda!A$1:H$551,5,0)</f>
        <v>0</v>
      </c>
      <c r="S87" s="112" t="str">
        <f>IF(VLOOKUP(P87,deuda!A$1:H$551,6,0)=0,"",VLOOKUP(P87,deuda!A$1:H$551,6,0))</f>
        <v/>
      </c>
      <c r="T87" s="113" t="str">
        <f>IF((VLOOKUP(P87,deuda!A$1:H$551,7,0))=0,"",VLOOKUP(P87,deuda!A$1:H$551,7,0))</f>
        <v/>
      </c>
      <c r="U87" s="114" t="str">
        <f>IF((VLOOKUP(P87,deuda!A$1:H$551,8,0))=0,"",VLOOKUP(P87,deuda!A$1:H$551,8,0))</f>
        <v/>
      </c>
    </row>
    <row r="88" spans="1:21" ht="24.95" customHeight="1">
      <c r="A88" s="24">
        <v>1</v>
      </c>
      <c r="B88" s="47">
        <v>1247</v>
      </c>
      <c r="C88" s="250">
        <v>34</v>
      </c>
      <c r="D88" s="250">
        <v>1</v>
      </c>
      <c r="E88" s="9">
        <v>27</v>
      </c>
      <c r="F88" s="245" t="str">
        <f t="shared" si="6"/>
        <v>SI</v>
      </c>
      <c r="G88" s="38" t="s">
        <v>464</v>
      </c>
      <c r="H88" s="125">
        <f>IF(Hijuelas!$G$5="fracción",IF(F88="NO",0,IF(Hijuelas!$G$6="si",IF(D88=1,E88,E88*0.8),E88)),IF(F88="NO",0,IF(Hijuelas!$G$6="si",IF(D88=1,ROUNDUP(E88,0),ROUNDUP(E88*0.8,0)),ROUNDUP(E88,0))))</f>
        <v>27</v>
      </c>
      <c r="I88" s="122">
        <f t="shared" si="7"/>
        <v>14.070463909297192</v>
      </c>
      <c r="J88" s="526"/>
      <c r="K88" s="298">
        <f t="shared" si="8"/>
        <v>0.23450773182161988</v>
      </c>
      <c r="L88" s="341">
        <f t="shared" si="10"/>
        <v>42974.437854820062</v>
      </c>
      <c r="M88" s="95">
        <f t="shared" si="11"/>
        <v>42974.672362551886</v>
      </c>
      <c r="N88" s="7"/>
      <c r="O88" s="5"/>
      <c r="P88" s="47" t="str">
        <f t="shared" si="9"/>
        <v>124734</v>
      </c>
      <c r="Q88" s="112">
        <f>VLOOKUP(P88,deuda!A$1:J$551,4,0)</f>
        <v>1</v>
      </c>
      <c r="R88" s="112">
        <f>VLOOKUP(P88,deuda!A$1:H$551,5,0)</f>
        <v>0</v>
      </c>
      <c r="S88" s="112" t="str">
        <f>IF(VLOOKUP(P88,deuda!A$1:H$551,6,0)=0,"",VLOOKUP(P88,deuda!A$1:H$551,6,0))</f>
        <v/>
      </c>
      <c r="T88" s="113" t="str">
        <f>IF((VLOOKUP(P88,deuda!A$1:H$551,7,0))=0,"",VLOOKUP(P88,deuda!A$1:H$551,7,0))</f>
        <v/>
      </c>
      <c r="U88" s="114" t="str">
        <f>IF((VLOOKUP(P88,deuda!A$1:H$551,8,0))=0,"",VLOOKUP(P88,deuda!A$1:H$551,8,0))</f>
        <v/>
      </c>
    </row>
    <row r="89" spans="1:21" ht="24.95" customHeight="1">
      <c r="A89" s="24">
        <v>1</v>
      </c>
      <c r="B89" s="5">
        <v>1247</v>
      </c>
      <c r="C89" s="250">
        <v>36</v>
      </c>
      <c r="D89" s="250">
        <v>1</v>
      </c>
      <c r="E89" s="9">
        <v>296.9615</v>
      </c>
      <c r="F89" s="245" t="str">
        <f t="shared" si="6"/>
        <v>SI</v>
      </c>
      <c r="G89" s="38" t="s">
        <v>464</v>
      </c>
      <c r="H89" s="125">
        <f>IF(Hijuelas!$G$5="fracción",IF(F89="NO",0,IF(Hijuelas!$G$6="si",IF(D89=1,E89,E89*0.8),E89)),IF(F89="NO",0,IF(Hijuelas!$G$6="si",IF(D89=1,ROUNDUP(E89,0),ROUNDUP(E89*0.8,0)),ROUNDUP(E89,0))))</f>
        <v>296.9615</v>
      </c>
      <c r="I89" s="122">
        <f t="shared" si="7"/>
        <v>154.75503956299104</v>
      </c>
      <c r="J89" s="526"/>
      <c r="K89" s="298">
        <f t="shared" si="8"/>
        <v>2.5792506593831841</v>
      </c>
      <c r="L89" s="341">
        <f t="shared" si="10"/>
        <v>42974.672362551886</v>
      </c>
      <c r="M89" s="95">
        <f t="shared" si="11"/>
        <v>42977.251613211272</v>
      </c>
      <c r="N89" s="7"/>
      <c r="O89" s="5"/>
      <c r="P89" s="47" t="str">
        <f t="shared" si="9"/>
        <v>124736</v>
      </c>
      <c r="Q89" s="112">
        <f>VLOOKUP(P89,deuda!A$1:J$551,4,0)</f>
        <v>1</v>
      </c>
      <c r="R89" s="112">
        <f>VLOOKUP(P89,deuda!A$1:H$551,5,0)</f>
        <v>0</v>
      </c>
      <c r="S89" s="112" t="str">
        <f>IF(VLOOKUP(P89,deuda!A$1:H$551,6,0)=0,"",VLOOKUP(P89,deuda!A$1:H$551,6,0))</f>
        <v/>
      </c>
      <c r="T89" s="113" t="str">
        <f>IF((VLOOKUP(P89,deuda!A$1:H$551,7,0))=0,"",VLOOKUP(P89,deuda!A$1:H$551,7,0))</f>
        <v/>
      </c>
      <c r="U89" s="114" t="str">
        <f>IF((VLOOKUP(P89,deuda!A$1:H$551,8,0))=0,"",VLOOKUP(P89,deuda!A$1:H$551,8,0))</f>
        <v/>
      </c>
    </row>
    <row r="90" spans="1:21" ht="24.95" customHeight="1">
      <c r="A90" s="24">
        <v>2</v>
      </c>
      <c r="B90" s="47">
        <v>1247</v>
      </c>
      <c r="C90" s="250">
        <v>38</v>
      </c>
      <c r="D90" s="250">
        <v>1</v>
      </c>
      <c r="E90" s="9">
        <v>25</v>
      </c>
      <c r="F90" s="245" t="s">
        <v>90</v>
      </c>
      <c r="G90" s="38" t="s">
        <v>465</v>
      </c>
      <c r="H90" s="125">
        <f>IF(Hijuelas!$G$5="fracción",IF(F90="NO",0,IF(Hijuelas!$G$6="si",IF(D90=1,E90,E90*0.8),E90)),IF(F90="NO",0,IF(Hijuelas!$G$6="si",IF(D90=1,ROUNDUP(E90,0),ROUNDUP(E90*0.8,0)),ROUNDUP(E90,0))))</f>
        <v>25</v>
      </c>
      <c r="I90" s="122">
        <f t="shared" si="7"/>
        <v>13.028207323423327</v>
      </c>
      <c r="J90" s="526">
        <v>6.25E-2</v>
      </c>
      <c r="K90" s="298">
        <f t="shared" si="8"/>
        <v>0.21713678872372214</v>
      </c>
      <c r="L90" s="341">
        <f t="shared" si="10"/>
        <v>42977.251613211272</v>
      </c>
      <c r="M90" s="95">
        <f t="shared" si="11"/>
        <v>42977.531249999993</v>
      </c>
      <c r="N90" s="7"/>
      <c r="O90" s="5"/>
      <c r="P90" s="47" t="str">
        <f t="shared" si="9"/>
        <v>124738</v>
      </c>
      <c r="Q90" s="112">
        <f>VLOOKUP(P90,deuda!A$1:J$551,4,0)</f>
        <v>0</v>
      </c>
      <c r="R90" s="112">
        <f>VLOOKUP(P90,deuda!A$1:H$551,5,0)</f>
        <v>3</v>
      </c>
      <c r="S90" s="112" t="str">
        <f>IF(VLOOKUP(P90,deuda!A$1:H$551,6,0)=0,"",VLOOKUP(P90,deuda!A$1:H$551,6,0))</f>
        <v/>
      </c>
      <c r="T90" s="113" t="str">
        <f>IF((VLOOKUP(P90,deuda!A$1:H$551,7,0))=0,"",VLOOKUP(P90,deuda!A$1:H$551,7,0))</f>
        <v/>
      </c>
      <c r="U90" s="114" t="str">
        <f>IF((VLOOKUP(P90,deuda!A$1:H$551,8,0))=0,"",VLOOKUP(P90,deuda!A$1:H$551,8,0))</f>
        <v/>
      </c>
    </row>
    <row r="91" spans="1:21">
      <c r="E91" s="25">
        <f>SUM(E83:E90)</f>
        <v>420.96159999999998</v>
      </c>
      <c r="H91" s="25">
        <f>SUM(H83:H90)</f>
        <v>420.96159999999998</v>
      </c>
      <c r="I91" s="606">
        <f>SUM(I83:I90)</f>
        <v>219.37500000000003</v>
      </c>
      <c r="J91" s="607">
        <f>SUM(J83:J90)</f>
        <v>0.10416666666666666</v>
      </c>
      <c r="K91" s="137">
        <f>SUM(K83:K90)</f>
        <v>3.6562500000000009</v>
      </c>
    </row>
  </sheetData>
  <mergeCells count="10">
    <mergeCell ref="A75:B75"/>
    <mergeCell ref="C75:E75"/>
    <mergeCell ref="A78:B78"/>
    <mergeCell ref="A10:B10"/>
    <mergeCell ref="A6:B6"/>
    <mergeCell ref="C6:E6"/>
    <mergeCell ref="A7:B7"/>
    <mergeCell ref="C7:E7"/>
    <mergeCell ref="A74:B74"/>
    <mergeCell ref="C74:E74"/>
  </mergeCells>
  <phoneticPr fontId="0" type="noConversion"/>
  <dataValidations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Q13:Q17 Q26:Q45 Q83:Q90" xr:uid="{00000000-0002-0000-1C00-000000000000}">
      <formula1>2</formula1>
      <formula2>2</formula2>
    </dataValidation>
  </dataValidations>
  <pageMargins left="0.39370078740157483" right="0.39370078740157483" top="0.86614173228346458" bottom="0.78740157480314965" header="0" footer="0"/>
  <pageSetup paperSize="9" scale="8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X1261"/>
  <sheetViews>
    <sheetView workbookViewId="0" xr3:uid="{842E5F09-E766-5B8D-85AF-A39847EA96FD}">
      <selection activeCell="E2" sqref="E2:E422"/>
    </sheetView>
  </sheetViews>
  <sheetFormatPr defaultRowHeight="12.75"/>
  <cols>
    <col min="1" max="1" width="12.28515625" bestFit="1" customWidth="1"/>
    <col min="2" max="5" width="11.42578125" customWidth="1"/>
    <col min="6" max="6" width="11.7109375" bestFit="1" customWidth="1"/>
    <col min="7" max="23" width="11.42578125" customWidth="1"/>
    <col min="24" max="24" width="11.7109375" bestFit="1" customWidth="1"/>
    <col min="25" max="256" width="11.42578125" customWidth="1"/>
  </cols>
  <sheetData>
    <row r="1" spans="1:24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X1" t="s">
        <v>64</v>
      </c>
    </row>
    <row r="2" spans="1:24">
      <c r="A2" s="592" t="str">
        <f>CONCATENATE(B2,C2)</f>
        <v>124229</v>
      </c>
      <c r="B2" s="592">
        <v>1242</v>
      </c>
      <c r="C2" s="590">
        <v>29</v>
      </c>
      <c r="D2" s="590">
        <v>0</v>
      </c>
      <c r="E2" s="590">
        <v>170</v>
      </c>
    </row>
    <row r="3" spans="1:24">
      <c r="A3" s="592" t="str">
        <f t="shared" ref="A3:A66" si="0">CONCATENATE(B3,C3)</f>
        <v>124230</v>
      </c>
      <c r="B3" s="592">
        <v>1242</v>
      </c>
      <c r="C3" s="590">
        <v>30</v>
      </c>
      <c r="D3" s="590">
        <v>1</v>
      </c>
      <c r="E3" s="590">
        <v>2</v>
      </c>
      <c r="G3" s="2"/>
      <c r="P3" s="96"/>
    </row>
    <row r="4" spans="1:24">
      <c r="A4" s="592" t="str">
        <f t="shared" si="0"/>
        <v>124242</v>
      </c>
      <c r="B4" s="592">
        <v>1242</v>
      </c>
      <c r="C4" s="590">
        <v>42</v>
      </c>
      <c r="D4" s="590">
        <v>1</v>
      </c>
      <c r="E4" s="590">
        <v>0</v>
      </c>
    </row>
    <row r="5" spans="1:24">
      <c r="A5" s="592" t="str">
        <f t="shared" si="0"/>
        <v>124244</v>
      </c>
      <c r="B5" s="592">
        <v>1242</v>
      </c>
      <c r="C5" s="590">
        <v>44</v>
      </c>
      <c r="D5" s="590">
        <v>1</v>
      </c>
      <c r="E5" s="590">
        <v>0</v>
      </c>
      <c r="G5" s="2"/>
    </row>
    <row r="6" spans="1:24">
      <c r="A6" s="592" t="str">
        <f t="shared" si="0"/>
        <v>124245</v>
      </c>
      <c r="B6" s="592">
        <v>1242</v>
      </c>
      <c r="C6" s="590">
        <v>45</v>
      </c>
      <c r="D6" s="590">
        <v>1</v>
      </c>
      <c r="E6" s="590">
        <v>1</v>
      </c>
    </row>
    <row r="7" spans="1:24">
      <c r="A7" s="592" t="str">
        <f t="shared" si="0"/>
        <v>124296</v>
      </c>
      <c r="B7" s="592">
        <v>1242</v>
      </c>
      <c r="C7" s="590">
        <v>96</v>
      </c>
      <c r="D7" s="590">
        <v>1</v>
      </c>
      <c r="E7" s="590">
        <v>0</v>
      </c>
      <c r="G7" s="2"/>
    </row>
    <row r="8" spans="1:24">
      <c r="A8" s="592" t="str">
        <f t="shared" si="0"/>
        <v>124297</v>
      </c>
      <c r="B8" s="592">
        <v>1242</v>
      </c>
      <c r="C8" s="590">
        <v>97</v>
      </c>
      <c r="D8" s="590">
        <v>1</v>
      </c>
      <c r="E8" s="590">
        <v>0</v>
      </c>
      <c r="G8" s="2"/>
    </row>
    <row r="9" spans="1:24">
      <c r="A9" s="592" t="str">
        <f t="shared" si="0"/>
        <v>124298</v>
      </c>
      <c r="B9" s="592">
        <v>1242</v>
      </c>
      <c r="C9" s="590">
        <v>98</v>
      </c>
      <c r="D9" s="590">
        <v>1</v>
      </c>
      <c r="E9" s="590">
        <v>0</v>
      </c>
      <c r="G9" s="2"/>
    </row>
    <row r="10" spans="1:24">
      <c r="A10" s="592" t="str">
        <f t="shared" si="0"/>
        <v>124299</v>
      </c>
      <c r="B10" s="592">
        <v>1242</v>
      </c>
      <c r="C10" s="590">
        <v>99</v>
      </c>
      <c r="D10" s="590">
        <v>1</v>
      </c>
      <c r="E10" s="590">
        <v>0</v>
      </c>
      <c r="G10" s="2"/>
    </row>
    <row r="11" spans="1:24">
      <c r="A11" s="592" t="str">
        <f t="shared" si="0"/>
        <v>1242100</v>
      </c>
      <c r="B11" s="592">
        <v>1242</v>
      </c>
      <c r="C11" s="590">
        <v>100</v>
      </c>
      <c r="D11" s="590">
        <v>1</v>
      </c>
      <c r="E11" s="590">
        <v>2</v>
      </c>
      <c r="G11" s="2"/>
    </row>
    <row r="12" spans="1:24">
      <c r="A12" s="592" t="str">
        <f t="shared" si="0"/>
        <v>1242101</v>
      </c>
      <c r="B12" s="592">
        <v>1242</v>
      </c>
      <c r="C12" s="590">
        <v>101</v>
      </c>
      <c r="D12" s="590">
        <v>1</v>
      </c>
      <c r="E12" s="590">
        <v>1</v>
      </c>
      <c r="G12" s="2"/>
    </row>
    <row r="13" spans="1:24">
      <c r="A13" s="592" t="str">
        <f t="shared" si="0"/>
        <v>1242103</v>
      </c>
      <c r="B13" s="592">
        <v>1242</v>
      </c>
      <c r="C13" s="590">
        <v>103</v>
      </c>
      <c r="D13" s="590">
        <v>1</v>
      </c>
      <c r="E13" s="590">
        <v>0</v>
      </c>
      <c r="G13" s="2"/>
    </row>
    <row r="14" spans="1:24">
      <c r="A14" s="592" t="str">
        <f t="shared" si="0"/>
        <v>1242104</v>
      </c>
      <c r="B14" s="592">
        <v>1242</v>
      </c>
      <c r="C14" s="590">
        <v>104</v>
      </c>
      <c r="D14" s="590">
        <v>1</v>
      </c>
      <c r="E14" s="590">
        <v>0</v>
      </c>
      <c r="G14" s="2"/>
    </row>
    <row r="15" spans="1:24">
      <c r="A15" s="592" t="str">
        <f t="shared" si="0"/>
        <v>1242114</v>
      </c>
      <c r="B15" s="592">
        <v>1242</v>
      </c>
      <c r="C15" s="590">
        <v>114</v>
      </c>
      <c r="D15" s="590">
        <v>1</v>
      </c>
      <c r="E15" s="590">
        <v>0</v>
      </c>
      <c r="G15" s="2"/>
    </row>
    <row r="16" spans="1:24">
      <c r="A16" s="592" t="str">
        <f t="shared" si="0"/>
        <v>1242116</v>
      </c>
      <c r="B16" s="592">
        <v>1242</v>
      </c>
      <c r="C16" s="590">
        <v>116</v>
      </c>
      <c r="D16" s="590">
        <v>0</v>
      </c>
      <c r="E16" s="590">
        <v>22</v>
      </c>
    </row>
    <row r="17" spans="1:7">
      <c r="A17" s="592" t="str">
        <f t="shared" si="0"/>
        <v>1242118</v>
      </c>
      <c r="B17" s="592">
        <v>1242</v>
      </c>
      <c r="C17" s="590">
        <v>118</v>
      </c>
      <c r="D17" s="590">
        <v>1</v>
      </c>
      <c r="E17" s="590">
        <v>0</v>
      </c>
      <c r="G17" s="2"/>
    </row>
    <row r="18" spans="1:7">
      <c r="A18" s="592" t="str">
        <f t="shared" si="0"/>
        <v>1242119</v>
      </c>
      <c r="B18" s="592">
        <v>1242</v>
      </c>
      <c r="C18" s="590">
        <v>119</v>
      </c>
      <c r="D18" s="590">
        <v>1</v>
      </c>
      <c r="E18" s="590">
        <v>0</v>
      </c>
    </row>
    <row r="19" spans="1:7">
      <c r="A19" s="592" t="str">
        <f t="shared" si="0"/>
        <v>1242120</v>
      </c>
      <c r="B19" s="592">
        <v>1242</v>
      </c>
      <c r="C19" s="590">
        <v>120</v>
      </c>
      <c r="D19" s="590">
        <v>0</v>
      </c>
      <c r="E19" s="590">
        <v>3</v>
      </c>
      <c r="G19" s="2"/>
    </row>
    <row r="20" spans="1:7">
      <c r="A20" s="592" t="str">
        <f t="shared" si="0"/>
        <v>1242121</v>
      </c>
      <c r="B20" s="592">
        <v>1242</v>
      </c>
      <c r="C20" s="590">
        <v>121</v>
      </c>
      <c r="D20" s="590">
        <v>1</v>
      </c>
      <c r="E20" s="590">
        <v>1</v>
      </c>
    </row>
    <row r="21" spans="1:7">
      <c r="A21" s="592" t="str">
        <f t="shared" si="0"/>
        <v>1242122</v>
      </c>
      <c r="B21" s="592">
        <v>1242</v>
      </c>
      <c r="C21" s="590">
        <v>122</v>
      </c>
      <c r="D21" s="590">
        <v>1</v>
      </c>
      <c r="E21" s="590">
        <v>1</v>
      </c>
    </row>
    <row r="22" spans="1:7">
      <c r="A22" s="592" t="str">
        <f t="shared" si="0"/>
        <v>1242123</v>
      </c>
      <c r="B22" s="592">
        <v>1242</v>
      </c>
      <c r="C22" s="590">
        <v>123</v>
      </c>
      <c r="D22" s="590">
        <v>1</v>
      </c>
      <c r="E22" s="590">
        <v>2</v>
      </c>
      <c r="G22" s="2"/>
    </row>
    <row r="23" spans="1:7">
      <c r="A23" s="592" t="str">
        <f t="shared" si="0"/>
        <v>1242126</v>
      </c>
      <c r="B23" s="592">
        <v>1242</v>
      </c>
      <c r="C23" s="590">
        <v>126</v>
      </c>
      <c r="D23" s="590">
        <v>0</v>
      </c>
      <c r="E23" s="590">
        <v>2</v>
      </c>
      <c r="G23" s="2"/>
    </row>
    <row r="24" spans="1:7">
      <c r="A24" s="592" t="str">
        <f t="shared" si="0"/>
        <v>1242127</v>
      </c>
      <c r="B24" s="592">
        <v>1242</v>
      </c>
      <c r="C24" s="590">
        <v>127</v>
      </c>
      <c r="D24" s="590">
        <v>1</v>
      </c>
      <c r="E24" s="590">
        <v>1</v>
      </c>
      <c r="G24" s="2"/>
    </row>
    <row r="25" spans="1:7">
      <c r="A25" s="592" t="str">
        <f t="shared" si="0"/>
        <v>1242128</v>
      </c>
      <c r="B25" s="592">
        <v>1242</v>
      </c>
      <c r="C25" s="590">
        <v>128</v>
      </c>
      <c r="D25" s="590">
        <v>0</v>
      </c>
      <c r="E25" s="590">
        <v>4</v>
      </c>
      <c r="G25" s="2"/>
    </row>
    <row r="26" spans="1:7">
      <c r="A26" s="592" t="str">
        <f t="shared" si="0"/>
        <v>1242129</v>
      </c>
      <c r="B26" s="592">
        <v>1242</v>
      </c>
      <c r="C26" s="590">
        <v>129</v>
      </c>
      <c r="D26" s="590">
        <v>0</v>
      </c>
      <c r="E26" s="590">
        <v>71</v>
      </c>
    </row>
    <row r="27" spans="1:7">
      <c r="A27" s="592" t="str">
        <f t="shared" si="0"/>
        <v>1242130</v>
      </c>
      <c r="B27" s="592">
        <v>1242</v>
      </c>
      <c r="C27" s="590">
        <v>130</v>
      </c>
      <c r="D27" s="590">
        <v>1</v>
      </c>
      <c r="E27" s="590">
        <v>2</v>
      </c>
      <c r="G27" s="2"/>
    </row>
    <row r="28" spans="1:7">
      <c r="A28" s="592" t="str">
        <f t="shared" si="0"/>
        <v>1242131</v>
      </c>
      <c r="B28" s="592">
        <v>1242</v>
      </c>
      <c r="C28" s="590">
        <v>131</v>
      </c>
      <c r="D28" s="590">
        <v>0</v>
      </c>
      <c r="E28" s="590">
        <v>5</v>
      </c>
    </row>
    <row r="29" spans="1:7">
      <c r="A29" s="592" t="str">
        <f t="shared" si="0"/>
        <v>1242132</v>
      </c>
      <c r="B29" s="592">
        <v>1242</v>
      </c>
      <c r="C29" s="590">
        <v>132</v>
      </c>
      <c r="D29" s="590">
        <v>1</v>
      </c>
      <c r="E29" s="590">
        <v>1</v>
      </c>
    </row>
    <row r="30" spans="1:7">
      <c r="A30" s="592" t="str">
        <f t="shared" si="0"/>
        <v>12431</v>
      </c>
      <c r="B30" s="592">
        <v>1243</v>
      </c>
      <c r="C30" s="590">
        <v>1</v>
      </c>
      <c r="D30" s="590">
        <v>1</v>
      </c>
      <c r="E30" s="590">
        <v>1</v>
      </c>
      <c r="G30" s="2"/>
    </row>
    <row r="31" spans="1:7">
      <c r="A31" s="592" t="str">
        <f t="shared" si="0"/>
        <v>12433</v>
      </c>
      <c r="B31" s="592">
        <v>1243</v>
      </c>
      <c r="C31" s="590">
        <v>3</v>
      </c>
      <c r="D31" s="590">
        <v>1</v>
      </c>
      <c r="E31" s="590">
        <v>2</v>
      </c>
    </row>
    <row r="32" spans="1:7">
      <c r="A32" s="592" t="str">
        <f t="shared" si="0"/>
        <v>12436</v>
      </c>
      <c r="B32" s="592">
        <v>1243</v>
      </c>
      <c r="C32" s="590">
        <v>6</v>
      </c>
      <c r="D32" s="590">
        <v>1</v>
      </c>
      <c r="E32" s="590">
        <v>0</v>
      </c>
      <c r="G32" s="2"/>
    </row>
    <row r="33" spans="1:7">
      <c r="A33" s="592" t="str">
        <f t="shared" si="0"/>
        <v>12437</v>
      </c>
      <c r="B33" s="592">
        <v>1243</v>
      </c>
      <c r="C33" s="590">
        <v>7</v>
      </c>
      <c r="D33" s="590">
        <v>1</v>
      </c>
      <c r="E33" s="590">
        <v>0</v>
      </c>
      <c r="G33" s="2"/>
    </row>
    <row r="34" spans="1:7">
      <c r="A34" s="592" t="str">
        <f t="shared" si="0"/>
        <v>124310</v>
      </c>
      <c r="B34" s="592">
        <v>1243</v>
      </c>
      <c r="C34" s="590">
        <v>10</v>
      </c>
      <c r="D34" s="590">
        <v>0</v>
      </c>
      <c r="E34" s="590">
        <v>174</v>
      </c>
      <c r="G34" s="2"/>
    </row>
    <row r="35" spans="1:7">
      <c r="A35" s="592" t="str">
        <f t="shared" si="0"/>
        <v>124311</v>
      </c>
      <c r="B35" s="592">
        <v>1243</v>
      </c>
      <c r="C35" s="590">
        <v>11</v>
      </c>
      <c r="D35" s="590">
        <v>1</v>
      </c>
      <c r="E35" s="590">
        <v>0</v>
      </c>
      <c r="G35" s="2"/>
    </row>
    <row r="36" spans="1:7">
      <c r="A36" s="592" t="str">
        <f t="shared" si="0"/>
        <v>124312</v>
      </c>
      <c r="B36" s="592">
        <v>1243</v>
      </c>
      <c r="C36" s="590">
        <v>12</v>
      </c>
      <c r="D36" s="590">
        <v>1</v>
      </c>
      <c r="E36" s="590">
        <v>0</v>
      </c>
      <c r="G36" s="2"/>
    </row>
    <row r="37" spans="1:7">
      <c r="A37" s="592" t="str">
        <f t="shared" si="0"/>
        <v>124313</v>
      </c>
      <c r="B37" s="592">
        <v>1243</v>
      </c>
      <c r="C37" s="590">
        <v>13</v>
      </c>
      <c r="D37" s="590">
        <v>1</v>
      </c>
      <c r="E37" s="590">
        <v>0</v>
      </c>
    </row>
    <row r="38" spans="1:7">
      <c r="A38" s="592" t="str">
        <f t="shared" si="0"/>
        <v>124314</v>
      </c>
      <c r="B38" s="592">
        <v>1243</v>
      </c>
      <c r="C38" s="590">
        <v>14</v>
      </c>
      <c r="D38" s="590">
        <v>1</v>
      </c>
      <c r="E38" s="590">
        <v>0</v>
      </c>
      <c r="G38" s="2"/>
    </row>
    <row r="39" spans="1:7">
      <c r="A39" s="592" t="str">
        <f t="shared" si="0"/>
        <v>124318</v>
      </c>
      <c r="B39" s="592">
        <v>1243</v>
      </c>
      <c r="C39" s="590">
        <v>18</v>
      </c>
      <c r="D39" s="590">
        <v>1</v>
      </c>
      <c r="E39" s="590">
        <v>0</v>
      </c>
      <c r="G39" s="2"/>
    </row>
    <row r="40" spans="1:7">
      <c r="A40" s="592" t="str">
        <f t="shared" si="0"/>
        <v>124319</v>
      </c>
      <c r="B40" s="592">
        <v>1243</v>
      </c>
      <c r="C40" s="590">
        <v>19</v>
      </c>
      <c r="D40" s="590">
        <v>0</v>
      </c>
      <c r="E40" s="590">
        <v>202</v>
      </c>
    </row>
    <row r="41" spans="1:7">
      <c r="A41" s="592" t="str">
        <f t="shared" si="0"/>
        <v>124321</v>
      </c>
      <c r="B41" s="592">
        <v>1243</v>
      </c>
      <c r="C41" s="590">
        <v>21</v>
      </c>
      <c r="D41" s="590">
        <v>1</v>
      </c>
      <c r="E41" s="590">
        <v>0</v>
      </c>
      <c r="G41" s="2"/>
    </row>
    <row r="42" spans="1:7">
      <c r="A42" s="592" t="str">
        <f t="shared" si="0"/>
        <v>124323</v>
      </c>
      <c r="B42" s="592">
        <v>1243</v>
      </c>
      <c r="C42" s="590">
        <v>23</v>
      </c>
      <c r="D42" s="590">
        <v>1</v>
      </c>
      <c r="E42" s="590">
        <v>1</v>
      </c>
      <c r="G42" s="2"/>
    </row>
    <row r="43" spans="1:7">
      <c r="A43" s="592" t="str">
        <f t="shared" si="0"/>
        <v>124333</v>
      </c>
      <c r="B43" s="592">
        <v>1243</v>
      </c>
      <c r="C43" s="590">
        <v>33</v>
      </c>
      <c r="D43" s="590">
        <v>1</v>
      </c>
      <c r="E43" s="590">
        <v>0</v>
      </c>
    </row>
    <row r="44" spans="1:7">
      <c r="A44" s="592" t="str">
        <f t="shared" si="0"/>
        <v>124334</v>
      </c>
      <c r="B44" s="592">
        <v>1243</v>
      </c>
      <c r="C44" s="590">
        <v>34</v>
      </c>
      <c r="D44" s="590">
        <v>1</v>
      </c>
      <c r="E44" s="590">
        <v>2</v>
      </c>
      <c r="G44" s="2"/>
    </row>
    <row r="45" spans="1:7">
      <c r="A45" s="592" t="str">
        <f t="shared" si="0"/>
        <v>124335</v>
      </c>
      <c r="B45" s="592">
        <v>1243</v>
      </c>
      <c r="C45" s="590">
        <v>35</v>
      </c>
      <c r="D45" s="590">
        <v>1</v>
      </c>
      <c r="E45" s="590">
        <v>1</v>
      </c>
    </row>
    <row r="46" spans="1:7">
      <c r="A46" s="592" t="str">
        <f t="shared" si="0"/>
        <v>124336</v>
      </c>
      <c r="B46" s="592">
        <v>1243</v>
      </c>
      <c r="C46" s="590">
        <v>36</v>
      </c>
      <c r="D46" s="590">
        <v>0</v>
      </c>
      <c r="E46" s="590">
        <v>75</v>
      </c>
    </row>
    <row r="47" spans="1:7">
      <c r="A47" s="592" t="str">
        <f t="shared" si="0"/>
        <v>124337</v>
      </c>
      <c r="B47" s="592">
        <v>1243</v>
      </c>
      <c r="C47" s="590">
        <v>37</v>
      </c>
      <c r="D47" s="590">
        <v>1</v>
      </c>
      <c r="E47" s="590">
        <v>0</v>
      </c>
      <c r="G47" s="2"/>
    </row>
    <row r="48" spans="1:7">
      <c r="A48" s="592" t="str">
        <f t="shared" si="0"/>
        <v>124338</v>
      </c>
      <c r="B48" s="592">
        <v>1243</v>
      </c>
      <c r="C48" s="590">
        <v>38</v>
      </c>
      <c r="D48" s="590">
        <v>1</v>
      </c>
      <c r="E48" s="590">
        <v>1</v>
      </c>
    </row>
    <row r="49" spans="1:7">
      <c r="A49" s="592" t="str">
        <f t="shared" si="0"/>
        <v>124339</v>
      </c>
      <c r="B49" s="592">
        <v>1243</v>
      </c>
      <c r="C49" s="590">
        <v>39</v>
      </c>
      <c r="D49" s="590">
        <v>1</v>
      </c>
      <c r="E49" s="590">
        <v>2</v>
      </c>
      <c r="G49" s="2"/>
    </row>
    <row r="50" spans="1:7">
      <c r="A50" s="592" t="str">
        <f t="shared" si="0"/>
        <v>124340</v>
      </c>
      <c r="B50" s="592">
        <v>1243</v>
      </c>
      <c r="C50" s="590">
        <v>40</v>
      </c>
      <c r="D50" s="590">
        <v>1</v>
      </c>
      <c r="E50" s="590">
        <v>2</v>
      </c>
      <c r="G50" s="2"/>
    </row>
    <row r="51" spans="1:7">
      <c r="A51" s="592" t="str">
        <f t="shared" si="0"/>
        <v>124342</v>
      </c>
      <c r="B51" s="592">
        <v>1243</v>
      </c>
      <c r="C51" s="590">
        <v>42</v>
      </c>
      <c r="D51" s="590">
        <v>1</v>
      </c>
      <c r="E51" s="590">
        <v>0</v>
      </c>
      <c r="G51" s="2"/>
    </row>
    <row r="52" spans="1:7">
      <c r="A52" s="592" t="str">
        <f t="shared" si="0"/>
        <v>124345</v>
      </c>
      <c r="B52" s="592">
        <v>1243</v>
      </c>
      <c r="C52" s="590">
        <v>45</v>
      </c>
      <c r="D52" s="590">
        <v>1</v>
      </c>
      <c r="E52" s="590">
        <v>0</v>
      </c>
      <c r="G52" s="2"/>
    </row>
    <row r="53" spans="1:7">
      <c r="A53" s="592" t="str">
        <f t="shared" si="0"/>
        <v>124346</v>
      </c>
      <c r="B53" s="592">
        <v>1243</v>
      </c>
      <c r="C53" s="590">
        <v>46</v>
      </c>
      <c r="D53" s="590">
        <v>1</v>
      </c>
      <c r="E53" s="590">
        <v>0</v>
      </c>
    </row>
    <row r="54" spans="1:7">
      <c r="A54" s="592" t="str">
        <f t="shared" si="0"/>
        <v>124348</v>
      </c>
      <c r="B54" s="592">
        <v>1243</v>
      </c>
      <c r="C54" s="590">
        <v>48</v>
      </c>
      <c r="D54" s="590">
        <v>0</v>
      </c>
      <c r="E54" s="590">
        <v>26</v>
      </c>
      <c r="G54" s="2"/>
    </row>
    <row r="55" spans="1:7">
      <c r="A55" s="592" t="str">
        <f t="shared" si="0"/>
        <v>124349</v>
      </c>
      <c r="B55" s="592">
        <v>1243</v>
      </c>
      <c r="C55" s="590">
        <v>49</v>
      </c>
      <c r="D55" s="590">
        <v>1</v>
      </c>
      <c r="E55" s="590">
        <v>2</v>
      </c>
      <c r="G55" s="2"/>
    </row>
    <row r="56" spans="1:7">
      <c r="A56" s="592" t="str">
        <f t="shared" si="0"/>
        <v>124350</v>
      </c>
      <c r="B56" s="592">
        <v>1243</v>
      </c>
      <c r="C56" s="590">
        <v>50</v>
      </c>
      <c r="D56" s="590">
        <v>1</v>
      </c>
      <c r="E56" s="590">
        <v>0</v>
      </c>
    </row>
    <row r="57" spans="1:7">
      <c r="A57" s="592" t="str">
        <f t="shared" si="0"/>
        <v>124351</v>
      </c>
      <c r="B57" s="592">
        <v>1243</v>
      </c>
      <c r="C57" s="590">
        <v>51</v>
      </c>
      <c r="D57" s="590">
        <v>1</v>
      </c>
      <c r="E57" s="590">
        <v>0</v>
      </c>
    </row>
    <row r="58" spans="1:7">
      <c r="A58" s="592" t="str">
        <f t="shared" si="0"/>
        <v>124352</v>
      </c>
      <c r="B58" s="592">
        <v>1243</v>
      </c>
      <c r="C58" s="590">
        <v>52</v>
      </c>
      <c r="D58" s="590">
        <v>1</v>
      </c>
      <c r="E58" s="590">
        <v>0</v>
      </c>
    </row>
    <row r="59" spans="1:7">
      <c r="A59" s="592" t="str">
        <f t="shared" si="0"/>
        <v>124353</v>
      </c>
      <c r="B59" s="592">
        <v>1243</v>
      </c>
      <c r="C59" s="590">
        <v>53</v>
      </c>
      <c r="D59" s="590">
        <v>1</v>
      </c>
      <c r="E59" s="590">
        <v>0</v>
      </c>
      <c r="G59" s="2"/>
    </row>
    <row r="60" spans="1:7">
      <c r="A60" s="592" t="str">
        <f t="shared" si="0"/>
        <v>124354</v>
      </c>
      <c r="B60" s="592">
        <v>1243</v>
      </c>
      <c r="C60" s="590">
        <v>54</v>
      </c>
      <c r="D60" s="590">
        <v>1</v>
      </c>
      <c r="E60" s="590">
        <v>0</v>
      </c>
      <c r="G60" s="2"/>
    </row>
    <row r="61" spans="1:7">
      <c r="A61" s="592" t="str">
        <f t="shared" si="0"/>
        <v>124355</v>
      </c>
      <c r="B61" s="592">
        <v>1243</v>
      </c>
      <c r="C61" s="590">
        <v>55</v>
      </c>
      <c r="D61" s="590">
        <v>1</v>
      </c>
      <c r="E61" s="590">
        <v>1</v>
      </c>
      <c r="G61" s="2"/>
    </row>
    <row r="62" spans="1:7">
      <c r="A62" s="592" t="str">
        <f t="shared" si="0"/>
        <v>12453</v>
      </c>
      <c r="B62" s="592">
        <v>1245</v>
      </c>
      <c r="C62" s="590">
        <v>3</v>
      </c>
      <c r="D62" s="590">
        <v>1</v>
      </c>
      <c r="E62" s="590">
        <v>0</v>
      </c>
      <c r="G62" s="2"/>
    </row>
    <row r="63" spans="1:7">
      <c r="A63" s="592" t="str">
        <f t="shared" si="0"/>
        <v>12459</v>
      </c>
      <c r="B63" s="592">
        <v>1245</v>
      </c>
      <c r="C63" s="590">
        <v>9</v>
      </c>
      <c r="D63" s="590">
        <v>1</v>
      </c>
      <c r="E63" s="590">
        <v>0</v>
      </c>
      <c r="G63" s="2"/>
    </row>
    <row r="64" spans="1:7">
      <c r="A64" s="592" t="str">
        <f t="shared" si="0"/>
        <v>124510</v>
      </c>
      <c r="B64" s="592">
        <v>1245</v>
      </c>
      <c r="C64" s="590">
        <v>10</v>
      </c>
      <c r="D64" s="590">
        <v>1</v>
      </c>
      <c r="E64" s="590">
        <v>0</v>
      </c>
      <c r="G64" s="2"/>
    </row>
    <row r="65" spans="1:7">
      <c r="A65" s="592" t="str">
        <f t="shared" si="0"/>
        <v>124514</v>
      </c>
      <c r="B65" s="592">
        <v>1245</v>
      </c>
      <c r="C65" s="590">
        <v>14</v>
      </c>
      <c r="D65" s="590">
        <v>1</v>
      </c>
      <c r="E65" s="590">
        <v>1</v>
      </c>
      <c r="G65" s="2"/>
    </row>
    <row r="66" spans="1:7">
      <c r="A66" s="592" t="str">
        <f t="shared" si="0"/>
        <v>124515</v>
      </c>
      <c r="B66" s="592">
        <v>1245</v>
      </c>
      <c r="C66" s="590">
        <v>15</v>
      </c>
      <c r="D66" s="590">
        <v>1</v>
      </c>
      <c r="E66" s="590">
        <v>0</v>
      </c>
      <c r="G66" s="2"/>
    </row>
    <row r="67" spans="1:7">
      <c r="A67" s="592" t="str">
        <f t="shared" ref="A67:A130" si="1">CONCATENATE(B67,C67)</f>
        <v>124516</v>
      </c>
      <c r="B67" s="592">
        <v>1245</v>
      </c>
      <c r="C67" s="590">
        <v>16</v>
      </c>
      <c r="D67" s="590">
        <v>1</v>
      </c>
      <c r="E67" s="590">
        <v>0</v>
      </c>
    </row>
    <row r="68" spans="1:7">
      <c r="A68" s="592" t="str">
        <f t="shared" si="1"/>
        <v>124520</v>
      </c>
      <c r="B68" s="592">
        <v>1245</v>
      </c>
      <c r="C68" s="590">
        <v>20</v>
      </c>
      <c r="D68" s="590">
        <v>0</v>
      </c>
      <c r="E68" s="590">
        <v>204</v>
      </c>
    </row>
    <row r="69" spans="1:7">
      <c r="A69" s="592" t="str">
        <f t="shared" si="1"/>
        <v>124521</v>
      </c>
      <c r="B69" s="592">
        <v>1245</v>
      </c>
      <c r="C69" s="590">
        <v>21</v>
      </c>
      <c r="D69" s="590">
        <v>0</v>
      </c>
      <c r="E69" s="590">
        <v>203</v>
      </c>
      <c r="G69" s="2"/>
    </row>
    <row r="70" spans="1:7">
      <c r="A70" s="592" t="str">
        <f t="shared" si="1"/>
        <v>124522</v>
      </c>
      <c r="B70" s="592">
        <v>1245</v>
      </c>
      <c r="C70" s="590">
        <v>22</v>
      </c>
      <c r="D70" s="590">
        <v>1</v>
      </c>
      <c r="E70" s="590">
        <v>0</v>
      </c>
      <c r="G70" s="2"/>
    </row>
    <row r="71" spans="1:7">
      <c r="A71" s="592" t="str">
        <f t="shared" si="1"/>
        <v>124525</v>
      </c>
      <c r="B71" s="592">
        <v>1245</v>
      </c>
      <c r="C71" s="590">
        <v>25</v>
      </c>
      <c r="D71" s="590">
        <v>1</v>
      </c>
      <c r="E71" s="590">
        <v>0</v>
      </c>
      <c r="G71" s="2"/>
    </row>
    <row r="72" spans="1:7">
      <c r="A72" s="592" t="str">
        <f t="shared" si="1"/>
        <v>124528</v>
      </c>
      <c r="B72" s="592">
        <v>1245</v>
      </c>
      <c r="C72" s="590">
        <v>28</v>
      </c>
      <c r="D72" s="590">
        <v>1</v>
      </c>
      <c r="E72" s="590">
        <v>2</v>
      </c>
    </row>
    <row r="73" spans="1:7">
      <c r="A73" s="592" t="str">
        <f t="shared" si="1"/>
        <v>124529</v>
      </c>
      <c r="B73" s="592">
        <v>1245</v>
      </c>
      <c r="C73" s="590">
        <v>29</v>
      </c>
      <c r="D73" s="590">
        <v>0</v>
      </c>
      <c r="E73" s="590">
        <v>80</v>
      </c>
      <c r="G73" s="2"/>
    </row>
    <row r="74" spans="1:7">
      <c r="A74" s="592" t="str">
        <f t="shared" si="1"/>
        <v>124530</v>
      </c>
      <c r="B74" s="592">
        <v>1245</v>
      </c>
      <c r="C74" s="590">
        <v>30</v>
      </c>
      <c r="D74" s="590">
        <v>1</v>
      </c>
      <c r="E74" s="590">
        <v>0</v>
      </c>
    </row>
    <row r="75" spans="1:7">
      <c r="A75" s="592" t="str">
        <f t="shared" si="1"/>
        <v>124531</v>
      </c>
      <c r="B75" s="592">
        <v>1245</v>
      </c>
      <c r="C75" s="590">
        <v>31</v>
      </c>
      <c r="D75" s="590">
        <v>1</v>
      </c>
      <c r="E75" s="590">
        <v>0</v>
      </c>
      <c r="G75" s="2"/>
    </row>
    <row r="76" spans="1:7">
      <c r="A76" s="592" t="str">
        <f t="shared" si="1"/>
        <v>124532</v>
      </c>
      <c r="B76" s="592">
        <v>1245</v>
      </c>
      <c r="C76" s="590">
        <v>32</v>
      </c>
      <c r="D76" s="590">
        <v>1</v>
      </c>
      <c r="E76" s="590">
        <v>2</v>
      </c>
      <c r="G76" s="2"/>
    </row>
    <row r="77" spans="1:7">
      <c r="A77" s="592" t="str">
        <f t="shared" si="1"/>
        <v>124533</v>
      </c>
      <c r="B77" s="592">
        <v>1245</v>
      </c>
      <c r="C77" s="590">
        <v>33</v>
      </c>
      <c r="D77" s="590">
        <v>1</v>
      </c>
      <c r="E77" s="590">
        <v>2</v>
      </c>
    </row>
    <row r="78" spans="1:7">
      <c r="A78" s="592" t="str">
        <f t="shared" si="1"/>
        <v>124534</v>
      </c>
      <c r="B78" s="592">
        <v>1245</v>
      </c>
      <c r="C78" s="590">
        <v>34</v>
      </c>
      <c r="D78" s="590">
        <v>1</v>
      </c>
      <c r="E78" s="590">
        <v>1</v>
      </c>
    </row>
    <row r="79" spans="1:7">
      <c r="A79" s="592" t="str">
        <f t="shared" si="1"/>
        <v>124535</v>
      </c>
      <c r="B79" s="592">
        <v>1245</v>
      </c>
      <c r="C79" s="590">
        <v>35</v>
      </c>
      <c r="D79" s="590">
        <v>1</v>
      </c>
      <c r="E79" s="590">
        <v>0</v>
      </c>
      <c r="G79" s="2"/>
    </row>
    <row r="80" spans="1:7">
      <c r="A80" s="592" t="str">
        <f t="shared" si="1"/>
        <v>124536</v>
      </c>
      <c r="B80" s="592">
        <v>1245</v>
      </c>
      <c r="C80" s="590">
        <v>36</v>
      </c>
      <c r="D80" s="590">
        <v>1</v>
      </c>
      <c r="E80" s="590">
        <v>0</v>
      </c>
      <c r="G80" s="2"/>
    </row>
    <row r="81" spans="1:7">
      <c r="A81" s="592" t="str">
        <f t="shared" si="1"/>
        <v>124539</v>
      </c>
      <c r="B81" s="592">
        <v>1245</v>
      </c>
      <c r="C81" s="590">
        <v>39</v>
      </c>
      <c r="D81" s="590">
        <v>1</v>
      </c>
      <c r="E81" s="590">
        <v>1</v>
      </c>
      <c r="G81" s="2"/>
    </row>
    <row r="82" spans="1:7">
      <c r="A82" s="592" t="str">
        <f t="shared" si="1"/>
        <v>124540</v>
      </c>
      <c r="B82" s="592">
        <v>1245</v>
      </c>
      <c r="C82" s="590">
        <v>40</v>
      </c>
      <c r="D82" s="590">
        <v>1</v>
      </c>
      <c r="E82" s="590">
        <v>0</v>
      </c>
    </row>
    <row r="83" spans="1:7">
      <c r="A83" s="592" t="str">
        <f t="shared" si="1"/>
        <v>124541</v>
      </c>
      <c r="B83" s="592">
        <v>1245</v>
      </c>
      <c r="C83" s="590">
        <v>41</v>
      </c>
      <c r="D83" s="590">
        <v>1</v>
      </c>
      <c r="E83" s="590">
        <v>0</v>
      </c>
    </row>
    <row r="84" spans="1:7">
      <c r="A84" s="592" t="str">
        <f t="shared" si="1"/>
        <v>124542</v>
      </c>
      <c r="B84" s="592">
        <v>1245</v>
      </c>
      <c r="C84" s="590">
        <v>42</v>
      </c>
      <c r="D84" s="590">
        <v>1</v>
      </c>
      <c r="E84" s="590">
        <v>0</v>
      </c>
      <c r="G84" s="2"/>
    </row>
    <row r="85" spans="1:7">
      <c r="A85" s="592" t="str">
        <f t="shared" si="1"/>
        <v>124543</v>
      </c>
      <c r="B85" s="592">
        <v>1245</v>
      </c>
      <c r="C85" s="590">
        <v>43</v>
      </c>
      <c r="D85" s="590">
        <v>0</v>
      </c>
      <c r="E85" s="590">
        <v>81</v>
      </c>
    </row>
    <row r="86" spans="1:7">
      <c r="A86" s="592" t="str">
        <f t="shared" si="1"/>
        <v>124544</v>
      </c>
      <c r="B86" s="592">
        <v>1245</v>
      </c>
      <c r="C86" s="590">
        <v>44</v>
      </c>
      <c r="D86" s="590">
        <v>0</v>
      </c>
      <c r="E86" s="590">
        <v>80</v>
      </c>
    </row>
    <row r="87" spans="1:7">
      <c r="A87" s="592" t="str">
        <f t="shared" si="1"/>
        <v>124545</v>
      </c>
      <c r="B87" s="592">
        <v>1245</v>
      </c>
      <c r="C87" s="590">
        <v>45</v>
      </c>
      <c r="D87" s="590">
        <v>0</v>
      </c>
      <c r="E87" s="590">
        <v>73</v>
      </c>
    </row>
    <row r="88" spans="1:7">
      <c r="A88" s="592" t="str">
        <f t="shared" si="1"/>
        <v>124548</v>
      </c>
      <c r="B88" s="592">
        <v>1245</v>
      </c>
      <c r="C88" s="590">
        <v>48</v>
      </c>
      <c r="D88" s="590">
        <v>1</v>
      </c>
      <c r="E88" s="590">
        <v>0</v>
      </c>
      <c r="G88" s="2"/>
    </row>
    <row r="89" spans="1:7">
      <c r="A89" s="592" t="str">
        <f t="shared" si="1"/>
        <v>124551</v>
      </c>
      <c r="B89" s="592">
        <v>1245</v>
      </c>
      <c r="C89" s="590">
        <v>51</v>
      </c>
      <c r="D89" s="590">
        <v>1</v>
      </c>
      <c r="E89" s="590">
        <v>0</v>
      </c>
      <c r="G89" s="2"/>
    </row>
    <row r="90" spans="1:7">
      <c r="A90" s="592" t="str">
        <f t="shared" si="1"/>
        <v>124552</v>
      </c>
      <c r="B90" s="592">
        <v>1245</v>
      </c>
      <c r="C90" s="590">
        <v>52</v>
      </c>
      <c r="D90" s="590">
        <v>1</v>
      </c>
      <c r="E90" s="590">
        <v>0</v>
      </c>
      <c r="G90" s="2"/>
    </row>
    <row r="91" spans="1:7">
      <c r="A91" s="592" t="str">
        <f t="shared" si="1"/>
        <v>124553</v>
      </c>
      <c r="B91" s="592">
        <v>1245</v>
      </c>
      <c r="C91" s="590">
        <v>53</v>
      </c>
      <c r="D91" s="590">
        <v>1</v>
      </c>
      <c r="E91" s="590">
        <v>0</v>
      </c>
      <c r="G91" s="2"/>
    </row>
    <row r="92" spans="1:7">
      <c r="A92" s="592" t="str">
        <f t="shared" si="1"/>
        <v>124567</v>
      </c>
      <c r="B92" s="592">
        <v>1245</v>
      </c>
      <c r="C92" s="590">
        <v>67</v>
      </c>
      <c r="D92" s="590">
        <v>0</v>
      </c>
      <c r="E92" s="590">
        <v>70</v>
      </c>
    </row>
    <row r="93" spans="1:7">
      <c r="A93" s="592" t="str">
        <f t="shared" si="1"/>
        <v>124571</v>
      </c>
      <c r="B93" s="592">
        <v>1245</v>
      </c>
      <c r="C93" s="590">
        <v>71</v>
      </c>
      <c r="D93" s="590">
        <v>0</v>
      </c>
      <c r="E93" s="590">
        <v>70</v>
      </c>
    </row>
    <row r="94" spans="1:7">
      <c r="A94" s="592" t="str">
        <f t="shared" si="1"/>
        <v>124572</v>
      </c>
      <c r="B94" s="592">
        <v>1245</v>
      </c>
      <c r="C94" s="590">
        <v>72</v>
      </c>
      <c r="D94" s="590">
        <v>1</v>
      </c>
      <c r="E94" s="590">
        <v>0</v>
      </c>
    </row>
    <row r="95" spans="1:7">
      <c r="A95" s="592" t="str">
        <f t="shared" si="1"/>
        <v>124573</v>
      </c>
      <c r="B95" s="592">
        <v>1245</v>
      </c>
      <c r="C95" s="590">
        <v>73</v>
      </c>
      <c r="D95" s="590">
        <v>1</v>
      </c>
      <c r="E95" s="590">
        <v>2</v>
      </c>
    </row>
    <row r="96" spans="1:7">
      <c r="A96" s="592" t="str">
        <f t="shared" si="1"/>
        <v>124574</v>
      </c>
      <c r="B96" s="592">
        <v>1245</v>
      </c>
      <c r="C96" s="590">
        <v>74</v>
      </c>
      <c r="D96" s="590">
        <v>1</v>
      </c>
      <c r="E96" s="590">
        <v>1</v>
      </c>
    </row>
    <row r="97" spans="1:7">
      <c r="A97" s="592" t="str">
        <f t="shared" si="1"/>
        <v>124575</v>
      </c>
      <c r="B97" s="592">
        <v>1245</v>
      </c>
      <c r="C97" s="590">
        <v>75</v>
      </c>
      <c r="D97" s="590">
        <v>1</v>
      </c>
      <c r="E97" s="590">
        <v>1</v>
      </c>
    </row>
    <row r="98" spans="1:7">
      <c r="A98" s="592" t="str">
        <f t="shared" si="1"/>
        <v>124576</v>
      </c>
      <c r="B98" s="592">
        <v>1245</v>
      </c>
      <c r="C98" s="590">
        <v>76</v>
      </c>
      <c r="D98" s="590">
        <v>1</v>
      </c>
      <c r="E98" s="590">
        <v>1</v>
      </c>
    </row>
    <row r="99" spans="1:7">
      <c r="A99" s="592" t="str">
        <f t="shared" si="1"/>
        <v>124577</v>
      </c>
      <c r="B99" s="592">
        <v>1245</v>
      </c>
      <c r="C99" s="590">
        <v>77</v>
      </c>
      <c r="D99" s="590">
        <v>1</v>
      </c>
      <c r="E99" s="590">
        <v>2</v>
      </c>
    </row>
    <row r="100" spans="1:7">
      <c r="A100" s="592" t="str">
        <f t="shared" si="1"/>
        <v>124578</v>
      </c>
      <c r="B100" s="592">
        <v>1245</v>
      </c>
      <c r="C100" s="590">
        <v>78</v>
      </c>
      <c r="D100" s="590">
        <v>1</v>
      </c>
      <c r="E100" s="590">
        <v>1</v>
      </c>
      <c r="G100" s="2"/>
    </row>
    <row r="101" spans="1:7">
      <c r="A101" s="592" t="str">
        <f t="shared" si="1"/>
        <v>12461</v>
      </c>
      <c r="B101" s="592">
        <v>1246</v>
      </c>
      <c r="C101" s="590">
        <v>1</v>
      </c>
      <c r="D101" s="590">
        <v>1</v>
      </c>
      <c r="E101" s="590">
        <v>0</v>
      </c>
    </row>
    <row r="102" spans="1:7">
      <c r="A102" s="592" t="str">
        <f t="shared" si="1"/>
        <v>12462</v>
      </c>
      <c r="B102" s="592">
        <v>1246</v>
      </c>
      <c r="C102" s="590">
        <v>2</v>
      </c>
      <c r="D102" s="590">
        <v>1</v>
      </c>
      <c r="E102" s="590">
        <v>0</v>
      </c>
    </row>
    <row r="103" spans="1:7">
      <c r="A103" s="592" t="str">
        <f t="shared" si="1"/>
        <v>12463</v>
      </c>
      <c r="B103" s="592">
        <v>1246</v>
      </c>
      <c r="C103" s="590">
        <v>3</v>
      </c>
      <c r="D103" s="590">
        <v>1</v>
      </c>
      <c r="E103" s="590">
        <v>0</v>
      </c>
      <c r="G103" s="2"/>
    </row>
    <row r="104" spans="1:7">
      <c r="A104" s="592" t="str">
        <f t="shared" si="1"/>
        <v>12465</v>
      </c>
      <c r="B104" s="592">
        <v>1246</v>
      </c>
      <c r="C104" s="590">
        <v>5</v>
      </c>
      <c r="D104" s="590">
        <v>1</v>
      </c>
      <c r="E104" s="590">
        <v>0</v>
      </c>
      <c r="G104" s="2"/>
    </row>
    <row r="105" spans="1:7">
      <c r="A105" s="592" t="str">
        <f t="shared" si="1"/>
        <v>12466</v>
      </c>
      <c r="B105" s="592">
        <v>1246</v>
      </c>
      <c r="C105" s="590">
        <v>6</v>
      </c>
      <c r="D105" s="590">
        <v>1</v>
      </c>
      <c r="E105" s="590">
        <v>0</v>
      </c>
      <c r="G105" s="2"/>
    </row>
    <row r="106" spans="1:7">
      <c r="A106" s="592" t="str">
        <f t="shared" si="1"/>
        <v>124618</v>
      </c>
      <c r="B106" s="592">
        <v>1246</v>
      </c>
      <c r="C106" s="590">
        <v>18</v>
      </c>
      <c r="D106" s="590">
        <v>1</v>
      </c>
      <c r="E106" s="590">
        <v>0</v>
      </c>
      <c r="G106" s="2"/>
    </row>
    <row r="107" spans="1:7">
      <c r="A107" s="592" t="str">
        <f t="shared" si="1"/>
        <v>124619</v>
      </c>
      <c r="B107" s="592">
        <v>1246</v>
      </c>
      <c r="C107" s="590">
        <v>19</v>
      </c>
      <c r="D107" s="590">
        <v>1</v>
      </c>
      <c r="E107" s="590">
        <v>1</v>
      </c>
      <c r="G107" s="2"/>
    </row>
    <row r="108" spans="1:7">
      <c r="A108" s="592" t="str">
        <f t="shared" si="1"/>
        <v>124621</v>
      </c>
      <c r="B108" s="592">
        <v>1246</v>
      </c>
      <c r="C108" s="590">
        <v>21</v>
      </c>
      <c r="D108" s="590">
        <v>1</v>
      </c>
      <c r="E108" s="590">
        <v>2</v>
      </c>
      <c r="G108" s="2"/>
    </row>
    <row r="109" spans="1:7">
      <c r="A109" s="592" t="str">
        <f t="shared" si="1"/>
        <v>124622</v>
      </c>
      <c r="B109" s="592">
        <v>1246</v>
      </c>
      <c r="C109" s="590">
        <v>22</v>
      </c>
      <c r="D109" s="590">
        <v>1</v>
      </c>
      <c r="E109" s="590">
        <v>1</v>
      </c>
      <c r="G109" s="2"/>
    </row>
    <row r="110" spans="1:7">
      <c r="A110" s="592" t="str">
        <f t="shared" si="1"/>
        <v>124623</v>
      </c>
      <c r="B110" s="592">
        <v>1246</v>
      </c>
      <c r="C110" s="590">
        <v>23</v>
      </c>
      <c r="D110" s="590">
        <v>1</v>
      </c>
      <c r="E110" s="590">
        <v>1</v>
      </c>
      <c r="G110" s="2"/>
    </row>
    <row r="111" spans="1:7">
      <c r="A111" s="592" t="str">
        <f t="shared" si="1"/>
        <v>124626</v>
      </c>
      <c r="B111" s="592">
        <v>1246</v>
      </c>
      <c r="C111" s="590">
        <v>26</v>
      </c>
      <c r="D111" s="590">
        <v>1</v>
      </c>
      <c r="E111" s="590">
        <v>1</v>
      </c>
    </row>
    <row r="112" spans="1:7">
      <c r="A112" s="592" t="str">
        <f t="shared" si="1"/>
        <v>124636</v>
      </c>
      <c r="B112" s="592">
        <v>1246</v>
      </c>
      <c r="C112" s="590">
        <v>36</v>
      </c>
      <c r="D112" s="590">
        <v>1</v>
      </c>
      <c r="E112" s="590">
        <v>0</v>
      </c>
      <c r="G112" s="2"/>
    </row>
    <row r="113" spans="1:7">
      <c r="A113" s="592" t="str">
        <f t="shared" si="1"/>
        <v>124637</v>
      </c>
      <c r="B113" s="592">
        <v>1246</v>
      </c>
      <c r="C113" s="590">
        <v>37</v>
      </c>
      <c r="D113" s="590">
        <v>1</v>
      </c>
      <c r="E113" s="590">
        <v>0</v>
      </c>
    </row>
    <row r="114" spans="1:7">
      <c r="A114" s="592" t="str">
        <f t="shared" si="1"/>
        <v>124638</v>
      </c>
      <c r="B114" s="592">
        <v>1246</v>
      </c>
      <c r="C114" s="590">
        <v>38</v>
      </c>
      <c r="D114" s="590">
        <v>1</v>
      </c>
      <c r="E114" s="590">
        <v>2</v>
      </c>
      <c r="G114" s="2"/>
    </row>
    <row r="115" spans="1:7">
      <c r="A115" s="592" t="str">
        <f t="shared" si="1"/>
        <v>124639</v>
      </c>
      <c r="B115" s="592">
        <v>1246</v>
      </c>
      <c r="C115" s="590">
        <v>39</v>
      </c>
      <c r="D115" s="590">
        <v>1</v>
      </c>
      <c r="E115" s="590">
        <v>1</v>
      </c>
    </row>
    <row r="116" spans="1:7">
      <c r="A116" s="592" t="str">
        <f t="shared" si="1"/>
        <v>124640</v>
      </c>
      <c r="B116" s="592">
        <v>1246</v>
      </c>
      <c r="C116" s="590">
        <v>40</v>
      </c>
      <c r="D116" s="590">
        <v>1</v>
      </c>
      <c r="E116" s="590">
        <v>2</v>
      </c>
      <c r="G116" s="2"/>
    </row>
    <row r="117" spans="1:7">
      <c r="A117" s="592" t="str">
        <f t="shared" si="1"/>
        <v>124641</v>
      </c>
      <c r="B117" s="592">
        <v>1246</v>
      </c>
      <c r="C117" s="590">
        <v>41</v>
      </c>
      <c r="D117" s="590">
        <v>1</v>
      </c>
      <c r="E117" s="590">
        <v>2</v>
      </c>
    </row>
    <row r="118" spans="1:7">
      <c r="A118" s="592" t="str">
        <f t="shared" si="1"/>
        <v>124642</v>
      </c>
      <c r="B118" s="592">
        <v>1246</v>
      </c>
      <c r="C118" s="590">
        <v>42</v>
      </c>
      <c r="D118" s="590">
        <v>1</v>
      </c>
      <c r="E118" s="590">
        <v>0</v>
      </c>
      <c r="G118" s="2"/>
    </row>
    <row r="119" spans="1:7">
      <c r="A119" s="592" t="str">
        <f t="shared" si="1"/>
        <v>12471</v>
      </c>
      <c r="B119" s="592">
        <v>1247</v>
      </c>
      <c r="C119" s="590">
        <v>1</v>
      </c>
      <c r="D119" s="590">
        <v>1</v>
      </c>
      <c r="E119" s="590">
        <v>0</v>
      </c>
    </row>
    <row r="120" spans="1:7">
      <c r="A120" s="592" t="str">
        <f t="shared" si="1"/>
        <v>12472</v>
      </c>
      <c r="B120" s="592">
        <v>1247</v>
      </c>
      <c r="C120" s="590">
        <v>2</v>
      </c>
      <c r="D120" s="590">
        <v>1</v>
      </c>
      <c r="E120" s="590">
        <v>0</v>
      </c>
      <c r="G120" s="2"/>
    </row>
    <row r="121" spans="1:7">
      <c r="A121" s="592" t="str">
        <f t="shared" si="1"/>
        <v>12473</v>
      </c>
      <c r="B121" s="592">
        <v>1247</v>
      </c>
      <c r="C121" s="590">
        <v>3</v>
      </c>
      <c r="D121" s="590">
        <v>1</v>
      </c>
      <c r="E121" s="590">
        <v>1</v>
      </c>
      <c r="G121" s="2"/>
    </row>
    <row r="122" spans="1:7">
      <c r="A122" s="592" t="str">
        <f t="shared" si="1"/>
        <v>12476</v>
      </c>
      <c r="B122" s="592">
        <v>1247</v>
      </c>
      <c r="C122" s="590">
        <v>6</v>
      </c>
      <c r="D122" s="590">
        <v>0</v>
      </c>
      <c r="E122" s="590">
        <v>8</v>
      </c>
      <c r="G122" s="2"/>
    </row>
    <row r="123" spans="1:7">
      <c r="A123" s="592" t="str">
        <f t="shared" si="1"/>
        <v>12477</v>
      </c>
      <c r="B123" s="592">
        <v>1247</v>
      </c>
      <c r="C123" s="590">
        <v>7</v>
      </c>
      <c r="D123" s="590">
        <v>1</v>
      </c>
      <c r="E123" s="590">
        <v>0</v>
      </c>
      <c r="G123" s="2"/>
    </row>
    <row r="124" spans="1:7">
      <c r="A124" s="592" t="str">
        <f t="shared" si="1"/>
        <v>124714</v>
      </c>
      <c r="B124" s="592">
        <v>1247</v>
      </c>
      <c r="C124" s="590">
        <v>14</v>
      </c>
      <c r="D124" s="590">
        <v>1</v>
      </c>
      <c r="E124" s="590">
        <v>0</v>
      </c>
      <c r="G124" s="2"/>
    </row>
    <row r="125" spans="1:7">
      <c r="A125" s="592" t="str">
        <f t="shared" si="1"/>
        <v>124715</v>
      </c>
      <c r="B125" s="592">
        <v>1247</v>
      </c>
      <c r="C125" s="590">
        <v>15</v>
      </c>
      <c r="D125" s="590">
        <v>1</v>
      </c>
      <c r="E125" s="590">
        <v>1</v>
      </c>
      <c r="G125" s="2"/>
    </row>
    <row r="126" spans="1:7">
      <c r="A126" s="592" t="str">
        <f t="shared" si="1"/>
        <v>124716</v>
      </c>
      <c r="B126" s="592">
        <v>1247</v>
      </c>
      <c r="C126" s="590">
        <v>16</v>
      </c>
      <c r="D126" s="590">
        <v>1</v>
      </c>
      <c r="E126" s="590">
        <v>1</v>
      </c>
      <c r="G126" s="2"/>
    </row>
    <row r="127" spans="1:7">
      <c r="A127" s="592" t="str">
        <f t="shared" si="1"/>
        <v>124718</v>
      </c>
      <c r="B127" s="592">
        <v>1247</v>
      </c>
      <c r="C127" s="590">
        <v>18</v>
      </c>
      <c r="D127" s="590">
        <v>1</v>
      </c>
      <c r="E127" s="590">
        <v>0</v>
      </c>
    </row>
    <row r="128" spans="1:7">
      <c r="A128" s="592" t="str">
        <f t="shared" si="1"/>
        <v>124719</v>
      </c>
      <c r="B128" s="592">
        <v>1247</v>
      </c>
      <c r="C128" s="590">
        <v>19</v>
      </c>
      <c r="D128" s="590">
        <v>1</v>
      </c>
      <c r="E128" s="590">
        <v>0</v>
      </c>
      <c r="G128" s="2"/>
    </row>
    <row r="129" spans="1:7">
      <c r="A129" s="592" t="str">
        <f t="shared" si="1"/>
        <v>124720</v>
      </c>
      <c r="B129" s="592">
        <v>1247</v>
      </c>
      <c r="C129" s="590">
        <v>20</v>
      </c>
      <c r="D129" s="590">
        <v>1</v>
      </c>
      <c r="E129" s="590">
        <v>2</v>
      </c>
    </row>
    <row r="130" spans="1:7">
      <c r="A130" s="592" t="str">
        <f t="shared" si="1"/>
        <v>124722</v>
      </c>
      <c r="B130" s="592">
        <v>1247</v>
      </c>
      <c r="C130" s="590">
        <v>22</v>
      </c>
      <c r="D130" s="590">
        <v>1</v>
      </c>
      <c r="E130" s="590">
        <v>2</v>
      </c>
      <c r="G130" s="2"/>
    </row>
    <row r="131" spans="1:7">
      <c r="A131" s="592" t="str">
        <f t="shared" ref="A131:A194" si="2">CONCATENATE(B131,C131)</f>
        <v>124723</v>
      </c>
      <c r="B131" s="592">
        <v>1247</v>
      </c>
      <c r="C131" s="590">
        <v>23</v>
      </c>
      <c r="D131" s="590">
        <v>0</v>
      </c>
      <c r="E131" s="590">
        <v>192</v>
      </c>
      <c r="G131" s="2"/>
    </row>
    <row r="132" spans="1:7">
      <c r="A132" s="592" t="str">
        <f t="shared" si="2"/>
        <v>124724</v>
      </c>
      <c r="B132" s="592">
        <v>1247</v>
      </c>
      <c r="C132" s="590">
        <v>24</v>
      </c>
      <c r="D132" s="590">
        <v>1</v>
      </c>
      <c r="E132" s="590">
        <v>0</v>
      </c>
      <c r="G132" s="2"/>
    </row>
    <row r="133" spans="1:7">
      <c r="A133" s="592" t="str">
        <f t="shared" si="2"/>
        <v>124725</v>
      </c>
      <c r="B133" s="592">
        <v>1247</v>
      </c>
      <c r="C133" s="590">
        <v>25</v>
      </c>
      <c r="D133" s="590">
        <v>1</v>
      </c>
      <c r="E133" s="590">
        <v>0</v>
      </c>
      <c r="G133" s="2"/>
    </row>
    <row r="134" spans="1:7">
      <c r="A134" s="592" t="str">
        <f t="shared" si="2"/>
        <v>124727</v>
      </c>
      <c r="B134" s="592">
        <v>1247</v>
      </c>
      <c r="C134" s="590">
        <v>27</v>
      </c>
      <c r="D134" s="590">
        <v>1</v>
      </c>
      <c r="E134" s="590">
        <v>1</v>
      </c>
    </row>
    <row r="135" spans="1:7">
      <c r="A135" s="592" t="str">
        <f t="shared" si="2"/>
        <v>124728</v>
      </c>
      <c r="B135" s="592">
        <v>1247</v>
      </c>
      <c r="C135" s="590">
        <v>28</v>
      </c>
      <c r="D135" s="590">
        <v>1</v>
      </c>
      <c r="E135" s="590">
        <v>0</v>
      </c>
      <c r="G135" s="2"/>
    </row>
    <row r="136" spans="1:7">
      <c r="A136" s="592" t="str">
        <f t="shared" si="2"/>
        <v>124730</v>
      </c>
      <c r="B136" s="592">
        <v>1247</v>
      </c>
      <c r="C136" s="590">
        <v>30</v>
      </c>
      <c r="D136" s="590">
        <v>1</v>
      </c>
      <c r="E136" s="590">
        <v>0</v>
      </c>
    </row>
    <row r="137" spans="1:7">
      <c r="A137" s="592" t="str">
        <f t="shared" si="2"/>
        <v>124731</v>
      </c>
      <c r="B137" s="592">
        <v>1247</v>
      </c>
      <c r="C137" s="590">
        <v>31</v>
      </c>
      <c r="D137" s="590">
        <v>1</v>
      </c>
      <c r="E137" s="590">
        <v>0</v>
      </c>
    </row>
    <row r="138" spans="1:7">
      <c r="A138" s="592" t="str">
        <f t="shared" si="2"/>
        <v>124732</v>
      </c>
      <c r="B138" s="592">
        <v>1247</v>
      </c>
      <c r="C138" s="590">
        <v>32</v>
      </c>
      <c r="D138" s="590">
        <v>1</v>
      </c>
      <c r="E138" s="590">
        <v>0</v>
      </c>
      <c r="G138" s="2"/>
    </row>
    <row r="139" spans="1:7">
      <c r="A139" s="592" t="str">
        <f t="shared" si="2"/>
        <v>124733</v>
      </c>
      <c r="B139" s="592">
        <v>1247</v>
      </c>
      <c r="C139" s="590">
        <v>33</v>
      </c>
      <c r="D139" s="590">
        <v>0</v>
      </c>
      <c r="E139" s="590">
        <v>157</v>
      </c>
      <c r="G139" s="2"/>
    </row>
    <row r="140" spans="1:7">
      <c r="A140" s="592" t="str">
        <f t="shared" si="2"/>
        <v>124734</v>
      </c>
      <c r="B140" s="592">
        <v>1247</v>
      </c>
      <c r="C140" s="590">
        <v>34</v>
      </c>
      <c r="D140" s="590">
        <v>1</v>
      </c>
      <c r="E140" s="590">
        <v>0</v>
      </c>
    </row>
    <row r="141" spans="1:7">
      <c r="A141" s="592" t="str">
        <f t="shared" si="2"/>
        <v>124736</v>
      </c>
      <c r="B141" s="592">
        <v>1247</v>
      </c>
      <c r="C141" s="590">
        <v>36</v>
      </c>
      <c r="D141" s="590">
        <v>1</v>
      </c>
      <c r="E141" s="590">
        <v>0</v>
      </c>
      <c r="G141" s="2"/>
    </row>
    <row r="142" spans="1:7">
      <c r="A142" s="592" t="str">
        <f t="shared" si="2"/>
        <v>124737</v>
      </c>
      <c r="B142" s="592">
        <v>1247</v>
      </c>
      <c r="C142" s="590">
        <v>37</v>
      </c>
      <c r="D142" s="590">
        <v>0</v>
      </c>
      <c r="E142" s="590">
        <v>166</v>
      </c>
    </row>
    <row r="143" spans="1:7">
      <c r="A143" s="592" t="str">
        <f t="shared" si="2"/>
        <v>124738</v>
      </c>
      <c r="B143" s="592">
        <v>1247</v>
      </c>
      <c r="C143" s="590">
        <v>38</v>
      </c>
      <c r="D143" s="590">
        <v>0</v>
      </c>
      <c r="E143" s="590">
        <v>3</v>
      </c>
      <c r="G143" s="2"/>
    </row>
    <row r="144" spans="1:7">
      <c r="A144" s="592" t="str">
        <f t="shared" si="2"/>
        <v>124739</v>
      </c>
      <c r="B144" s="592">
        <v>1247</v>
      </c>
      <c r="C144" s="590">
        <v>39</v>
      </c>
      <c r="D144" s="590">
        <v>1</v>
      </c>
      <c r="E144" s="590">
        <v>0</v>
      </c>
      <c r="G144" s="2"/>
    </row>
    <row r="145" spans="1:7">
      <c r="A145" s="592" t="str">
        <f t="shared" si="2"/>
        <v>124741</v>
      </c>
      <c r="B145" s="592">
        <v>1247</v>
      </c>
      <c r="C145" s="590">
        <v>41</v>
      </c>
      <c r="D145" s="590">
        <v>1</v>
      </c>
      <c r="E145" s="590">
        <v>0</v>
      </c>
      <c r="G145" s="2"/>
    </row>
    <row r="146" spans="1:7">
      <c r="A146" s="592" t="str">
        <f t="shared" si="2"/>
        <v>124742</v>
      </c>
      <c r="B146" s="592">
        <v>1247</v>
      </c>
      <c r="C146" s="590">
        <v>42</v>
      </c>
      <c r="D146" s="590">
        <v>1</v>
      </c>
      <c r="E146" s="590">
        <v>0</v>
      </c>
      <c r="G146" s="2"/>
    </row>
    <row r="147" spans="1:7">
      <c r="A147" s="592" t="str">
        <f t="shared" si="2"/>
        <v>124743</v>
      </c>
      <c r="B147" s="592">
        <v>1247</v>
      </c>
      <c r="C147" s="590">
        <v>43</v>
      </c>
      <c r="D147" s="590">
        <v>1</v>
      </c>
      <c r="E147" s="590">
        <v>0</v>
      </c>
      <c r="G147" s="2"/>
    </row>
    <row r="148" spans="1:7">
      <c r="A148" s="592" t="str">
        <f t="shared" si="2"/>
        <v>124744</v>
      </c>
      <c r="B148" s="592">
        <v>1247</v>
      </c>
      <c r="C148" s="590">
        <v>44</v>
      </c>
      <c r="D148" s="590">
        <v>1</v>
      </c>
      <c r="E148" s="590">
        <v>0</v>
      </c>
      <c r="G148" s="2"/>
    </row>
    <row r="149" spans="1:7">
      <c r="A149" s="592" t="str">
        <f t="shared" si="2"/>
        <v>124745</v>
      </c>
      <c r="B149" s="592">
        <v>1247</v>
      </c>
      <c r="C149" s="590">
        <v>45</v>
      </c>
      <c r="D149" s="590">
        <v>1</v>
      </c>
      <c r="E149" s="590">
        <v>0</v>
      </c>
      <c r="G149" s="2"/>
    </row>
    <row r="150" spans="1:7">
      <c r="A150" s="592" t="str">
        <f t="shared" si="2"/>
        <v>124746</v>
      </c>
      <c r="B150" s="592">
        <v>1247</v>
      </c>
      <c r="C150" s="590">
        <v>46</v>
      </c>
      <c r="D150" s="590">
        <v>1</v>
      </c>
      <c r="E150" s="590">
        <v>2</v>
      </c>
      <c r="G150" s="2"/>
    </row>
    <row r="151" spans="1:7">
      <c r="A151" s="592" t="str">
        <f t="shared" si="2"/>
        <v>124747</v>
      </c>
      <c r="B151" s="592">
        <v>1247</v>
      </c>
      <c r="C151" s="590">
        <v>47</v>
      </c>
      <c r="D151" s="590">
        <v>1</v>
      </c>
      <c r="E151" s="590">
        <v>2</v>
      </c>
    </row>
    <row r="152" spans="1:7">
      <c r="A152" s="592" t="str">
        <f t="shared" si="2"/>
        <v>124748</v>
      </c>
      <c r="B152" s="592">
        <v>1247</v>
      </c>
      <c r="C152" s="590">
        <v>48</v>
      </c>
      <c r="D152" s="590">
        <v>0</v>
      </c>
      <c r="E152" s="590">
        <v>10</v>
      </c>
      <c r="G152" s="2"/>
    </row>
    <row r="153" spans="1:7">
      <c r="A153" s="592" t="str">
        <f t="shared" si="2"/>
        <v>124749</v>
      </c>
      <c r="B153" s="592">
        <v>1247</v>
      </c>
      <c r="C153" s="590">
        <v>49</v>
      </c>
      <c r="D153" s="590">
        <v>1</v>
      </c>
      <c r="E153" s="590">
        <v>2</v>
      </c>
      <c r="G153" s="2"/>
    </row>
    <row r="154" spans="1:7">
      <c r="A154" s="592" t="str">
        <f t="shared" si="2"/>
        <v>124750</v>
      </c>
      <c r="B154" s="592">
        <v>1247</v>
      </c>
      <c r="C154" s="590">
        <v>50</v>
      </c>
      <c r="D154" s="590">
        <v>1</v>
      </c>
      <c r="E154" s="590">
        <v>2</v>
      </c>
    </row>
    <row r="155" spans="1:7">
      <c r="A155" s="592" t="str">
        <f t="shared" si="2"/>
        <v>124751</v>
      </c>
      <c r="B155" s="592">
        <v>1247</v>
      </c>
      <c r="C155" s="590">
        <v>51</v>
      </c>
      <c r="D155" s="590">
        <v>0</v>
      </c>
      <c r="E155" s="590">
        <v>16</v>
      </c>
      <c r="G155" s="2"/>
    </row>
    <row r="156" spans="1:7">
      <c r="A156" s="592" t="str">
        <f t="shared" si="2"/>
        <v>124752</v>
      </c>
      <c r="B156" s="592">
        <v>1247</v>
      </c>
      <c r="C156" s="590">
        <v>52</v>
      </c>
      <c r="D156" s="590">
        <v>1</v>
      </c>
      <c r="E156" s="590">
        <v>1</v>
      </c>
    </row>
    <row r="157" spans="1:7">
      <c r="A157" s="592" t="str">
        <f t="shared" si="2"/>
        <v>124753</v>
      </c>
      <c r="B157" s="592">
        <v>1247</v>
      </c>
      <c r="C157" s="590">
        <v>53</v>
      </c>
      <c r="D157" s="590">
        <v>1</v>
      </c>
      <c r="E157" s="590">
        <v>1</v>
      </c>
    </row>
    <row r="158" spans="1:7">
      <c r="A158" s="592" t="str">
        <f t="shared" si="2"/>
        <v>12481</v>
      </c>
      <c r="B158" s="592">
        <v>1248</v>
      </c>
      <c r="C158" s="590">
        <v>1</v>
      </c>
      <c r="D158" s="590">
        <v>1</v>
      </c>
      <c r="E158" s="590">
        <v>0</v>
      </c>
      <c r="G158" s="2"/>
    </row>
    <row r="159" spans="1:7">
      <c r="A159" s="592" t="str">
        <f t="shared" si="2"/>
        <v>12482</v>
      </c>
      <c r="B159" s="592">
        <v>1248</v>
      </c>
      <c r="C159" s="590">
        <v>2</v>
      </c>
      <c r="D159" s="590">
        <v>1</v>
      </c>
      <c r="E159" s="590">
        <v>0</v>
      </c>
      <c r="G159" s="2"/>
    </row>
    <row r="160" spans="1:7">
      <c r="A160" s="592" t="str">
        <f t="shared" si="2"/>
        <v>12483</v>
      </c>
      <c r="B160" s="592">
        <v>1248</v>
      </c>
      <c r="C160" s="590">
        <v>3</v>
      </c>
      <c r="D160" s="590">
        <v>1</v>
      </c>
      <c r="E160" s="590">
        <v>0</v>
      </c>
    </row>
    <row r="161" spans="1:7">
      <c r="A161" s="592" t="str">
        <f t="shared" si="2"/>
        <v>12485</v>
      </c>
      <c r="B161" s="592">
        <v>1248</v>
      </c>
      <c r="C161" s="590">
        <v>5</v>
      </c>
      <c r="D161" s="590">
        <v>1</v>
      </c>
      <c r="E161" s="590">
        <v>1</v>
      </c>
      <c r="G161" s="2"/>
    </row>
    <row r="162" spans="1:7">
      <c r="A162" s="592" t="str">
        <f t="shared" si="2"/>
        <v>124814</v>
      </c>
      <c r="B162" s="592">
        <v>1248</v>
      </c>
      <c r="C162" s="590">
        <v>14</v>
      </c>
      <c r="D162" s="590">
        <v>0</v>
      </c>
      <c r="E162" s="590">
        <v>21</v>
      </c>
      <c r="G162" s="2"/>
    </row>
    <row r="163" spans="1:7">
      <c r="A163" s="592" t="str">
        <f t="shared" si="2"/>
        <v>124815</v>
      </c>
      <c r="B163" s="592">
        <v>1248</v>
      </c>
      <c r="C163" s="590">
        <v>15</v>
      </c>
      <c r="D163" s="590">
        <v>0</v>
      </c>
      <c r="E163" s="590">
        <v>3</v>
      </c>
      <c r="G163" s="2"/>
    </row>
    <row r="164" spans="1:7">
      <c r="A164" s="592" t="str">
        <f t="shared" si="2"/>
        <v>124816</v>
      </c>
      <c r="B164" s="592">
        <v>1248</v>
      </c>
      <c r="C164" s="590">
        <v>16</v>
      </c>
      <c r="D164" s="590">
        <v>1</v>
      </c>
      <c r="E164" s="590">
        <v>0</v>
      </c>
    </row>
    <row r="165" spans="1:7">
      <c r="A165" s="592" t="str">
        <f t="shared" si="2"/>
        <v>124820</v>
      </c>
      <c r="B165" s="592">
        <v>1248</v>
      </c>
      <c r="C165" s="590">
        <v>20</v>
      </c>
      <c r="D165" s="590">
        <v>1</v>
      </c>
      <c r="E165" s="590">
        <v>1</v>
      </c>
    </row>
    <row r="166" spans="1:7">
      <c r="A166" s="592" t="str">
        <f t="shared" si="2"/>
        <v>124821</v>
      </c>
      <c r="B166" s="592">
        <v>1248</v>
      </c>
      <c r="C166" s="590">
        <v>21</v>
      </c>
      <c r="D166" s="590">
        <v>0</v>
      </c>
      <c r="E166" s="590">
        <v>207</v>
      </c>
      <c r="G166" s="2"/>
    </row>
    <row r="167" spans="1:7">
      <c r="A167" s="592" t="str">
        <f t="shared" si="2"/>
        <v>124823</v>
      </c>
      <c r="B167" s="592">
        <v>1248</v>
      </c>
      <c r="C167" s="590">
        <v>23</v>
      </c>
      <c r="D167" s="590">
        <v>0</v>
      </c>
      <c r="E167" s="590">
        <v>3</v>
      </c>
      <c r="G167" s="2"/>
    </row>
    <row r="168" spans="1:7">
      <c r="A168" s="592" t="str">
        <f t="shared" si="2"/>
        <v>124824</v>
      </c>
      <c r="B168" s="592">
        <v>1248</v>
      </c>
      <c r="C168" s="590">
        <v>24</v>
      </c>
      <c r="D168" s="590">
        <v>0</v>
      </c>
      <c r="E168" s="590">
        <v>8</v>
      </c>
      <c r="G168" s="2"/>
    </row>
    <row r="169" spans="1:7">
      <c r="A169" s="592" t="str">
        <f t="shared" si="2"/>
        <v>124829</v>
      </c>
      <c r="B169" s="592">
        <v>1248</v>
      </c>
      <c r="C169" s="590">
        <v>29</v>
      </c>
      <c r="D169" s="590">
        <v>1</v>
      </c>
      <c r="E169" s="590">
        <v>0</v>
      </c>
      <c r="G169" s="2"/>
    </row>
    <row r="170" spans="1:7">
      <c r="A170" s="592" t="str">
        <f t="shared" si="2"/>
        <v>124830</v>
      </c>
      <c r="B170" s="592">
        <v>1248</v>
      </c>
      <c r="C170" s="590">
        <v>30</v>
      </c>
      <c r="D170" s="590">
        <v>1</v>
      </c>
      <c r="E170" s="590">
        <v>0</v>
      </c>
      <c r="G170" s="2"/>
    </row>
    <row r="171" spans="1:7">
      <c r="A171" s="592" t="str">
        <f t="shared" si="2"/>
        <v>124832</v>
      </c>
      <c r="B171" s="592">
        <v>1248</v>
      </c>
      <c r="C171" s="590">
        <v>32</v>
      </c>
      <c r="D171" s="590">
        <v>1</v>
      </c>
      <c r="E171" s="590">
        <v>1</v>
      </c>
      <c r="G171" s="2"/>
    </row>
    <row r="172" spans="1:7">
      <c r="A172" s="592" t="str">
        <f t="shared" si="2"/>
        <v>124838</v>
      </c>
      <c r="B172" s="592">
        <v>1248</v>
      </c>
      <c r="C172" s="590">
        <v>38</v>
      </c>
      <c r="D172" s="590">
        <v>1</v>
      </c>
      <c r="E172" s="590">
        <v>2</v>
      </c>
      <c r="G172" s="2"/>
    </row>
    <row r="173" spans="1:7">
      <c r="A173" s="592" t="str">
        <f t="shared" si="2"/>
        <v>124845</v>
      </c>
      <c r="B173" s="592">
        <v>1248</v>
      </c>
      <c r="C173" s="590">
        <v>45</v>
      </c>
      <c r="D173" s="590">
        <v>0</v>
      </c>
      <c r="E173" s="590">
        <v>3</v>
      </c>
    </row>
    <row r="174" spans="1:7">
      <c r="A174" s="592" t="str">
        <f t="shared" si="2"/>
        <v>124846</v>
      </c>
      <c r="B174" s="592">
        <v>1248</v>
      </c>
      <c r="C174" s="590">
        <v>46</v>
      </c>
      <c r="D174" s="590">
        <v>0</v>
      </c>
      <c r="E174" s="590">
        <v>20</v>
      </c>
    </row>
    <row r="175" spans="1:7">
      <c r="A175" s="592" t="str">
        <f t="shared" si="2"/>
        <v>124848</v>
      </c>
      <c r="B175" s="592">
        <v>1248</v>
      </c>
      <c r="C175" s="590">
        <v>48</v>
      </c>
      <c r="D175" s="590">
        <v>1</v>
      </c>
      <c r="E175" s="590">
        <v>0</v>
      </c>
      <c r="G175" s="2"/>
    </row>
    <row r="176" spans="1:7">
      <c r="A176" s="592" t="str">
        <f t="shared" si="2"/>
        <v>124849</v>
      </c>
      <c r="B176" s="592">
        <v>1248</v>
      </c>
      <c r="C176" s="590">
        <v>49</v>
      </c>
      <c r="D176" s="590">
        <v>1</v>
      </c>
      <c r="E176" s="590">
        <v>0</v>
      </c>
      <c r="G176" s="2"/>
    </row>
    <row r="177" spans="1:7">
      <c r="A177" s="592" t="str">
        <f t="shared" si="2"/>
        <v>124850</v>
      </c>
      <c r="B177" s="592">
        <v>1248</v>
      </c>
      <c r="C177" s="590">
        <v>50</v>
      </c>
      <c r="D177" s="590">
        <v>0</v>
      </c>
      <c r="E177" s="590">
        <v>4</v>
      </c>
      <c r="G177" s="2"/>
    </row>
    <row r="178" spans="1:7">
      <c r="A178" s="592" t="str">
        <f t="shared" si="2"/>
        <v>124852</v>
      </c>
      <c r="B178" s="592">
        <v>1248</v>
      </c>
      <c r="C178" s="590">
        <v>52</v>
      </c>
      <c r="D178" s="590">
        <v>1</v>
      </c>
      <c r="E178" s="590">
        <v>0</v>
      </c>
      <c r="G178" s="2"/>
    </row>
    <row r="179" spans="1:7">
      <c r="A179" s="592" t="str">
        <f t="shared" si="2"/>
        <v>124853</v>
      </c>
      <c r="B179" s="592">
        <v>1248</v>
      </c>
      <c r="C179" s="590">
        <v>53</v>
      </c>
      <c r="D179" s="590">
        <v>1</v>
      </c>
      <c r="E179" s="590">
        <v>0</v>
      </c>
      <c r="G179" s="2"/>
    </row>
    <row r="180" spans="1:7">
      <c r="A180" s="592" t="str">
        <f t="shared" si="2"/>
        <v>124855</v>
      </c>
      <c r="B180" s="592">
        <v>1248</v>
      </c>
      <c r="C180" s="590">
        <v>55</v>
      </c>
      <c r="D180" s="590">
        <v>0</v>
      </c>
      <c r="E180" s="590">
        <v>3</v>
      </c>
      <c r="G180" s="2"/>
    </row>
    <row r="181" spans="1:7">
      <c r="A181" s="592" t="str">
        <f t="shared" si="2"/>
        <v>124856</v>
      </c>
      <c r="B181" s="592">
        <v>1248</v>
      </c>
      <c r="C181" s="590">
        <v>56</v>
      </c>
      <c r="D181" s="590">
        <v>1</v>
      </c>
      <c r="E181" s="590">
        <v>0</v>
      </c>
      <c r="G181" s="2"/>
    </row>
    <row r="182" spans="1:7">
      <c r="A182" s="592" t="str">
        <f t="shared" si="2"/>
        <v>12493</v>
      </c>
      <c r="B182" s="592">
        <v>1249</v>
      </c>
      <c r="C182" s="590">
        <v>3</v>
      </c>
      <c r="D182" s="590">
        <v>1</v>
      </c>
      <c r="E182" s="590">
        <v>0</v>
      </c>
      <c r="G182" s="2"/>
    </row>
    <row r="183" spans="1:7">
      <c r="A183" s="592" t="str">
        <f t="shared" si="2"/>
        <v>12494</v>
      </c>
      <c r="B183" s="592">
        <v>1249</v>
      </c>
      <c r="C183" s="590">
        <v>4</v>
      </c>
      <c r="D183" s="590">
        <v>1</v>
      </c>
      <c r="E183" s="590">
        <v>0</v>
      </c>
    </row>
    <row r="184" spans="1:7">
      <c r="A184" s="592" t="str">
        <f t="shared" si="2"/>
        <v>12495</v>
      </c>
      <c r="B184" s="592">
        <v>1249</v>
      </c>
      <c r="C184" s="590">
        <v>5</v>
      </c>
      <c r="D184" s="590">
        <v>1</v>
      </c>
      <c r="E184" s="590">
        <v>0</v>
      </c>
    </row>
    <row r="185" spans="1:7">
      <c r="A185" s="592" t="str">
        <f t="shared" si="2"/>
        <v>12496</v>
      </c>
      <c r="B185" s="592">
        <v>1249</v>
      </c>
      <c r="C185" s="590">
        <v>6</v>
      </c>
      <c r="D185" s="590">
        <v>1</v>
      </c>
      <c r="E185" s="590">
        <v>0</v>
      </c>
      <c r="G185" s="2"/>
    </row>
    <row r="186" spans="1:7">
      <c r="A186" s="592" t="str">
        <f t="shared" si="2"/>
        <v>12498</v>
      </c>
      <c r="B186" s="592">
        <v>1249</v>
      </c>
      <c r="C186" s="590">
        <v>8</v>
      </c>
      <c r="D186" s="590">
        <v>1</v>
      </c>
      <c r="E186" s="590">
        <v>0</v>
      </c>
      <c r="G186" s="2"/>
    </row>
    <row r="187" spans="1:7">
      <c r="A187" s="592" t="str">
        <f t="shared" si="2"/>
        <v>12499</v>
      </c>
      <c r="B187" s="592">
        <v>1249</v>
      </c>
      <c r="C187" s="590">
        <v>9</v>
      </c>
      <c r="D187" s="590">
        <v>1</v>
      </c>
      <c r="E187" s="590">
        <v>0</v>
      </c>
    </row>
    <row r="188" spans="1:7">
      <c r="A188" s="592" t="str">
        <f t="shared" si="2"/>
        <v>124910</v>
      </c>
      <c r="B188" s="592">
        <v>1249</v>
      </c>
      <c r="C188" s="590">
        <v>10</v>
      </c>
      <c r="D188" s="590">
        <v>1</v>
      </c>
      <c r="E188" s="590">
        <v>1</v>
      </c>
    </row>
    <row r="189" spans="1:7">
      <c r="A189" s="592" t="str">
        <f t="shared" si="2"/>
        <v>124911</v>
      </c>
      <c r="B189" s="592">
        <v>1249</v>
      </c>
      <c r="C189" s="590">
        <v>11</v>
      </c>
      <c r="D189" s="590">
        <v>1</v>
      </c>
      <c r="E189" s="590">
        <v>1</v>
      </c>
    </row>
    <row r="190" spans="1:7">
      <c r="A190" s="592" t="str">
        <f t="shared" si="2"/>
        <v>124913</v>
      </c>
      <c r="B190" s="592">
        <v>1249</v>
      </c>
      <c r="C190" s="590">
        <v>13</v>
      </c>
      <c r="D190" s="590">
        <v>0</v>
      </c>
      <c r="E190" s="590">
        <v>3</v>
      </c>
      <c r="G190" s="2"/>
    </row>
    <row r="191" spans="1:7">
      <c r="A191" s="592" t="str">
        <f t="shared" si="2"/>
        <v>124915</v>
      </c>
      <c r="B191" s="592">
        <v>1249</v>
      </c>
      <c r="C191" s="590">
        <v>15</v>
      </c>
      <c r="D191" s="590">
        <v>1</v>
      </c>
      <c r="E191" s="590">
        <v>0</v>
      </c>
      <c r="G191" s="2"/>
    </row>
    <row r="192" spans="1:7">
      <c r="A192" s="592" t="str">
        <f t="shared" si="2"/>
        <v>124916</v>
      </c>
      <c r="B192" s="592">
        <v>1249</v>
      </c>
      <c r="C192" s="590">
        <v>16</v>
      </c>
      <c r="D192" s="590">
        <v>1</v>
      </c>
      <c r="E192" s="590">
        <v>0</v>
      </c>
      <c r="G192" s="2"/>
    </row>
    <row r="193" spans="1:7">
      <c r="A193" s="592" t="str">
        <f t="shared" si="2"/>
        <v>124917</v>
      </c>
      <c r="B193" s="592">
        <v>1249</v>
      </c>
      <c r="C193" s="590">
        <v>17</v>
      </c>
      <c r="D193" s="590">
        <v>1</v>
      </c>
      <c r="E193" s="590">
        <v>1</v>
      </c>
      <c r="G193" s="2"/>
    </row>
    <row r="194" spans="1:7">
      <c r="A194" s="592" t="str">
        <f t="shared" si="2"/>
        <v>124918</v>
      </c>
      <c r="B194" s="592">
        <v>1249</v>
      </c>
      <c r="C194" s="590">
        <v>18</v>
      </c>
      <c r="D194" s="590">
        <v>1</v>
      </c>
      <c r="E194" s="590">
        <v>1</v>
      </c>
    </row>
    <row r="195" spans="1:7">
      <c r="A195" s="592" t="str">
        <f t="shared" ref="A195:A258" si="3">CONCATENATE(B195,C195)</f>
        <v>124919</v>
      </c>
      <c r="B195" s="592">
        <v>1249</v>
      </c>
      <c r="C195" s="590">
        <v>19</v>
      </c>
      <c r="D195" s="590">
        <v>0</v>
      </c>
      <c r="E195" s="590">
        <v>39</v>
      </c>
      <c r="G195" s="2"/>
    </row>
    <row r="196" spans="1:7">
      <c r="A196" s="592" t="str">
        <f t="shared" si="3"/>
        <v>124920</v>
      </c>
      <c r="B196" s="592">
        <v>1249</v>
      </c>
      <c r="C196" s="590">
        <v>20</v>
      </c>
      <c r="D196" s="590">
        <v>1</v>
      </c>
      <c r="E196" s="590">
        <v>1</v>
      </c>
      <c r="G196" s="2"/>
    </row>
    <row r="197" spans="1:7">
      <c r="A197" s="592" t="str">
        <f t="shared" si="3"/>
        <v>124921</v>
      </c>
      <c r="B197" s="592">
        <v>1249</v>
      </c>
      <c r="C197" s="590">
        <v>21</v>
      </c>
      <c r="D197" s="590">
        <v>1</v>
      </c>
      <c r="E197" s="590">
        <v>1</v>
      </c>
      <c r="G197" s="2"/>
    </row>
    <row r="198" spans="1:7">
      <c r="A198" s="592" t="str">
        <f t="shared" si="3"/>
        <v>124922</v>
      </c>
      <c r="B198" s="592">
        <v>1249</v>
      </c>
      <c r="C198" s="590">
        <v>22</v>
      </c>
      <c r="D198" s="590">
        <v>1</v>
      </c>
      <c r="E198" s="590">
        <v>0</v>
      </c>
      <c r="G198" s="2"/>
    </row>
    <row r="199" spans="1:7">
      <c r="A199" s="592" t="str">
        <f t="shared" si="3"/>
        <v>124923</v>
      </c>
      <c r="B199" s="592">
        <v>1249</v>
      </c>
      <c r="C199" s="590">
        <v>23</v>
      </c>
      <c r="D199" s="590">
        <v>1</v>
      </c>
      <c r="E199" s="590">
        <v>0</v>
      </c>
    </row>
    <row r="200" spans="1:7">
      <c r="A200" s="592" t="str">
        <f t="shared" si="3"/>
        <v>124924</v>
      </c>
      <c r="B200" s="592">
        <v>1249</v>
      </c>
      <c r="C200" s="590">
        <v>24</v>
      </c>
      <c r="D200" s="590">
        <v>1</v>
      </c>
      <c r="E200" s="590">
        <v>0</v>
      </c>
    </row>
    <row r="201" spans="1:7">
      <c r="A201" s="592" t="str">
        <f t="shared" si="3"/>
        <v>124925</v>
      </c>
      <c r="B201" s="592">
        <v>1249</v>
      </c>
      <c r="C201" s="590">
        <v>25</v>
      </c>
      <c r="D201" s="590">
        <v>1</v>
      </c>
      <c r="E201" s="590">
        <v>0</v>
      </c>
      <c r="G201" s="2"/>
    </row>
    <row r="202" spans="1:7">
      <c r="A202" s="592" t="str">
        <f t="shared" si="3"/>
        <v>124926</v>
      </c>
      <c r="B202" s="592">
        <v>1249</v>
      </c>
      <c r="C202" s="590">
        <v>26</v>
      </c>
      <c r="D202" s="590">
        <v>1</v>
      </c>
      <c r="E202" s="590">
        <v>0</v>
      </c>
      <c r="G202" s="2"/>
    </row>
    <row r="203" spans="1:7">
      <c r="A203" s="592" t="str">
        <f t="shared" si="3"/>
        <v>124928</v>
      </c>
      <c r="B203" s="592">
        <v>1249</v>
      </c>
      <c r="C203" s="590">
        <v>28</v>
      </c>
      <c r="D203" s="590">
        <v>1</v>
      </c>
      <c r="E203" s="590">
        <v>1</v>
      </c>
    </row>
    <row r="204" spans="1:7">
      <c r="A204" s="592" t="str">
        <f t="shared" si="3"/>
        <v>124929</v>
      </c>
      <c r="B204" s="592">
        <v>1249</v>
      </c>
      <c r="C204" s="590">
        <v>29</v>
      </c>
      <c r="D204" s="590">
        <v>1</v>
      </c>
      <c r="E204" s="590">
        <v>0</v>
      </c>
      <c r="G204" s="2"/>
    </row>
    <row r="205" spans="1:7">
      <c r="A205" s="592" t="str">
        <f t="shared" si="3"/>
        <v>124930</v>
      </c>
      <c r="B205" s="592">
        <v>1249</v>
      </c>
      <c r="C205" s="590">
        <v>30</v>
      </c>
      <c r="D205" s="590">
        <v>1</v>
      </c>
      <c r="E205" s="590">
        <v>1</v>
      </c>
      <c r="G205" s="2"/>
    </row>
    <row r="206" spans="1:7">
      <c r="A206" s="592" t="str">
        <f t="shared" si="3"/>
        <v>124931</v>
      </c>
      <c r="B206" s="592">
        <v>1249</v>
      </c>
      <c r="C206" s="590">
        <v>31</v>
      </c>
      <c r="D206" s="590">
        <v>1</v>
      </c>
      <c r="E206" s="590">
        <v>1</v>
      </c>
      <c r="G206" s="2"/>
    </row>
    <row r="207" spans="1:7">
      <c r="A207" s="592" t="str">
        <f t="shared" si="3"/>
        <v>124932</v>
      </c>
      <c r="B207" s="592">
        <v>1249</v>
      </c>
      <c r="C207" s="590">
        <v>32</v>
      </c>
      <c r="D207" s="590">
        <v>1</v>
      </c>
      <c r="E207" s="590">
        <v>1</v>
      </c>
      <c r="G207" s="2"/>
    </row>
    <row r="208" spans="1:7">
      <c r="A208" s="592" t="str">
        <f t="shared" si="3"/>
        <v>124933</v>
      </c>
      <c r="B208" s="592">
        <v>1249</v>
      </c>
      <c r="C208" s="590">
        <v>33</v>
      </c>
      <c r="D208" s="590">
        <v>1</v>
      </c>
      <c r="E208" s="590">
        <v>1</v>
      </c>
      <c r="G208" s="2"/>
    </row>
    <row r="209" spans="1:7">
      <c r="A209" s="592" t="str">
        <f t="shared" si="3"/>
        <v>124934</v>
      </c>
      <c r="B209" s="592">
        <v>1249</v>
      </c>
      <c r="C209" s="590">
        <v>34</v>
      </c>
      <c r="D209" s="590">
        <v>1</v>
      </c>
      <c r="E209" s="590">
        <v>1</v>
      </c>
    </row>
    <row r="210" spans="1:7">
      <c r="A210" s="592" t="str">
        <f t="shared" si="3"/>
        <v>124936</v>
      </c>
      <c r="B210" s="592">
        <v>1249</v>
      </c>
      <c r="C210" s="590">
        <v>36</v>
      </c>
      <c r="D210" s="590">
        <v>1</v>
      </c>
      <c r="E210" s="590">
        <v>1</v>
      </c>
      <c r="G210" s="2"/>
    </row>
    <row r="211" spans="1:7">
      <c r="A211" s="592" t="str">
        <f t="shared" si="3"/>
        <v>124937</v>
      </c>
      <c r="B211" s="592">
        <v>1249</v>
      </c>
      <c r="C211" s="590">
        <v>37</v>
      </c>
      <c r="D211" s="590">
        <v>0</v>
      </c>
      <c r="E211" s="590">
        <v>4</v>
      </c>
      <c r="G211" s="2"/>
    </row>
    <row r="212" spans="1:7">
      <c r="A212" s="592" t="str">
        <f t="shared" si="3"/>
        <v>124939</v>
      </c>
      <c r="B212" s="592">
        <v>1249</v>
      </c>
      <c r="C212" s="590">
        <v>39</v>
      </c>
      <c r="D212" s="590">
        <v>1</v>
      </c>
      <c r="E212" s="590">
        <v>0</v>
      </c>
      <c r="G212" s="2"/>
    </row>
    <row r="213" spans="1:7">
      <c r="A213" s="592" t="str">
        <f t="shared" si="3"/>
        <v>124942</v>
      </c>
      <c r="B213" s="592">
        <v>1249</v>
      </c>
      <c r="C213" s="590">
        <v>42</v>
      </c>
      <c r="D213" s="590">
        <v>1</v>
      </c>
      <c r="E213" s="590">
        <v>1</v>
      </c>
    </row>
    <row r="214" spans="1:7">
      <c r="A214" s="592" t="str">
        <f t="shared" si="3"/>
        <v>124943</v>
      </c>
      <c r="B214" s="592">
        <v>1249</v>
      </c>
      <c r="C214" s="590">
        <v>43</v>
      </c>
      <c r="D214" s="590">
        <v>1</v>
      </c>
      <c r="E214" s="590">
        <v>0</v>
      </c>
    </row>
    <row r="215" spans="1:7">
      <c r="A215" s="592" t="str">
        <f t="shared" si="3"/>
        <v>124944</v>
      </c>
      <c r="B215" s="592">
        <v>1249</v>
      </c>
      <c r="C215" s="590">
        <v>44</v>
      </c>
      <c r="D215" s="590">
        <v>1</v>
      </c>
      <c r="E215" s="590">
        <v>1</v>
      </c>
      <c r="G215" s="2"/>
    </row>
    <row r="216" spans="1:7">
      <c r="A216" s="592" t="str">
        <f t="shared" si="3"/>
        <v>124945</v>
      </c>
      <c r="B216" s="592">
        <v>1249</v>
      </c>
      <c r="C216" s="590">
        <v>45</v>
      </c>
      <c r="D216" s="590">
        <v>1</v>
      </c>
      <c r="E216" s="590">
        <v>1</v>
      </c>
      <c r="G216" s="2"/>
    </row>
    <row r="217" spans="1:7">
      <c r="A217" s="592" t="str">
        <f t="shared" si="3"/>
        <v>124946</v>
      </c>
      <c r="B217" s="592">
        <v>1249</v>
      </c>
      <c r="C217" s="590">
        <v>46</v>
      </c>
      <c r="D217" s="590">
        <v>1</v>
      </c>
      <c r="E217" s="590">
        <v>1</v>
      </c>
      <c r="G217" s="2"/>
    </row>
    <row r="218" spans="1:7">
      <c r="A218" s="592" t="str">
        <f t="shared" si="3"/>
        <v>124947</v>
      </c>
      <c r="B218" s="592">
        <v>1249</v>
      </c>
      <c r="C218" s="590">
        <v>47</v>
      </c>
      <c r="D218" s="590">
        <v>1</v>
      </c>
      <c r="E218" s="590">
        <v>1</v>
      </c>
      <c r="G218" s="2"/>
    </row>
    <row r="219" spans="1:7">
      <c r="A219" s="592" t="str">
        <f t="shared" si="3"/>
        <v>124949</v>
      </c>
      <c r="B219" s="592">
        <v>1249</v>
      </c>
      <c r="C219" s="590">
        <v>49</v>
      </c>
      <c r="D219" s="590">
        <v>1</v>
      </c>
      <c r="E219" s="590">
        <v>1</v>
      </c>
      <c r="G219" s="2"/>
    </row>
    <row r="220" spans="1:7">
      <c r="A220" s="592" t="str">
        <f t="shared" si="3"/>
        <v>124951</v>
      </c>
      <c r="B220" s="592">
        <v>1249</v>
      </c>
      <c r="C220" s="590">
        <v>51</v>
      </c>
      <c r="D220" s="590">
        <v>1</v>
      </c>
      <c r="E220" s="590">
        <v>0</v>
      </c>
      <c r="G220" s="2"/>
    </row>
    <row r="221" spans="1:7">
      <c r="A221" s="592" t="str">
        <f t="shared" si="3"/>
        <v>124955</v>
      </c>
      <c r="B221" s="592">
        <v>1249</v>
      </c>
      <c r="C221" s="590">
        <v>55</v>
      </c>
      <c r="D221" s="590">
        <v>1</v>
      </c>
      <c r="E221" s="590">
        <v>1</v>
      </c>
      <c r="G221" s="2"/>
    </row>
    <row r="222" spans="1:7">
      <c r="A222" s="592" t="str">
        <f t="shared" si="3"/>
        <v>124957</v>
      </c>
      <c r="B222" s="592">
        <v>1249</v>
      </c>
      <c r="C222" s="590">
        <v>57</v>
      </c>
      <c r="D222" s="590">
        <v>1</v>
      </c>
      <c r="E222" s="590">
        <v>1</v>
      </c>
      <c r="G222" s="2"/>
    </row>
    <row r="223" spans="1:7">
      <c r="A223" s="592" t="str">
        <f t="shared" si="3"/>
        <v>124958</v>
      </c>
      <c r="B223" s="592">
        <v>1249</v>
      </c>
      <c r="C223" s="590">
        <v>58</v>
      </c>
      <c r="D223" s="590">
        <v>1</v>
      </c>
      <c r="E223" s="590">
        <v>1</v>
      </c>
    </row>
    <row r="224" spans="1:7">
      <c r="A224" s="592" t="str">
        <f t="shared" si="3"/>
        <v>124959</v>
      </c>
      <c r="B224" s="592">
        <v>1249</v>
      </c>
      <c r="C224" s="590">
        <v>59</v>
      </c>
      <c r="D224" s="590">
        <v>1</v>
      </c>
      <c r="E224" s="590">
        <v>1</v>
      </c>
      <c r="G224" s="2"/>
    </row>
    <row r="225" spans="1:7">
      <c r="A225" s="592" t="str">
        <f t="shared" si="3"/>
        <v>124961</v>
      </c>
      <c r="B225" s="592">
        <v>1249</v>
      </c>
      <c r="C225" s="590">
        <v>61</v>
      </c>
      <c r="D225" s="590">
        <v>1</v>
      </c>
      <c r="E225" s="590">
        <v>1</v>
      </c>
    </row>
    <row r="226" spans="1:7">
      <c r="A226" s="592" t="str">
        <f t="shared" si="3"/>
        <v>124965</v>
      </c>
      <c r="B226" s="592">
        <v>1249</v>
      </c>
      <c r="C226" s="590">
        <v>65</v>
      </c>
      <c r="D226" s="590">
        <v>1</v>
      </c>
      <c r="E226" s="590">
        <v>0</v>
      </c>
    </row>
    <row r="227" spans="1:7">
      <c r="A227" s="592" t="str">
        <f t="shared" si="3"/>
        <v>124966</v>
      </c>
      <c r="B227" s="592">
        <v>1249</v>
      </c>
      <c r="C227" s="590">
        <v>66</v>
      </c>
      <c r="D227" s="590">
        <v>1</v>
      </c>
      <c r="E227" s="590">
        <v>0</v>
      </c>
    </row>
    <row r="228" spans="1:7">
      <c r="A228" s="592" t="str">
        <f t="shared" si="3"/>
        <v>124967</v>
      </c>
      <c r="B228" s="592">
        <v>1249</v>
      </c>
      <c r="C228" s="590">
        <v>67</v>
      </c>
      <c r="D228" s="590">
        <v>1</v>
      </c>
      <c r="E228" s="590">
        <v>0</v>
      </c>
    </row>
    <row r="229" spans="1:7">
      <c r="A229" s="592" t="str">
        <f t="shared" si="3"/>
        <v>124968</v>
      </c>
      <c r="B229" s="592">
        <v>1249</v>
      </c>
      <c r="C229" s="590">
        <v>68</v>
      </c>
      <c r="D229" s="590">
        <v>1</v>
      </c>
      <c r="E229" s="590">
        <v>0</v>
      </c>
    </row>
    <row r="230" spans="1:7">
      <c r="A230" s="592" t="str">
        <f t="shared" si="3"/>
        <v>124970</v>
      </c>
      <c r="B230" s="592">
        <v>1249</v>
      </c>
      <c r="C230" s="590">
        <v>70</v>
      </c>
      <c r="D230" s="590">
        <v>1</v>
      </c>
      <c r="E230" s="590">
        <v>0</v>
      </c>
      <c r="G230" s="2"/>
    </row>
    <row r="231" spans="1:7">
      <c r="A231" s="592" t="str">
        <f t="shared" si="3"/>
        <v>124972</v>
      </c>
      <c r="B231" s="592">
        <v>1249</v>
      </c>
      <c r="C231" s="590">
        <v>72</v>
      </c>
      <c r="D231" s="590">
        <v>0</v>
      </c>
      <c r="E231" s="590">
        <v>3</v>
      </c>
    </row>
    <row r="232" spans="1:7">
      <c r="A232" s="592" t="str">
        <f t="shared" si="3"/>
        <v>12501</v>
      </c>
      <c r="B232" s="592">
        <v>1250</v>
      </c>
      <c r="C232" s="590">
        <v>1</v>
      </c>
      <c r="D232" s="590">
        <v>1</v>
      </c>
      <c r="E232" s="590">
        <v>1</v>
      </c>
      <c r="G232" s="2"/>
    </row>
    <row r="233" spans="1:7">
      <c r="A233" s="592" t="str">
        <f t="shared" si="3"/>
        <v>12502</v>
      </c>
      <c r="B233" s="592">
        <v>1250</v>
      </c>
      <c r="C233" s="590">
        <v>2</v>
      </c>
      <c r="D233" s="590">
        <v>1</v>
      </c>
      <c r="E233" s="590">
        <v>2</v>
      </c>
      <c r="G233" s="2"/>
    </row>
    <row r="234" spans="1:7">
      <c r="A234" s="592" t="str">
        <f t="shared" si="3"/>
        <v>12504</v>
      </c>
      <c r="B234" s="592">
        <v>1250</v>
      </c>
      <c r="C234" s="590">
        <v>4</v>
      </c>
      <c r="D234" s="590">
        <v>1</v>
      </c>
      <c r="E234" s="590">
        <v>2</v>
      </c>
      <c r="G234" s="2"/>
    </row>
    <row r="235" spans="1:7">
      <c r="A235" s="592" t="str">
        <f t="shared" si="3"/>
        <v>12506</v>
      </c>
      <c r="B235" s="592">
        <v>1250</v>
      </c>
      <c r="C235" s="590">
        <v>6</v>
      </c>
      <c r="D235" s="590">
        <v>1</v>
      </c>
      <c r="E235" s="590">
        <v>0</v>
      </c>
      <c r="G235" s="2"/>
    </row>
    <row r="236" spans="1:7">
      <c r="A236" s="592" t="str">
        <f t="shared" si="3"/>
        <v>12507</v>
      </c>
      <c r="B236" s="592">
        <v>1250</v>
      </c>
      <c r="C236" s="590">
        <v>7</v>
      </c>
      <c r="D236" s="590">
        <v>1</v>
      </c>
      <c r="E236" s="590">
        <v>2</v>
      </c>
      <c r="G236" s="2"/>
    </row>
    <row r="237" spans="1:7">
      <c r="A237" s="592" t="str">
        <f t="shared" si="3"/>
        <v>12508</v>
      </c>
      <c r="B237" s="592">
        <v>1250</v>
      </c>
      <c r="C237" s="590">
        <v>8</v>
      </c>
      <c r="D237" s="590">
        <v>1</v>
      </c>
      <c r="E237" s="590">
        <v>0</v>
      </c>
    </row>
    <row r="238" spans="1:7">
      <c r="A238" s="592" t="str">
        <f t="shared" si="3"/>
        <v>12509</v>
      </c>
      <c r="B238" s="592">
        <v>1250</v>
      </c>
      <c r="C238" s="590">
        <v>9</v>
      </c>
      <c r="D238" s="590">
        <v>1</v>
      </c>
      <c r="E238" s="590">
        <v>1</v>
      </c>
      <c r="G238" s="2"/>
    </row>
    <row r="239" spans="1:7">
      <c r="A239" s="592" t="str">
        <f t="shared" si="3"/>
        <v>125011</v>
      </c>
      <c r="B239" s="592">
        <v>1250</v>
      </c>
      <c r="C239" s="590">
        <v>11</v>
      </c>
      <c r="D239" s="590">
        <v>0</v>
      </c>
      <c r="E239" s="590">
        <v>1</v>
      </c>
      <c r="G239" s="2"/>
    </row>
    <row r="240" spans="1:7">
      <c r="A240" s="592" t="str">
        <f t="shared" si="3"/>
        <v>125012</v>
      </c>
      <c r="B240" s="592">
        <v>1250</v>
      </c>
      <c r="C240" s="590">
        <v>12</v>
      </c>
      <c r="D240" s="590">
        <v>0</v>
      </c>
      <c r="E240" s="590">
        <v>79</v>
      </c>
    </row>
    <row r="241" spans="1:7">
      <c r="A241" s="592" t="str">
        <f t="shared" si="3"/>
        <v>125013</v>
      </c>
      <c r="B241" s="592">
        <v>1250</v>
      </c>
      <c r="C241" s="590">
        <v>13</v>
      </c>
      <c r="D241" s="590">
        <v>1</v>
      </c>
      <c r="E241" s="590">
        <v>0</v>
      </c>
    </row>
    <row r="242" spans="1:7">
      <c r="A242" s="592" t="str">
        <f t="shared" si="3"/>
        <v>125014</v>
      </c>
      <c r="B242" s="592">
        <v>1250</v>
      </c>
      <c r="C242" s="590">
        <v>14</v>
      </c>
      <c r="D242" s="590">
        <v>1</v>
      </c>
      <c r="E242" s="590">
        <v>0</v>
      </c>
    </row>
    <row r="243" spans="1:7">
      <c r="A243" s="592" t="str">
        <f t="shared" si="3"/>
        <v>125018</v>
      </c>
      <c r="B243" s="592">
        <v>1250</v>
      </c>
      <c r="C243" s="590">
        <v>18</v>
      </c>
      <c r="D243" s="590">
        <v>1</v>
      </c>
      <c r="E243" s="590">
        <v>1</v>
      </c>
    </row>
    <row r="244" spans="1:7">
      <c r="A244" s="592" t="str">
        <f t="shared" si="3"/>
        <v>125019</v>
      </c>
      <c r="B244" s="592">
        <v>1250</v>
      </c>
      <c r="C244" s="590">
        <v>19</v>
      </c>
      <c r="D244" s="590">
        <v>1</v>
      </c>
      <c r="E244" s="590">
        <v>0</v>
      </c>
    </row>
    <row r="245" spans="1:7">
      <c r="A245" s="592" t="str">
        <f t="shared" si="3"/>
        <v>125020</v>
      </c>
      <c r="B245" s="592">
        <v>1250</v>
      </c>
      <c r="C245" s="590">
        <v>20</v>
      </c>
      <c r="D245" s="590">
        <v>1</v>
      </c>
      <c r="E245" s="590">
        <v>2</v>
      </c>
      <c r="G245" s="2"/>
    </row>
    <row r="246" spans="1:7">
      <c r="A246" s="592" t="str">
        <f t="shared" si="3"/>
        <v>125024</v>
      </c>
      <c r="B246" s="592">
        <v>1250</v>
      </c>
      <c r="C246" s="590">
        <v>24</v>
      </c>
      <c r="D246" s="590">
        <v>1</v>
      </c>
      <c r="E246" s="590">
        <v>1</v>
      </c>
    </row>
    <row r="247" spans="1:7">
      <c r="A247" s="592" t="str">
        <f t="shared" si="3"/>
        <v>125025</v>
      </c>
      <c r="B247" s="592">
        <v>1250</v>
      </c>
      <c r="C247" s="590">
        <v>25</v>
      </c>
      <c r="D247" s="590">
        <v>1</v>
      </c>
      <c r="E247" s="590">
        <v>0</v>
      </c>
    </row>
    <row r="248" spans="1:7">
      <c r="A248" s="592" t="str">
        <f t="shared" si="3"/>
        <v>125026</v>
      </c>
      <c r="B248" s="592">
        <v>1250</v>
      </c>
      <c r="C248" s="590">
        <v>26</v>
      </c>
      <c r="D248" s="590">
        <v>1</v>
      </c>
      <c r="E248" s="590">
        <v>0</v>
      </c>
      <c r="G248" s="2"/>
    </row>
    <row r="249" spans="1:7">
      <c r="A249" s="592" t="str">
        <f t="shared" si="3"/>
        <v>125027</v>
      </c>
      <c r="B249" s="592">
        <v>1250</v>
      </c>
      <c r="C249" s="590">
        <v>27</v>
      </c>
      <c r="D249" s="590">
        <v>1</v>
      </c>
      <c r="E249" s="590">
        <v>0</v>
      </c>
    </row>
    <row r="250" spans="1:7">
      <c r="A250" s="592" t="str">
        <f t="shared" si="3"/>
        <v>125028</v>
      </c>
      <c r="B250" s="592">
        <v>1250</v>
      </c>
      <c r="C250" s="590">
        <v>28</v>
      </c>
      <c r="D250" s="590">
        <v>1</v>
      </c>
      <c r="E250" s="590">
        <v>0</v>
      </c>
    </row>
    <row r="251" spans="1:7">
      <c r="A251" s="592" t="str">
        <f t="shared" si="3"/>
        <v>125029</v>
      </c>
      <c r="B251" s="592">
        <v>1250</v>
      </c>
      <c r="C251" s="590">
        <v>29</v>
      </c>
      <c r="D251" s="590">
        <v>1</v>
      </c>
      <c r="E251" s="590">
        <v>0</v>
      </c>
    </row>
    <row r="252" spans="1:7">
      <c r="A252" s="592" t="str">
        <f t="shared" si="3"/>
        <v>125030</v>
      </c>
      <c r="B252" s="592">
        <v>1250</v>
      </c>
      <c r="C252" s="590">
        <v>30</v>
      </c>
      <c r="D252" s="590">
        <v>1</v>
      </c>
      <c r="E252" s="590">
        <v>0</v>
      </c>
      <c r="G252" s="2"/>
    </row>
    <row r="253" spans="1:7">
      <c r="A253" s="592" t="str">
        <f t="shared" si="3"/>
        <v>125031</v>
      </c>
      <c r="B253" s="592">
        <v>1250</v>
      </c>
      <c r="C253" s="590">
        <v>31</v>
      </c>
      <c r="D253" s="590">
        <v>1</v>
      </c>
      <c r="E253" s="590">
        <v>0</v>
      </c>
    </row>
    <row r="254" spans="1:7">
      <c r="A254" s="592" t="str">
        <f t="shared" si="3"/>
        <v>125032</v>
      </c>
      <c r="B254" s="592">
        <v>1250</v>
      </c>
      <c r="C254" s="590">
        <v>32</v>
      </c>
      <c r="D254" s="590">
        <v>1</v>
      </c>
      <c r="E254" s="590">
        <v>1</v>
      </c>
      <c r="G254" s="2"/>
    </row>
    <row r="255" spans="1:7">
      <c r="A255" s="592" t="str">
        <f t="shared" si="3"/>
        <v>125033</v>
      </c>
      <c r="B255" s="592">
        <v>1250</v>
      </c>
      <c r="C255" s="590">
        <v>33</v>
      </c>
      <c r="D255" s="590">
        <v>1</v>
      </c>
      <c r="E255" s="590">
        <v>0</v>
      </c>
    </row>
    <row r="256" spans="1:7">
      <c r="A256" s="592" t="str">
        <f t="shared" si="3"/>
        <v>125034</v>
      </c>
      <c r="B256" s="592">
        <v>1250</v>
      </c>
      <c r="C256" s="590">
        <v>34</v>
      </c>
      <c r="D256" s="590">
        <v>1</v>
      </c>
      <c r="E256" s="590">
        <v>0</v>
      </c>
    </row>
    <row r="257" spans="1:7">
      <c r="A257" s="592" t="str">
        <f t="shared" si="3"/>
        <v>125035</v>
      </c>
      <c r="B257" s="592">
        <v>1250</v>
      </c>
      <c r="C257" s="590">
        <v>35</v>
      </c>
      <c r="D257" s="590">
        <v>1</v>
      </c>
      <c r="E257" s="590">
        <v>1</v>
      </c>
    </row>
    <row r="258" spans="1:7">
      <c r="A258" s="592" t="str">
        <f t="shared" si="3"/>
        <v>125036</v>
      </c>
      <c r="B258" s="592">
        <v>1250</v>
      </c>
      <c r="C258" s="590">
        <v>36</v>
      </c>
      <c r="D258" s="590">
        <v>1</v>
      </c>
      <c r="E258" s="590">
        <v>0</v>
      </c>
      <c r="G258" s="2"/>
    </row>
    <row r="259" spans="1:7">
      <c r="A259" s="592" t="str">
        <f t="shared" ref="A259:A322" si="4">CONCATENATE(B259,C259)</f>
        <v>12513</v>
      </c>
      <c r="B259" s="592">
        <v>1251</v>
      </c>
      <c r="C259" s="590">
        <v>3</v>
      </c>
      <c r="D259" s="590">
        <v>1</v>
      </c>
      <c r="E259" s="590">
        <v>0</v>
      </c>
      <c r="G259" s="2"/>
    </row>
    <row r="260" spans="1:7">
      <c r="A260" s="592" t="str">
        <f t="shared" si="4"/>
        <v>12516</v>
      </c>
      <c r="B260" s="592">
        <v>1251</v>
      </c>
      <c r="C260" s="590">
        <v>6</v>
      </c>
      <c r="D260" s="590">
        <v>1</v>
      </c>
      <c r="E260" s="590">
        <v>1</v>
      </c>
      <c r="G260" s="2"/>
    </row>
    <row r="261" spans="1:7">
      <c r="A261" s="592" t="str">
        <f t="shared" si="4"/>
        <v>12518</v>
      </c>
      <c r="B261" s="592">
        <v>1251</v>
      </c>
      <c r="C261" s="590">
        <v>8</v>
      </c>
      <c r="D261" s="590">
        <v>1</v>
      </c>
      <c r="E261" s="590">
        <v>1</v>
      </c>
      <c r="G261" s="2"/>
    </row>
    <row r="262" spans="1:7">
      <c r="A262" s="592" t="str">
        <f t="shared" si="4"/>
        <v>12519</v>
      </c>
      <c r="B262" s="592">
        <v>1251</v>
      </c>
      <c r="C262" s="590">
        <v>9</v>
      </c>
      <c r="D262" s="590">
        <v>1</v>
      </c>
      <c r="E262" s="590">
        <v>0</v>
      </c>
      <c r="G262" s="2"/>
    </row>
    <row r="263" spans="1:7">
      <c r="A263" s="592" t="str">
        <f t="shared" si="4"/>
        <v>125110</v>
      </c>
      <c r="B263" s="592">
        <v>1251</v>
      </c>
      <c r="C263" s="590">
        <v>10</v>
      </c>
      <c r="D263" s="590">
        <v>1</v>
      </c>
      <c r="E263" s="590">
        <v>1</v>
      </c>
      <c r="G263" s="2"/>
    </row>
    <row r="264" spans="1:7">
      <c r="A264" s="592" t="str">
        <f t="shared" si="4"/>
        <v>125111</v>
      </c>
      <c r="B264" s="592">
        <v>1251</v>
      </c>
      <c r="C264" s="590">
        <v>11</v>
      </c>
      <c r="D264" s="590">
        <v>0</v>
      </c>
      <c r="E264" s="590">
        <v>5</v>
      </c>
      <c r="G264" s="2"/>
    </row>
    <row r="265" spans="1:7">
      <c r="A265" s="592" t="str">
        <f t="shared" si="4"/>
        <v>125112</v>
      </c>
      <c r="B265" s="592">
        <v>1251</v>
      </c>
      <c r="C265" s="590">
        <v>12</v>
      </c>
      <c r="D265" s="590">
        <v>0</v>
      </c>
      <c r="E265" s="590">
        <v>16</v>
      </c>
      <c r="G265" s="2"/>
    </row>
    <row r="266" spans="1:7">
      <c r="A266" s="592" t="str">
        <f t="shared" si="4"/>
        <v>125113</v>
      </c>
      <c r="B266" s="592">
        <v>1251</v>
      </c>
      <c r="C266" s="590">
        <v>13</v>
      </c>
      <c r="D266" s="590">
        <v>1</v>
      </c>
      <c r="E266" s="590">
        <v>1</v>
      </c>
    </row>
    <row r="267" spans="1:7">
      <c r="A267" s="592" t="str">
        <f t="shared" si="4"/>
        <v>125114</v>
      </c>
      <c r="B267" s="592">
        <v>1251</v>
      </c>
      <c r="C267" s="590">
        <v>14</v>
      </c>
      <c r="D267" s="590">
        <v>1</v>
      </c>
      <c r="E267" s="590">
        <v>0</v>
      </c>
      <c r="G267" s="2"/>
    </row>
    <row r="268" spans="1:7">
      <c r="A268" s="592" t="str">
        <f t="shared" si="4"/>
        <v>125115</v>
      </c>
      <c r="B268" s="592">
        <v>1251</v>
      </c>
      <c r="C268" s="590">
        <v>15</v>
      </c>
      <c r="D268" s="590">
        <v>0</v>
      </c>
      <c r="E268" s="590">
        <v>204</v>
      </c>
      <c r="G268" s="2"/>
    </row>
    <row r="269" spans="1:7">
      <c r="A269" s="592" t="str">
        <f t="shared" si="4"/>
        <v>125116</v>
      </c>
      <c r="B269" s="592">
        <v>1251</v>
      </c>
      <c r="C269" s="590">
        <v>16</v>
      </c>
      <c r="D269" s="590">
        <v>1</v>
      </c>
      <c r="E269" s="590">
        <v>1</v>
      </c>
      <c r="G269" s="2"/>
    </row>
    <row r="270" spans="1:7">
      <c r="A270" s="592" t="str">
        <f t="shared" si="4"/>
        <v>125117</v>
      </c>
      <c r="B270" s="592">
        <v>1251</v>
      </c>
      <c r="C270" s="590">
        <v>17</v>
      </c>
      <c r="D270" s="590">
        <v>1</v>
      </c>
      <c r="E270" s="590">
        <v>0</v>
      </c>
      <c r="G270" s="2"/>
    </row>
    <row r="271" spans="1:7">
      <c r="A271" s="592" t="str">
        <f t="shared" si="4"/>
        <v>12521</v>
      </c>
      <c r="B271" s="592">
        <v>1252</v>
      </c>
      <c r="C271" s="590">
        <v>1</v>
      </c>
      <c r="D271" s="590">
        <v>1</v>
      </c>
      <c r="E271" s="590">
        <v>0</v>
      </c>
      <c r="G271" s="2"/>
    </row>
    <row r="272" spans="1:7">
      <c r="A272" s="592" t="str">
        <f t="shared" si="4"/>
        <v>12528</v>
      </c>
      <c r="B272" s="592">
        <v>1252</v>
      </c>
      <c r="C272" s="590">
        <v>8</v>
      </c>
      <c r="D272" s="590">
        <v>1</v>
      </c>
      <c r="E272" s="590">
        <v>0</v>
      </c>
    </row>
    <row r="273" spans="1:7">
      <c r="A273" s="592" t="str">
        <f t="shared" si="4"/>
        <v>125213</v>
      </c>
      <c r="B273" s="592">
        <v>1252</v>
      </c>
      <c r="C273" s="590">
        <v>13</v>
      </c>
      <c r="D273" s="590">
        <v>1</v>
      </c>
      <c r="E273" s="590">
        <v>0</v>
      </c>
      <c r="G273" s="2"/>
    </row>
    <row r="274" spans="1:7">
      <c r="A274" s="592" t="str">
        <f t="shared" si="4"/>
        <v>125220</v>
      </c>
      <c r="B274" s="592">
        <v>1252</v>
      </c>
      <c r="C274" s="590">
        <v>20</v>
      </c>
      <c r="D274" s="590">
        <v>1</v>
      </c>
      <c r="E274" s="590">
        <v>0</v>
      </c>
      <c r="G274" s="2"/>
    </row>
    <row r="275" spans="1:7">
      <c r="A275" s="592" t="str">
        <f t="shared" si="4"/>
        <v>125221</v>
      </c>
      <c r="B275" s="592">
        <v>1252</v>
      </c>
      <c r="C275" s="590">
        <v>21</v>
      </c>
      <c r="D275" s="590">
        <v>1</v>
      </c>
      <c r="E275" s="590">
        <v>0</v>
      </c>
    </row>
    <row r="276" spans="1:7">
      <c r="A276" s="592" t="str">
        <f t="shared" si="4"/>
        <v>125222</v>
      </c>
      <c r="B276" s="592">
        <v>1252</v>
      </c>
      <c r="C276" s="590">
        <v>22</v>
      </c>
      <c r="D276" s="590">
        <v>1</v>
      </c>
      <c r="E276" s="590">
        <v>0</v>
      </c>
    </row>
    <row r="277" spans="1:7">
      <c r="A277" s="592" t="str">
        <f t="shared" si="4"/>
        <v>125223</v>
      </c>
      <c r="B277" s="592">
        <v>1252</v>
      </c>
      <c r="C277" s="590">
        <v>23</v>
      </c>
      <c r="D277" s="590">
        <v>1</v>
      </c>
      <c r="E277" s="590">
        <v>0</v>
      </c>
      <c r="G277" s="2"/>
    </row>
    <row r="278" spans="1:7">
      <c r="A278" s="592" t="str">
        <f t="shared" si="4"/>
        <v>125224</v>
      </c>
      <c r="B278" s="592">
        <v>1252</v>
      </c>
      <c r="C278" s="590">
        <v>24</v>
      </c>
      <c r="D278" s="590">
        <v>1</v>
      </c>
      <c r="E278" s="590">
        <v>0</v>
      </c>
      <c r="G278" s="2"/>
    </row>
    <row r="279" spans="1:7">
      <c r="A279" s="592" t="str">
        <f t="shared" si="4"/>
        <v>125225</v>
      </c>
      <c r="B279" s="592">
        <v>1252</v>
      </c>
      <c r="C279" s="590">
        <v>25</v>
      </c>
      <c r="D279" s="590">
        <v>0</v>
      </c>
      <c r="E279" s="590">
        <v>4</v>
      </c>
    </row>
    <row r="280" spans="1:7">
      <c r="A280" s="592" t="str">
        <f t="shared" si="4"/>
        <v>125227</v>
      </c>
      <c r="B280" s="592">
        <v>1252</v>
      </c>
      <c r="C280" s="590">
        <v>27</v>
      </c>
      <c r="D280" s="590">
        <v>0</v>
      </c>
      <c r="E280" s="590">
        <v>4</v>
      </c>
      <c r="G280" s="2"/>
    </row>
    <row r="281" spans="1:7">
      <c r="A281" s="592" t="str">
        <f t="shared" si="4"/>
        <v>125228</v>
      </c>
      <c r="B281" s="592">
        <v>1252</v>
      </c>
      <c r="C281" s="590">
        <v>28</v>
      </c>
      <c r="D281" s="590">
        <v>0</v>
      </c>
      <c r="E281" s="590">
        <v>210</v>
      </c>
    </row>
    <row r="282" spans="1:7">
      <c r="A282" s="592" t="str">
        <f t="shared" si="4"/>
        <v>125233</v>
      </c>
      <c r="B282" s="592">
        <v>1252</v>
      </c>
      <c r="C282" s="590">
        <v>33</v>
      </c>
      <c r="D282" s="590">
        <v>1</v>
      </c>
      <c r="E282" s="590">
        <v>0</v>
      </c>
      <c r="G282" s="2"/>
    </row>
    <row r="283" spans="1:7">
      <c r="A283" s="592" t="str">
        <f t="shared" si="4"/>
        <v>125234</v>
      </c>
      <c r="B283" s="592">
        <v>1252</v>
      </c>
      <c r="C283" s="590">
        <v>34</v>
      </c>
      <c r="D283" s="590">
        <v>1</v>
      </c>
      <c r="E283" s="590">
        <v>0</v>
      </c>
      <c r="G283" s="2"/>
    </row>
    <row r="284" spans="1:7">
      <c r="A284" s="592" t="str">
        <f t="shared" si="4"/>
        <v>125236</v>
      </c>
      <c r="B284" s="592">
        <v>1252</v>
      </c>
      <c r="C284" s="590">
        <v>36</v>
      </c>
      <c r="D284" s="590">
        <v>1</v>
      </c>
      <c r="E284" s="590">
        <v>0</v>
      </c>
    </row>
    <row r="285" spans="1:7">
      <c r="A285" s="592" t="str">
        <f t="shared" si="4"/>
        <v>125238</v>
      </c>
      <c r="B285" s="592">
        <v>1252</v>
      </c>
      <c r="C285" s="590">
        <v>38</v>
      </c>
      <c r="D285" s="590">
        <v>0</v>
      </c>
      <c r="E285" s="590">
        <v>4</v>
      </c>
      <c r="G285" s="2"/>
    </row>
    <row r="286" spans="1:7">
      <c r="A286" s="592" t="str">
        <f t="shared" si="4"/>
        <v>125241</v>
      </c>
      <c r="B286" s="592">
        <v>1252</v>
      </c>
      <c r="C286" s="590">
        <v>41</v>
      </c>
      <c r="D286" s="590">
        <v>1</v>
      </c>
      <c r="E286" s="590">
        <v>1</v>
      </c>
      <c r="G286" s="2"/>
    </row>
    <row r="287" spans="1:7">
      <c r="A287" s="592" t="str">
        <f t="shared" si="4"/>
        <v>125242</v>
      </c>
      <c r="B287" s="592">
        <v>1252</v>
      </c>
      <c r="C287" s="590">
        <v>42</v>
      </c>
      <c r="D287" s="590">
        <v>0</v>
      </c>
      <c r="E287" s="590">
        <v>4</v>
      </c>
      <c r="G287" s="2"/>
    </row>
    <row r="288" spans="1:7">
      <c r="A288" s="592" t="str">
        <f t="shared" si="4"/>
        <v>125243</v>
      </c>
      <c r="B288" s="592">
        <v>1252</v>
      </c>
      <c r="C288" s="590">
        <v>43</v>
      </c>
      <c r="D288" s="590">
        <v>1</v>
      </c>
      <c r="E288" s="590">
        <v>1</v>
      </c>
      <c r="G288" s="2"/>
    </row>
    <row r="289" spans="1:7">
      <c r="A289" s="592" t="str">
        <f t="shared" si="4"/>
        <v>125247</v>
      </c>
      <c r="B289" s="592">
        <v>1252</v>
      </c>
      <c r="C289" s="590">
        <v>47</v>
      </c>
      <c r="D289" s="590">
        <v>0</v>
      </c>
      <c r="E289" s="590">
        <v>4</v>
      </c>
    </row>
    <row r="290" spans="1:7">
      <c r="A290" s="592" t="str">
        <f t="shared" si="4"/>
        <v>125248</v>
      </c>
      <c r="B290" s="592">
        <v>1252</v>
      </c>
      <c r="C290" s="590">
        <v>48</v>
      </c>
      <c r="D290" s="590">
        <v>1</v>
      </c>
      <c r="E290" s="590">
        <v>1</v>
      </c>
    </row>
    <row r="291" spans="1:7">
      <c r="A291" s="592" t="str">
        <f t="shared" si="4"/>
        <v>125258</v>
      </c>
      <c r="B291" s="592">
        <v>1252</v>
      </c>
      <c r="C291" s="590">
        <v>58</v>
      </c>
      <c r="D291" s="590">
        <v>0</v>
      </c>
      <c r="E291" s="590">
        <v>119</v>
      </c>
      <c r="G291" s="2"/>
    </row>
    <row r="292" spans="1:7">
      <c r="A292" s="592" t="str">
        <f t="shared" si="4"/>
        <v>125261</v>
      </c>
      <c r="B292" s="592">
        <v>1252</v>
      </c>
      <c r="C292" s="590">
        <v>61</v>
      </c>
      <c r="D292" s="590">
        <v>1</v>
      </c>
      <c r="E292" s="590">
        <v>0</v>
      </c>
      <c r="G292" s="2"/>
    </row>
    <row r="293" spans="1:7">
      <c r="A293" s="592" t="str">
        <f t="shared" si="4"/>
        <v>125262</v>
      </c>
      <c r="B293" s="592">
        <v>1252</v>
      </c>
      <c r="C293" s="590">
        <v>62</v>
      </c>
      <c r="D293" s="590">
        <v>1</v>
      </c>
      <c r="E293" s="590">
        <v>1</v>
      </c>
      <c r="G293" s="2"/>
    </row>
    <row r="294" spans="1:7">
      <c r="A294" s="592" t="str">
        <f t="shared" si="4"/>
        <v>125263</v>
      </c>
      <c r="B294" s="592">
        <v>1252</v>
      </c>
      <c r="C294" s="590">
        <v>63</v>
      </c>
      <c r="D294" s="590">
        <v>1</v>
      </c>
      <c r="E294" s="590">
        <v>1</v>
      </c>
    </row>
    <row r="295" spans="1:7">
      <c r="A295" s="592" t="str">
        <f t="shared" si="4"/>
        <v>125264</v>
      </c>
      <c r="B295" s="592">
        <v>1252</v>
      </c>
      <c r="C295" s="590">
        <v>64</v>
      </c>
      <c r="D295" s="590">
        <v>1</v>
      </c>
      <c r="E295" s="590">
        <v>2</v>
      </c>
      <c r="G295" s="2"/>
    </row>
    <row r="296" spans="1:7">
      <c r="A296" s="592" t="str">
        <f t="shared" si="4"/>
        <v>125265</v>
      </c>
      <c r="B296" s="592">
        <v>1252</v>
      </c>
      <c r="C296" s="590">
        <v>65</v>
      </c>
      <c r="D296" s="590">
        <v>1</v>
      </c>
      <c r="E296" s="590">
        <v>0</v>
      </c>
      <c r="G296" s="2"/>
    </row>
    <row r="297" spans="1:7">
      <c r="A297" s="592" t="str">
        <f t="shared" si="4"/>
        <v>125266</v>
      </c>
      <c r="B297" s="592">
        <v>1252</v>
      </c>
      <c r="C297" s="590">
        <v>66</v>
      </c>
      <c r="D297" s="590">
        <v>1</v>
      </c>
      <c r="E297" s="590">
        <v>2</v>
      </c>
      <c r="G297" s="2"/>
    </row>
    <row r="298" spans="1:7">
      <c r="A298" s="592" t="str">
        <f t="shared" si="4"/>
        <v>125267</v>
      </c>
      <c r="B298" s="592">
        <v>1252</v>
      </c>
      <c r="C298" s="590">
        <v>67</v>
      </c>
      <c r="D298" s="590">
        <v>1</v>
      </c>
      <c r="E298" s="590">
        <v>0</v>
      </c>
    </row>
    <row r="299" spans="1:7">
      <c r="A299" s="592" t="str">
        <f t="shared" si="4"/>
        <v>125268</v>
      </c>
      <c r="B299" s="592">
        <v>1252</v>
      </c>
      <c r="C299" s="590">
        <v>68</v>
      </c>
      <c r="D299" s="590">
        <v>1</v>
      </c>
      <c r="E299" s="590">
        <v>0</v>
      </c>
    </row>
    <row r="300" spans="1:7">
      <c r="A300" s="592" t="str">
        <f t="shared" si="4"/>
        <v>125272</v>
      </c>
      <c r="B300" s="592">
        <v>1252</v>
      </c>
      <c r="C300" s="590">
        <v>72</v>
      </c>
      <c r="D300" s="590">
        <v>1</v>
      </c>
      <c r="E300" s="590">
        <v>0</v>
      </c>
    </row>
    <row r="301" spans="1:7">
      <c r="A301" s="592" t="str">
        <f t="shared" si="4"/>
        <v>125273</v>
      </c>
      <c r="B301" s="592">
        <v>1252</v>
      </c>
      <c r="C301" s="590">
        <v>73</v>
      </c>
      <c r="D301" s="590">
        <v>0</v>
      </c>
      <c r="E301" s="590">
        <v>145</v>
      </c>
      <c r="G301" s="2"/>
    </row>
    <row r="302" spans="1:7">
      <c r="A302" s="592" t="str">
        <f t="shared" si="4"/>
        <v>125274</v>
      </c>
      <c r="B302" s="592">
        <v>1252</v>
      </c>
      <c r="C302" s="590">
        <v>74</v>
      </c>
      <c r="D302" s="590">
        <v>1</v>
      </c>
      <c r="E302" s="590">
        <v>0</v>
      </c>
      <c r="G302" s="2"/>
    </row>
    <row r="303" spans="1:7">
      <c r="A303" s="592" t="str">
        <f t="shared" si="4"/>
        <v>125275</v>
      </c>
      <c r="B303" s="592">
        <v>1252</v>
      </c>
      <c r="C303" s="590">
        <v>75</v>
      </c>
      <c r="D303" s="590">
        <v>0</v>
      </c>
      <c r="E303" s="590">
        <v>3</v>
      </c>
    </row>
    <row r="304" spans="1:7">
      <c r="A304" s="592" t="str">
        <f t="shared" si="4"/>
        <v>125276</v>
      </c>
      <c r="B304" s="592">
        <v>1252</v>
      </c>
      <c r="C304" s="590">
        <v>76</v>
      </c>
      <c r="D304" s="590">
        <v>1</v>
      </c>
      <c r="E304" s="590">
        <v>1</v>
      </c>
      <c r="G304" s="2"/>
    </row>
    <row r="305" spans="1:7">
      <c r="A305" s="592" t="str">
        <f t="shared" si="4"/>
        <v>125277</v>
      </c>
      <c r="B305" s="592">
        <v>1252</v>
      </c>
      <c r="C305" s="590">
        <v>77</v>
      </c>
      <c r="D305" s="590">
        <v>1</v>
      </c>
      <c r="E305" s="590">
        <v>1</v>
      </c>
    </row>
    <row r="306" spans="1:7">
      <c r="A306" s="592" t="str">
        <f t="shared" si="4"/>
        <v>125278</v>
      </c>
      <c r="B306" s="592">
        <v>1252</v>
      </c>
      <c r="C306" s="590">
        <v>78</v>
      </c>
      <c r="D306" s="590">
        <v>1</v>
      </c>
      <c r="E306" s="590">
        <v>1</v>
      </c>
      <c r="G306" s="2"/>
    </row>
    <row r="307" spans="1:7">
      <c r="A307" s="592" t="str">
        <f t="shared" si="4"/>
        <v>125279</v>
      </c>
      <c r="B307" s="592">
        <v>1252</v>
      </c>
      <c r="C307" s="590">
        <v>79</v>
      </c>
      <c r="D307" s="590">
        <v>0</v>
      </c>
      <c r="E307" s="590">
        <v>189</v>
      </c>
      <c r="G307" s="2"/>
    </row>
    <row r="308" spans="1:7">
      <c r="A308" s="592" t="str">
        <f t="shared" si="4"/>
        <v>125280</v>
      </c>
      <c r="B308" s="592">
        <v>1252</v>
      </c>
      <c r="C308" s="590">
        <v>80</v>
      </c>
      <c r="D308" s="590">
        <v>1</v>
      </c>
      <c r="E308" s="590">
        <v>0</v>
      </c>
      <c r="G308" s="2"/>
    </row>
    <row r="309" spans="1:7">
      <c r="A309" s="592" t="str">
        <f t="shared" si="4"/>
        <v>12531</v>
      </c>
      <c r="B309" s="592">
        <v>1253</v>
      </c>
      <c r="C309" s="590">
        <v>1</v>
      </c>
      <c r="D309" s="590">
        <v>1</v>
      </c>
      <c r="E309" s="590">
        <v>0</v>
      </c>
    </row>
    <row r="310" spans="1:7">
      <c r="A310" s="592" t="str">
        <f t="shared" si="4"/>
        <v>12533</v>
      </c>
      <c r="B310" s="592">
        <v>1253</v>
      </c>
      <c r="C310" s="590">
        <v>3</v>
      </c>
      <c r="D310" s="590">
        <v>1</v>
      </c>
      <c r="E310" s="590">
        <v>0</v>
      </c>
      <c r="G310" s="2"/>
    </row>
    <row r="311" spans="1:7">
      <c r="A311" s="592" t="str">
        <f t="shared" si="4"/>
        <v>12534</v>
      </c>
      <c r="B311" s="592">
        <v>1253</v>
      </c>
      <c r="C311" s="590">
        <v>4</v>
      </c>
      <c r="D311" s="590">
        <v>0</v>
      </c>
      <c r="E311" s="590">
        <v>189</v>
      </c>
      <c r="G311" s="2"/>
    </row>
    <row r="312" spans="1:7">
      <c r="A312" s="592" t="str">
        <f t="shared" si="4"/>
        <v>12535</v>
      </c>
      <c r="B312" s="592">
        <v>1253</v>
      </c>
      <c r="C312" s="590">
        <v>5</v>
      </c>
      <c r="D312" s="590">
        <v>0</v>
      </c>
      <c r="E312" s="590">
        <v>9</v>
      </c>
    </row>
    <row r="313" spans="1:7">
      <c r="A313" s="592" t="str">
        <f t="shared" si="4"/>
        <v>12536</v>
      </c>
      <c r="B313" s="592">
        <v>1253</v>
      </c>
      <c r="C313" s="590">
        <v>6</v>
      </c>
      <c r="D313" s="590">
        <v>1</v>
      </c>
      <c r="E313" s="590">
        <v>0</v>
      </c>
      <c r="G313" s="2"/>
    </row>
    <row r="314" spans="1:7">
      <c r="A314" s="592" t="str">
        <f t="shared" si="4"/>
        <v>12537</v>
      </c>
      <c r="B314" s="592">
        <v>1253</v>
      </c>
      <c r="C314" s="590">
        <v>7</v>
      </c>
      <c r="D314" s="590">
        <v>1</v>
      </c>
      <c r="E314" s="590">
        <v>0</v>
      </c>
    </row>
    <row r="315" spans="1:7">
      <c r="A315" s="592" t="str">
        <f t="shared" si="4"/>
        <v>12538</v>
      </c>
      <c r="B315" s="592">
        <v>1253</v>
      </c>
      <c r="C315" s="590">
        <v>8</v>
      </c>
      <c r="D315" s="590">
        <v>1</v>
      </c>
      <c r="E315" s="590">
        <v>0</v>
      </c>
      <c r="G315" s="2"/>
    </row>
    <row r="316" spans="1:7">
      <c r="A316" s="592" t="str">
        <f t="shared" si="4"/>
        <v>12539</v>
      </c>
      <c r="B316" s="592">
        <v>1253</v>
      </c>
      <c r="C316" s="590">
        <v>9</v>
      </c>
      <c r="D316" s="590">
        <v>1</v>
      </c>
      <c r="E316" s="590">
        <v>2</v>
      </c>
      <c r="G316" s="2"/>
    </row>
    <row r="317" spans="1:7">
      <c r="A317" s="592" t="str">
        <f t="shared" si="4"/>
        <v>125310</v>
      </c>
      <c r="B317" s="592">
        <v>1253</v>
      </c>
      <c r="C317" s="590">
        <v>10</v>
      </c>
      <c r="D317" s="590">
        <v>1</v>
      </c>
      <c r="E317" s="590">
        <v>0</v>
      </c>
    </row>
    <row r="318" spans="1:7">
      <c r="A318" s="592" t="str">
        <f t="shared" si="4"/>
        <v>125311</v>
      </c>
      <c r="B318" s="592">
        <v>1253</v>
      </c>
      <c r="C318" s="590">
        <v>11</v>
      </c>
      <c r="D318" s="590">
        <v>1</v>
      </c>
      <c r="E318" s="590">
        <v>0</v>
      </c>
      <c r="G318" s="2"/>
    </row>
    <row r="319" spans="1:7">
      <c r="A319" s="592" t="str">
        <f t="shared" si="4"/>
        <v>125312</v>
      </c>
      <c r="B319" s="592">
        <v>1253</v>
      </c>
      <c r="C319" s="590">
        <v>12</v>
      </c>
      <c r="D319" s="590">
        <v>1</v>
      </c>
      <c r="E319" s="590">
        <v>0</v>
      </c>
      <c r="G319" s="2"/>
    </row>
    <row r="320" spans="1:7">
      <c r="A320" s="592" t="str">
        <f t="shared" si="4"/>
        <v>125313</v>
      </c>
      <c r="B320" s="592">
        <v>1253</v>
      </c>
      <c r="C320" s="590">
        <v>13</v>
      </c>
      <c r="D320" s="590">
        <v>1</v>
      </c>
      <c r="E320" s="590">
        <v>0</v>
      </c>
    </row>
    <row r="321" spans="1:7">
      <c r="A321" s="592" t="str">
        <f t="shared" si="4"/>
        <v>125314</v>
      </c>
      <c r="B321" s="592">
        <v>1253</v>
      </c>
      <c r="C321" s="590">
        <v>14</v>
      </c>
      <c r="D321" s="590">
        <v>1</v>
      </c>
      <c r="E321" s="590">
        <v>0</v>
      </c>
      <c r="G321" s="2"/>
    </row>
    <row r="322" spans="1:7">
      <c r="A322" s="592" t="str">
        <f t="shared" si="4"/>
        <v>125315</v>
      </c>
      <c r="B322" s="592">
        <v>1253</v>
      </c>
      <c r="C322" s="590">
        <v>15</v>
      </c>
      <c r="D322" s="590">
        <v>0</v>
      </c>
      <c r="E322" s="590">
        <v>176</v>
      </c>
      <c r="G322" s="2"/>
    </row>
    <row r="323" spans="1:7">
      <c r="A323" s="592" t="str">
        <f t="shared" ref="A323:A386" si="5">CONCATENATE(B323,C323)</f>
        <v>125316</v>
      </c>
      <c r="B323" s="592">
        <v>1253</v>
      </c>
      <c r="C323" s="590">
        <v>16</v>
      </c>
      <c r="D323" s="590">
        <v>1</v>
      </c>
      <c r="E323" s="590">
        <v>0</v>
      </c>
    </row>
    <row r="324" spans="1:7">
      <c r="A324" s="592" t="str">
        <f t="shared" si="5"/>
        <v>125319</v>
      </c>
      <c r="B324" s="592">
        <v>1253</v>
      </c>
      <c r="C324" s="590">
        <v>19</v>
      </c>
      <c r="D324" s="590">
        <v>1</v>
      </c>
      <c r="E324" s="590">
        <v>0</v>
      </c>
      <c r="G324" s="2"/>
    </row>
    <row r="325" spans="1:7">
      <c r="A325" s="592" t="str">
        <f t="shared" si="5"/>
        <v>125320</v>
      </c>
      <c r="B325" s="592">
        <v>1253</v>
      </c>
      <c r="C325" s="590">
        <v>20</v>
      </c>
      <c r="D325" s="590">
        <v>1</v>
      </c>
      <c r="E325" s="590">
        <v>0</v>
      </c>
      <c r="G325" s="2"/>
    </row>
    <row r="326" spans="1:7">
      <c r="A326" s="592" t="str">
        <f t="shared" si="5"/>
        <v>125321</v>
      </c>
      <c r="B326" s="592">
        <v>1253</v>
      </c>
      <c r="C326" s="590">
        <v>21</v>
      </c>
      <c r="D326" s="590">
        <v>1</v>
      </c>
      <c r="E326" s="590">
        <v>0</v>
      </c>
    </row>
    <row r="327" spans="1:7">
      <c r="A327" s="592" t="str">
        <f t="shared" si="5"/>
        <v>125322</v>
      </c>
      <c r="B327" s="592">
        <v>1253</v>
      </c>
      <c r="C327" s="590">
        <v>22</v>
      </c>
      <c r="D327" s="590">
        <v>1</v>
      </c>
      <c r="E327" s="590">
        <v>2</v>
      </c>
    </row>
    <row r="328" spans="1:7">
      <c r="A328" s="592" t="str">
        <f t="shared" si="5"/>
        <v>125325</v>
      </c>
      <c r="B328" s="592">
        <v>1253</v>
      </c>
      <c r="C328" s="590">
        <v>25</v>
      </c>
      <c r="D328" s="590">
        <v>1</v>
      </c>
      <c r="E328" s="590">
        <v>0</v>
      </c>
      <c r="G328" s="2"/>
    </row>
    <row r="329" spans="1:7">
      <c r="A329" s="592" t="str">
        <f t="shared" si="5"/>
        <v>125326</v>
      </c>
      <c r="B329" s="592">
        <v>1253</v>
      </c>
      <c r="C329" s="590">
        <v>26</v>
      </c>
      <c r="D329" s="590">
        <v>1</v>
      </c>
      <c r="E329" s="590">
        <v>0</v>
      </c>
      <c r="G329" s="2"/>
    </row>
    <row r="330" spans="1:7">
      <c r="A330" s="592" t="str">
        <f t="shared" si="5"/>
        <v>125327</v>
      </c>
      <c r="B330" s="592">
        <v>1253</v>
      </c>
      <c r="C330" s="590">
        <v>27</v>
      </c>
      <c r="D330" s="590">
        <v>1</v>
      </c>
      <c r="E330" s="590">
        <v>0</v>
      </c>
    </row>
    <row r="331" spans="1:7">
      <c r="A331" s="592" t="str">
        <f t="shared" si="5"/>
        <v>125328</v>
      </c>
      <c r="B331" s="592">
        <v>1253</v>
      </c>
      <c r="C331" s="590">
        <v>28</v>
      </c>
      <c r="D331" s="590">
        <v>0</v>
      </c>
      <c r="E331" s="590">
        <v>17</v>
      </c>
    </row>
    <row r="332" spans="1:7">
      <c r="A332" s="592" t="str">
        <f t="shared" si="5"/>
        <v>125329</v>
      </c>
      <c r="B332" s="592">
        <v>1253</v>
      </c>
      <c r="C332" s="590">
        <v>29</v>
      </c>
      <c r="D332" s="590">
        <v>1</v>
      </c>
      <c r="E332" s="590">
        <v>0</v>
      </c>
      <c r="G332" s="2"/>
    </row>
    <row r="333" spans="1:7">
      <c r="A333" s="592" t="str">
        <f t="shared" si="5"/>
        <v>125330</v>
      </c>
      <c r="B333" s="592">
        <v>1253</v>
      </c>
      <c r="C333" s="590">
        <v>30</v>
      </c>
      <c r="D333" s="590">
        <v>1</v>
      </c>
      <c r="E333" s="590">
        <v>0</v>
      </c>
    </row>
    <row r="334" spans="1:7">
      <c r="A334" s="592" t="str">
        <f t="shared" si="5"/>
        <v>125331</v>
      </c>
      <c r="B334" s="592">
        <v>1253</v>
      </c>
      <c r="C334" s="590">
        <v>31</v>
      </c>
      <c r="D334" s="590">
        <v>0</v>
      </c>
      <c r="E334" s="590">
        <v>143</v>
      </c>
      <c r="G334" s="2"/>
    </row>
    <row r="335" spans="1:7">
      <c r="A335" s="592" t="str">
        <f t="shared" si="5"/>
        <v>125332</v>
      </c>
      <c r="B335" s="592">
        <v>1253</v>
      </c>
      <c r="C335" s="590">
        <v>32</v>
      </c>
      <c r="D335" s="590">
        <v>1</v>
      </c>
      <c r="E335" s="590">
        <v>0</v>
      </c>
      <c r="G335" s="2"/>
    </row>
    <row r="336" spans="1:7">
      <c r="A336" s="592" t="str">
        <f t="shared" si="5"/>
        <v>125333</v>
      </c>
      <c r="B336" s="592">
        <v>1253</v>
      </c>
      <c r="C336" s="590">
        <v>33</v>
      </c>
      <c r="D336" s="590">
        <v>1</v>
      </c>
      <c r="E336" s="590">
        <v>1</v>
      </c>
      <c r="G336" s="2"/>
    </row>
    <row r="337" spans="1:7">
      <c r="A337" s="592" t="str">
        <f t="shared" si="5"/>
        <v>125335</v>
      </c>
      <c r="B337" s="592">
        <v>1253</v>
      </c>
      <c r="C337" s="590">
        <v>35</v>
      </c>
      <c r="D337" s="590">
        <v>1</v>
      </c>
      <c r="E337" s="590">
        <v>0</v>
      </c>
    </row>
    <row r="338" spans="1:7">
      <c r="A338" s="592" t="str">
        <f t="shared" si="5"/>
        <v>125337</v>
      </c>
      <c r="B338" s="592">
        <v>1253</v>
      </c>
      <c r="C338" s="590">
        <v>37</v>
      </c>
      <c r="D338" s="590">
        <v>1</v>
      </c>
      <c r="E338" s="590">
        <v>0</v>
      </c>
      <c r="G338" s="2"/>
    </row>
    <row r="339" spans="1:7">
      <c r="A339" s="592" t="str">
        <f t="shared" si="5"/>
        <v>125339</v>
      </c>
      <c r="B339" s="592">
        <v>1253</v>
      </c>
      <c r="C339" s="590">
        <v>39</v>
      </c>
      <c r="D339" s="590">
        <v>1</v>
      </c>
      <c r="E339" s="590">
        <v>0</v>
      </c>
    </row>
    <row r="340" spans="1:7">
      <c r="A340" s="592" t="str">
        <f t="shared" si="5"/>
        <v>125340</v>
      </c>
      <c r="B340" s="592">
        <v>1253</v>
      </c>
      <c r="C340" s="590">
        <v>40</v>
      </c>
      <c r="D340" s="590">
        <v>1</v>
      </c>
      <c r="E340" s="590">
        <v>1</v>
      </c>
      <c r="G340" s="2"/>
    </row>
    <row r="341" spans="1:7">
      <c r="A341" s="592" t="str">
        <f t="shared" si="5"/>
        <v>125341</v>
      </c>
      <c r="B341" s="592">
        <v>1253</v>
      </c>
      <c r="C341" s="590">
        <v>41</v>
      </c>
      <c r="D341" s="590">
        <v>1</v>
      </c>
      <c r="E341" s="590">
        <v>0</v>
      </c>
      <c r="G341" s="2"/>
    </row>
    <row r="342" spans="1:7">
      <c r="A342" s="592" t="str">
        <f t="shared" si="5"/>
        <v>125342</v>
      </c>
      <c r="B342" s="592">
        <v>1253</v>
      </c>
      <c r="C342" s="590">
        <v>42</v>
      </c>
      <c r="D342" s="590">
        <v>1</v>
      </c>
      <c r="E342" s="590">
        <v>0</v>
      </c>
      <c r="G342" s="2"/>
    </row>
    <row r="343" spans="1:7">
      <c r="A343" s="592" t="str">
        <f t="shared" si="5"/>
        <v>125343</v>
      </c>
      <c r="B343" s="592">
        <v>1253</v>
      </c>
      <c r="C343" s="590">
        <v>43</v>
      </c>
      <c r="D343" s="590">
        <v>0</v>
      </c>
      <c r="E343" s="590">
        <v>74</v>
      </c>
    </row>
    <row r="344" spans="1:7">
      <c r="A344" s="592" t="str">
        <f t="shared" si="5"/>
        <v>125344</v>
      </c>
      <c r="B344" s="592">
        <v>1253</v>
      </c>
      <c r="C344" s="590">
        <v>44</v>
      </c>
      <c r="D344" s="590">
        <v>1</v>
      </c>
      <c r="E344" s="590">
        <v>0</v>
      </c>
    </row>
    <row r="345" spans="1:7">
      <c r="A345" s="592" t="str">
        <f t="shared" si="5"/>
        <v>125346</v>
      </c>
      <c r="B345" s="592">
        <v>1253</v>
      </c>
      <c r="C345" s="590">
        <v>46</v>
      </c>
      <c r="D345" s="590">
        <v>1</v>
      </c>
      <c r="E345" s="590">
        <v>0</v>
      </c>
    </row>
    <row r="346" spans="1:7">
      <c r="A346" s="592" t="str">
        <f t="shared" si="5"/>
        <v>125347</v>
      </c>
      <c r="B346" s="592">
        <v>1253</v>
      </c>
      <c r="C346" s="590">
        <v>47</v>
      </c>
      <c r="D346" s="590">
        <v>1</v>
      </c>
      <c r="E346" s="590">
        <v>1</v>
      </c>
    </row>
    <row r="347" spans="1:7">
      <c r="A347" s="592" t="str">
        <f t="shared" si="5"/>
        <v>125348</v>
      </c>
      <c r="B347" s="592">
        <v>1253</v>
      </c>
      <c r="C347" s="590">
        <v>48</v>
      </c>
      <c r="D347" s="590">
        <v>1</v>
      </c>
      <c r="E347" s="590">
        <v>0</v>
      </c>
    </row>
    <row r="348" spans="1:7">
      <c r="A348" s="592" t="str">
        <f t="shared" si="5"/>
        <v>125349</v>
      </c>
      <c r="B348" s="592">
        <v>1253</v>
      </c>
      <c r="C348" s="590">
        <v>49</v>
      </c>
      <c r="D348" s="590">
        <v>1</v>
      </c>
      <c r="E348" s="590">
        <v>2</v>
      </c>
      <c r="G348" s="2"/>
    </row>
    <row r="349" spans="1:7">
      <c r="A349" s="592" t="str">
        <f t="shared" si="5"/>
        <v>125350</v>
      </c>
      <c r="B349" s="592">
        <v>1253</v>
      </c>
      <c r="C349" s="590">
        <v>50</v>
      </c>
      <c r="D349" s="590">
        <v>1</v>
      </c>
      <c r="E349" s="590">
        <v>0</v>
      </c>
      <c r="G349" s="2"/>
    </row>
    <row r="350" spans="1:7">
      <c r="A350" s="592" t="str">
        <f t="shared" si="5"/>
        <v>125351</v>
      </c>
      <c r="B350" s="592">
        <v>1253</v>
      </c>
      <c r="C350" s="590">
        <v>51</v>
      </c>
      <c r="D350" s="590">
        <v>1</v>
      </c>
      <c r="E350" s="590">
        <v>0</v>
      </c>
      <c r="G350" s="2"/>
    </row>
    <row r="351" spans="1:7">
      <c r="A351" s="592" t="str">
        <f t="shared" si="5"/>
        <v>125352</v>
      </c>
      <c r="B351" s="592">
        <v>1253</v>
      </c>
      <c r="C351" s="590">
        <v>52</v>
      </c>
      <c r="D351" s="590">
        <v>1</v>
      </c>
      <c r="E351" s="590">
        <v>0</v>
      </c>
      <c r="G351" s="2"/>
    </row>
    <row r="352" spans="1:7">
      <c r="A352" s="592" t="str">
        <f t="shared" si="5"/>
        <v>125353</v>
      </c>
      <c r="B352" s="592">
        <v>1253</v>
      </c>
      <c r="C352" s="590">
        <v>53</v>
      </c>
      <c r="D352" s="590">
        <v>1</v>
      </c>
      <c r="E352" s="590">
        <v>0</v>
      </c>
      <c r="G352" s="2"/>
    </row>
    <row r="353" spans="1:7">
      <c r="A353" s="592" t="str">
        <f t="shared" si="5"/>
        <v>125354</v>
      </c>
      <c r="B353" s="592">
        <v>1253</v>
      </c>
      <c r="C353" s="590">
        <v>54</v>
      </c>
      <c r="D353" s="590">
        <v>1</v>
      </c>
      <c r="E353" s="590">
        <v>0</v>
      </c>
    </row>
    <row r="354" spans="1:7">
      <c r="A354" s="592" t="str">
        <f t="shared" si="5"/>
        <v>125355</v>
      </c>
      <c r="B354" s="592">
        <v>1253</v>
      </c>
      <c r="C354" s="590">
        <v>55</v>
      </c>
      <c r="D354" s="590">
        <v>1</v>
      </c>
      <c r="E354" s="590">
        <v>1</v>
      </c>
      <c r="G354" s="2"/>
    </row>
    <row r="355" spans="1:7">
      <c r="A355" s="592" t="str">
        <f t="shared" si="5"/>
        <v>125356</v>
      </c>
      <c r="B355" s="592">
        <v>1253</v>
      </c>
      <c r="C355" s="590">
        <v>56</v>
      </c>
      <c r="D355" s="590">
        <v>1</v>
      </c>
      <c r="E355" s="590">
        <v>0</v>
      </c>
    </row>
    <row r="356" spans="1:7">
      <c r="A356" s="592" t="str">
        <f t="shared" si="5"/>
        <v>125357</v>
      </c>
      <c r="B356" s="592">
        <v>1253</v>
      </c>
      <c r="C356" s="590">
        <v>57</v>
      </c>
      <c r="D356" s="590">
        <v>1</v>
      </c>
      <c r="E356" s="590">
        <v>0</v>
      </c>
    </row>
    <row r="357" spans="1:7">
      <c r="A357" s="592" t="str">
        <f t="shared" si="5"/>
        <v>125359</v>
      </c>
      <c r="B357" s="592">
        <v>1253</v>
      </c>
      <c r="C357" s="590">
        <v>59</v>
      </c>
      <c r="D357" s="590">
        <v>1</v>
      </c>
      <c r="E357" s="590">
        <v>0</v>
      </c>
    </row>
    <row r="358" spans="1:7">
      <c r="A358" s="592" t="str">
        <f t="shared" si="5"/>
        <v>125361</v>
      </c>
      <c r="B358" s="592">
        <v>1253</v>
      </c>
      <c r="C358" s="590">
        <v>61</v>
      </c>
      <c r="D358" s="590">
        <v>1</v>
      </c>
      <c r="E358" s="590">
        <v>1</v>
      </c>
      <c r="G358" s="2"/>
    </row>
    <row r="359" spans="1:7">
      <c r="A359" s="592" t="str">
        <f t="shared" si="5"/>
        <v>125362</v>
      </c>
      <c r="B359" s="592">
        <v>1253</v>
      </c>
      <c r="C359" s="590">
        <v>62</v>
      </c>
      <c r="D359" s="590">
        <v>1</v>
      </c>
      <c r="E359" s="590">
        <v>0</v>
      </c>
    </row>
    <row r="360" spans="1:7">
      <c r="A360" s="592" t="str">
        <f t="shared" si="5"/>
        <v>125363</v>
      </c>
      <c r="B360" s="592">
        <v>1253</v>
      </c>
      <c r="C360" s="590">
        <v>63</v>
      </c>
      <c r="D360" s="590">
        <v>1</v>
      </c>
      <c r="E360" s="590">
        <v>0</v>
      </c>
    </row>
    <row r="361" spans="1:7">
      <c r="A361" s="592" t="str">
        <f t="shared" si="5"/>
        <v>125364</v>
      </c>
      <c r="B361" s="592">
        <v>1253</v>
      </c>
      <c r="C361" s="590">
        <v>64</v>
      </c>
      <c r="D361" s="590">
        <v>1</v>
      </c>
      <c r="E361" s="590">
        <v>0</v>
      </c>
    </row>
    <row r="362" spans="1:7">
      <c r="A362" s="592" t="str">
        <f t="shared" si="5"/>
        <v>125365</v>
      </c>
      <c r="B362" s="592">
        <v>1253</v>
      </c>
      <c r="C362" s="590">
        <v>65</v>
      </c>
      <c r="D362" s="590">
        <v>1</v>
      </c>
      <c r="E362" s="590">
        <v>2</v>
      </c>
    </row>
    <row r="363" spans="1:7">
      <c r="A363" s="592" t="str">
        <f t="shared" si="5"/>
        <v>125367</v>
      </c>
      <c r="B363" s="592">
        <v>1253</v>
      </c>
      <c r="C363" s="590">
        <v>67</v>
      </c>
      <c r="D363" s="590">
        <v>1</v>
      </c>
      <c r="E363" s="590">
        <v>0</v>
      </c>
      <c r="G363" s="2"/>
    </row>
    <row r="364" spans="1:7">
      <c r="A364" s="592" t="str">
        <f t="shared" si="5"/>
        <v>125368</v>
      </c>
      <c r="B364" s="592">
        <v>1253</v>
      </c>
      <c r="C364" s="590">
        <v>68</v>
      </c>
      <c r="D364" s="590">
        <v>1</v>
      </c>
      <c r="E364" s="590">
        <v>0</v>
      </c>
    </row>
    <row r="365" spans="1:7">
      <c r="A365" s="592" t="str">
        <f t="shared" si="5"/>
        <v>125371</v>
      </c>
      <c r="B365" s="592">
        <v>1253</v>
      </c>
      <c r="C365" s="590">
        <v>71</v>
      </c>
      <c r="D365" s="590">
        <v>1</v>
      </c>
      <c r="E365" s="590">
        <v>0</v>
      </c>
    </row>
    <row r="366" spans="1:7">
      <c r="A366" s="592" t="str">
        <f t="shared" si="5"/>
        <v>125374</v>
      </c>
      <c r="B366" s="592">
        <v>1253</v>
      </c>
      <c r="C366" s="590">
        <v>74</v>
      </c>
      <c r="D366" s="590">
        <v>1</v>
      </c>
      <c r="E366" s="590">
        <v>0</v>
      </c>
    </row>
    <row r="367" spans="1:7">
      <c r="A367" s="592" t="str">
        <f t="shared" si="5"/>
        <v>125375</v>
      </c>
      <c r="B367" s="592">
        <v>1253</v>
      </c>
      <c r="C367" s="590">
        <v>75</v>
      </c>
      <c r="D367" s="590">
        <v>1</v>
      </c>
      <c r="E367" s="590">
        <v>0</v>
      </c>
      <c r="G367" s="2"/>
    </row>
    <row r="368" spans="1:7">
      <c r="A368" s="592" t="str">
        <f t="shared" si="5"/>
        <v>125376</v>
      </c>
      <c r="B368" s="592">
        <v>1253</v>
      </c>
      <c r="C368" s="590">
        <v>76</v>
      </c>
      <c r="D368" s="590">
        <v>1</v>
      </c>
      <c r="E368" s="590">
        <v>0</v>
      </c>
    </row>
    <row r="369" spans="1:7">
      <c r="A369" s="592" t="str">
        <f t="shared" si="5"/>
        <v>125377</v>
      </c>
      <c r="B369" s="592">
        <v>1253</v>
      </c>
      <c r="C369" s="590">
        <v>77</v>
      </c>
      <c r="D369" s="590">
        <v>1</v>
      </c>
      <c r="E369" s="590">
        <v>1</v>
      </c>
      <c r="G369" s="2"/>
    </row>
    <row r="370" spans="1:7">
      <c r="A370" s="592" t="str">
        <f t="shared" si="5"/>
        <v>125378</v>
      </c>
      <c r="B370" s="592">
        <v>1253</v>
      </c>
      <c r="C370" s="590">
        <v>78</v>
      </c>
      <c r="D370" s="590">
        <v>1</v>
      </c>
      <c r="E370" s="590">
        <v>1</v>
      </c>
      <c r="G370" s="2"/>
    </row>
    <row r="371" spans="1:7">
      <c r="A371" s="592" t="str">
        <f t="shared" si="5"/>
        <v>125379</v>
      </c>
      <c r="B371" s="592">
        <v>1253</v>
      </c>
      <c r="C371" s="590">
        <v>79</v>
      </c>
      <c r="D371" s="590">
        <v>0</v>
      </c>
      <c r="E371" s="590">
        <v>3</v>
      </c>
      <c r="G371" s="2"/>
    </row>
    <row r="372" spans="1:7">
      <c r="A372" s="592" t="str">
        <f t="shared" si="5"/>
        <v>125380</v>
      </c>
      <c r="B372" s="592">
        <v>1253</v>
      </c>
      <c r="C372" s="590">
        <v>80</v>
      </c>
      <c r="D372" s="590">
        <v>1</v>
      </c>
      <c r="E372" s="590">
        <v>0</v>
      </c>
      <c r="G372" s="2"/>
    </row>
    <row r="373" spans="1:7">
      <c r="A373" s="592" t="str">
        <f t="shared" si="5"/>
        <v>125383</v>
      </c>
      <c r="B373" s="592">
        <v>1253</v>
      </c>
      <c r="C373" s="590">
        <v>83</v>
      </c>
      <c r="D373" s="590">
        <v>1</v>
      </c>
      <c r="E373" s="590">
        <v>0</v>
      </c>
    </row>
    <row r="374" spans="1:7">
      <c r="A374" s="592" t="str">
        <f t="shared" si="5"/>
        <v>125384</v>
      </c>
      <c r="B374" s="592">
        <v>1253</v>
      </c>
      <c r="C374" s="590">
        <v>84</v>
      </c>
      <c r="D374" s="590">
        <v>1</v>
      </c>
      <c r="E374" s="590">
        <v>0</v>
      </c>
    </row>
    <row r="375" spans="1:7">
      <c r="A375" s="592" t="str">
        <f t="shared" si="5"/>
        <v>125385</v>
      </c>
      <c r="B375" s="592">
        <v>1253</v>
      </c>
      <c r="C375" s="590">
        <v>85</v>
      </c>
      <c r="D375" s="590">
        <v>1</v>
      </c>
      <c r="E375" s="590">
        <v>0</v>
      </c>
      <c r="G375" s="2"/>
    </row>
    <row r="376" spans="1:7">
      <c r="A376" s="592" t="str">
        <f t="shared" si="5"/>
        <v>125386</v>
      </c>
      <c r="B376" s="592">
        <v>1253</v>
      </c>
      <c r="C376" s="590">
        <v>86</v>
      </c>
      <c r="D376" s="590">
        <v>1</v>
      </c>
      <c r="E376" s="590">
        <v>0</v>
      </c>
      <c r="G376" s="2"/>
    </row>
    <row r="377" spans="1:7">
      <c r="A377" s="592" t="str">
        <f t="shared" si="5"/>
        <v>125387</v>
      </c>
      <c r="B377" s="592">
        <v>1253</v>
      </c>
      <c r="C377" s="590">
        <v>87</v>
      </c>
      <c r="D377" s="590">
        <v>1</v>
      </c>
      <c r="E377" s="590">
        <v>0</v>
      </c>
      <c r="G377" s="2"/>
    </row>
    <row r="378" spans="1:7">
      <c r="A378" s="592" t="str">
        <f t="shared" si="5"/>
        <v>125388</v>
      </c>
      <c r="B378" s="592">
        <v>1253</v>
      </c>
      <c r="C378" s="590">
        <v>88</v>
      </c>
      <c r="D378" s="590">
        <v>1</v>
      </c>
      <c r="E378" s="590">
        <v>0</v>
      </c>
      <c r="G378" s="2"/>
    </row>
    <row r="379" spans="1:7">
      <c r="A379" s="592" t="str">
        <f t="shared" si="5"/>
        <v>125391</v>
      </c>
      <c r="B379" s="592">
        <v>1253</v>
      </c>
      <c r="C379" s="590">
        <v>91</v>
      </c>
      <c r="D379" s="590">
        <v>1</v>
      </c>
      <c r="E379" s="590">
        <v>0</v>
      </c>
    </row>
    <row r="380" spans="1:7">
      <c r="A380" s="592" t="str">
        <f t="shared" si="5"/>
        <v>125392</v>
      </c>
      <c r="B380" s="592">
        <v>1253</v>
      </c>
      <c r="C380" s="590">
        <v>92</v>
      </c>
      <c r="D380" s="590">
        <v>1</v>
      </c>
      <c r="E380" s="590">
        <v>0</v>
      </c>
    </row>
    <row r="381" spans="1:7">
      <c r="A381" s="592" t="str">
        <f t="shared" si="5"/>
        <v>125396</v>
      </c>
      <c r="B381" s="592">
        <v>1253</v>
      </c>
      <c r="C381" s="590">
        <v>96</v>
      </c>
      <c r="D381" s="590">
        <v>0</v>
      </c>
      <c r="E381" s="590">
        <v>17</v>
      </c>
    </row>
    <row r="382" spans="1:7">
      <c r="A382" s="592" t="str">
        <f t="shared" si="5"/>
        <v>125397</v>
      </c>
      <c r="B382" s="592">
        <v>1253</v>
      </c>
      <c r="C382" s="590">
        <v>97</v>
      </c>
      <c r="D382" s="590">
        <v>1</v>
      </c>
      <c r="E382" s="590">
        <v>2</v>
      </c>
      <c r="G382" s="2"/>
    </row>
    <row r="383" spans="1:7">
      <c r="A383" s="592" t="str">
        <f t="shared" si="5"/>
        <v>1253100</v>
      </c>
      <c r="B383" s="592">
        <v>1253</v>
      </c>
      <c r="C383" s="590">
        <v>100</v>
      </c>
      <c r="D383" s="590">
        <v>1</v>
      </c>
      <c r="E383" s="590">
        <v>0</v>
      </c>
      <c r="G383" s="2"/>
    </row>
    <row r="384" spans="1:7">
      <c r="A384" s="592" t="str">
        <f t="shared" si="5"/>
        <v>1253101</v>
      </c>
      <c r="B384" s="592">
        <v>1253</v>
      </c>
      <c r="C384" s="590">
        <v>101</v>
      </c>
      <c r="D384" s="590">
        <v>1</v>
      </c>
      <c r="E384" s="590">
        <v>0</v>
      </c>
      <c r="G384" s="2"/>
    </row>
    <row r="385" spans="1:7">
      <c r="A385" s="592" t="str">
        <f t="shared" si="5"/>
        <v>1253102</v>
      </c>
      <c r="B385" s="592">
        <v>1253</v>
      </c>
      <c r="C385" s="590">
        <v>102</v>
      </c>
      <c r="D385" s="590">
        <v>1</v>
      </c>
      <c r="E385" s="590">
        <v>0</v>
      </c>
    </row>
    <row r="386" spans="1:7">
      <c r="A386" s="592" t="str">
        <f t="shared" si="5"/>
        <v>1253103</v>
      </c>
      <c r="B386" s="592">
        <v>1253</v>
      </c>
      <c r="C386" s="590">
        <v>103</v>
      </c>
      <c r="D386" s="590">
        <v>0</v>
      </c>
      <c r="E386" s="590">
        <v>4</v>
      </c>
      <c r="G386" s="2"/>
    </row>
    <row r="387" spans="1:7">
      <c r="A387" s="592" t="str">
        <f t="shared" ref="A387:A422" si="6">CONCATENATE(B387,C387)</f>
        <v>1253105</v>
      </c>
      <c r="B387" s="592">
        <v>1253</v>
      </c>
      <c r="C387" s="590">
        <v>105</v>
      </c>
      <c r="D387" s="590">
        <v>1</v>
      </c>
      <c r="E387" s="590">
        <v>0</v>
      </c>
      <c r="G387" s="2"/>
    </row>
    <row r="388" spans="1:7">
      <c r="A388" s="592" t="str">
        <f t="shared" si="6"/>
        <v>1253106</v>
      </c>
      <c r="B388" s="592">
        <v>1253</v>
      </c>
      <c r="C388" s="590">
        <v>106</v>
      </c>
      <c r="D388" s="590">
        <v>1</v>
      </c>
      <c r="E388" s="590">
        <v>0</v>
      </c>
    </row>
    <row r="389" spans="1:7">
      <c r="A389" s="592" t="str">
        <f t="shared" si="6"/>
        <v>1253107</v>
      </c>
      <c r="B389" s="592">
        <v>1253</v>
      </c>
      <c r="C389" s="590">
        <v>107</v>
      </c>
      <c r="D389" s="590">
        <v>1</v>
      </c>
      <c r="E389" s="590">
        <v>0</v>
      </c>
    </row>
    <row r="390" spans="1:7">
      <c r="A390" s="592" t="str">
        <f t="shared" si="6"/>
        <v>1253108</v>
      </c>
      <c r="B390" s="592">
        <v>1253</v>
      </c>
      <c r="C390" s="590">
        <v>108</v>
      </c>
      <c r="D390" s="590">
        <v>1</v>
      </c>
      <c r="E390" s="590">
        <v>0</v>
      </c>
    </row>
    <row r="391" spans="1:7">
      <c r="A391" s="592" t="str">
        <f t="shared" si="6"/>
        <v>1253109</v>
      </c>
      <c r="B391" s="592">
        <v>1253</v>
      </c>
      <c r="C391" s="590">
        <v>109</v>
      </c>
      <c r="D391" s="590">
        <v>1</v>
      </c>
      <c r="E391" s="590">
        <v>0</v>
      </c>
      <c r="G391" s="2"/>
    </row>
    <row r="392" spans="1:7">
      <c r="A392" s="592" t="str">
        <f t="shared" si="6"/>
        <v>1253110</v>
      </c>
      <c r="B392" s="592">
        <v>1253</v>
      </c>
      <c r="C392" s="590">
        <v>110</v>
      </c>
      <c r="D392" s="590">
        <v>1</v>
      </c>
      <c r="E392" s="590">
        <v>0</v>
      </c>
      <c r="G392" s="2"/>
    </row>
    <row r="393" spans="1:7">
      <c r="A393" s="592" t="str">
        <f t="shared" si="6"/>
        <v>1253113</v>
      </c>
      <c r="B393" s="592">
        <v>1253</v>
      </c>
      <c r="C393" s="590">
        <v>113</v>
      </c>
      <c r="D393" s="590">
        <v>1</v>
      </c>
      <c r="E393" s="590">
        <v>0</v>
      </c>
      <c r="G393" s="2"/>
    </row>
    <row r="394" spans="1:7">
      <c r="A394" s="592" t="str">
        <f t="shared" si="6"/>
        <v>1253114</v>
      </c>
      <c r="B394" s="592">
        <v>1253</v>
      </c>
      <c r="C394" s="590">
        <v>114</v>
      </c>
      <c r="D394" s="590">
        <v>1</v>
      </c>
      <c r="E394" s="590">
        <v>0</v>
      </c>
      <c r="G394" s="2"/>
    </row>
    <row r="395" spans="1:7">
      <c r="A395" s="592" t="str">
        <f t="shared" si="6"/>
        <v>1253116</v>
      </c>
      <c r="B395" s="592">
        <v>1253</v>
      </c>
      <c r="C395" s="590">
        <v>116</v>
      </c>
      <c r="D395" s="590">
        <v>1</v>
      </c>
      <c r="E395" s="590">
        <v>0</v>
      </c>
      <c r="G395" s="2"/>
    </row>
    <row r="396" spans="1:7">
      <c r="A396" s="592" t="str">
        <f t="shared" si="6"/>
        <v>1253117</v>
      </c>
      <c r="B396" s="592">
        <v>1253</v>
      </c>
      <c r="C396" s="590">
        <v>117</v>
      </c>
      <c r="D396" s="590">
        <v>0</v>
      </c>
      <c r="E396" s="590">
        <v>4</v>
      </c>
      <c r="G396" s="2"/>
    </row>
    <row r="397" spans="1:7">
      <c r="A397" s="592" t="str">
        <f t="shared" si="6"/>
        <v>1253119</v>
      </c>
      <c r="B397" s="592">
        <v>1253</v>
      </c>
      <c r="C397" s="590">
        <v>119</v>
      </c>
      <c r="D397" s="590">
        <v>1</v>
      </c>
      <c r="E397" s="590">
        <v>0</v>
      </c>
      <c r="G397" s="2"/>
    </row>
    <row r="398" spans="1:7">
      <c r="A398" s="592" t="str">
        <f t="shared" si="6"/>
        <v>1253120</v>
      </c>
      <c r="B398" s="592">
        <v>1253</v>
      </c>
      <c r="C398" s="590">
        <v>120</v>
      </c>
      <c r="D398" s="590">
        <v>1</v>
      </c>
      <c r="E398" s="590">
        <v>0</v>
      </c>
    </row>
    <row r="399" spans="1:7">
      <c r="A399" s="592" t="str">
        <f t="shared" si="6"/>
        <v>1253122</v>
      </c>
      <c r="B399" s="592">
        <v>1253</v>
      </c>
      <c r="C399" s="590">
        <v>122</v>
      </c>
      <c r="D399" s="590">
        <v>1</v>
      </c>
      <c r="E399" s="590">
        <v>0</v>
      </c>
    </row>
    <row r="400" spans="1:7">
      <c r="A400" s="592" t="str">
        <f t="shared" si="6"/>
        <v>1253123</v>
      </c>
      <c r="B400" s="592">
        <v>1253</v>
      </c>
      <c r="C400" s="590">
        <v>123</v>
      </c>
      <c r="D400" s="590">
        <v>1</v>
      </c>
      <c r="E400" s="590">
        <v>0</v>
      </c>
    </row>
    <row r="401" spans="1:7">
      <c r="A401" s="592" t="str">
        <f t="shared" si="6"/>
        <v>1253124</v>
      </c>
      <c r="B401" s="592">
        <v>1253</v>
      </c>
      <c r="C401" s="590">
        <v>124</v>
      </c>
      <c r="D401" s="590">
        <v>1</v>
      </c>
      <c r="E401" s="590">
        <v>0</v>
      </c>
    </row>
    <row r="402" spans="1:7">
      <c r="A402" s="592" t="str">
        <f t="shared" si="6"/>
        <v>1253125</v>
      </c>
      <c r="B402" s="592">
        <v>1253</v>
      </c>
      <c r="C402" s="590">
        <v>125</v>
      </c>
      <c r="D402" s="590">
        <v>0</v>
      </c>
      <c r="E402" s="590">
        <v>16</v>
      </c>
    </row>
    <row r="403" spans="1:7">
      <c r="A403" s="592" t="str">
        <f t="shared" si="6"/>
        <v>1253126</v>
      </c>
      <c r="B403" s="592">
        <v>1253</v>
      </c>
      <c r="C403" s="590">
        <v>126</v>
      </c>
      <c r="D403" s="590">
        <v>1</v>
      </c>
      <c r="E403" s="590">
        <v>0</v>
      </c>
    </row>
    <row r="404" spans="1:7">
      <c r="A404" s="592" t="str">
        <f t="shared" si="6"/>
        <v>1253128</v>
      </c>
      <c r="B404" s="592">
        <v>1253</v>
      </c>
      <c r="C404" s="590">
        <v>128</v>
      </c>
      <c r="D404" s="590">
        <v>0</v>
      </c>
      <c r="E404" s="590">
        <v>36</v>
      </c>
    </row>
    <row r="405" spans="1:7">
      <c r="A405" s="592" t="str">
        <f t="shared" si="6"/>
        <v>1253131</v>
      </c>
      <c r="B405" s="592">
        <v>1253</v>
      </c>
      <c r="C405" s="590">
        <v>131</v>
      </c>
      <c r="D405" s="590">
        <v>1</v>
      </c>
      <c r="E405" s="590">
        <v>0</v>
      </c>
      <c r="G405" s="2"/>
    </row>
    <row r="406" spans="1:7">
      <c r="A406" s="592" t="str">
        <f t="shared" si="6"/>
        <v>1253136</v>
      </c>
      <c r="B406" s="592">
        <v>1253</v>
      </c>
      <c r="C406" s="590">
        <v>136</v>
      </c>
      <c r="D406" s="590">
        <v>1</v>
      </c>
      <c r="E406" s="590">
        <v>0</v>
      </c>
    </row>
    <row r="407" spans="1:7">
      <c r="A407" s="592" t="str">
        <f t="shared" si="6"/>
        <v>1253137</v>
      </c>
      <c r="B407" s="592">
        <v>1253</v>
      </c>
      <c r="C407" s="590">
        <v>137</v>
      </c>
      <c r="D407" s="590">
        <v>1</v>
      </c>
      <c r="E407" s="590">
        <v>0</v>
      </c>
      <c r="G407" s="2"/>
    </row>
    <row r="408" spans="1:7">
      <c r="A408" s="592" t="str">
        <f t="shared" si="6"/>
        <v>1253138</v>
      </c>
      <c r="B408" s="592">
        <v>1253</v>
      </c>
      <c r="C408" s="590">
        <v>138</v>
      </c>
      <c r="D408" s="590">
        <v>1</v>
      </c>
      <c r="E408" s="590">
        <v>1</v>
      </c>
    </row>
    <row r="409" spans="1:7">
      <c r="A409" s="592" t="str">
        <f t="shared" si="6"/>
        <v>1253139</v>
      </c>
      <c r="B409" s="592">
        <v>1253</v>
      </c>
      <c r="C409" s="590">
        <v>139</v>
      </c>
      <c r="D409" s="590">
        <v>1</v>
      </c>
      <c r="E409" s="590">
        <v>0</v>
      </c>
      <c r="G409" s="2"/>
    </row>
    <row r="410" spans="1:7">
      <c r="A410" s="592" t="str">
        <f t="shared" si="6"/>
        <v>1253140</v>
      </c>
      <c r="B410" s="592">
        <v>1253</v>
      </c>
      <c r="C410" s="590">
        <v>140</v>
      </c>
      <c r="D410" s="590">
        <v>1</v>
      </c>
      <c r="E410" s="590">
        <v>1</v>
      </c>
      <c r="G410" s="2"/>
    </row>
    <row r="411" spans="1:7">
      <c r="A411" s="592" t="str">
        <f t="shared" si="6"/>
        <v>1253141</v>
      </c>
      <c r="B411" s="592">
        <v>1253</v>
      </c>
      <c r="C411" s="590">
        <v>141</v>
      </c>
      <c r="D411" s="590">
        <v>1</v>
      </c>
      <c r="E411" s="590">
        <v>1</v>
      </c>
      <c r="G411" s="2"/>
    </row>
    <row r="412" spans="1:7">
      <c r="A412" s="592" t="str">
        <f t="shared" si="6"/>
        <v>1253142</v>
      </c>
      <c r="B412" s="592">
        <v>1253</v>
      </c>
      <c r="C412" s="590">
        <v>142</v>
      </c>
      <c r="D412" s="590">
        <v>1</v>
      </c>
      <c r="E412" s="590">
        <v>0</v>
      </c>
    </row>
    <row r="413" spans="1:7">
      <c r="A413" s="592" t="str">
        <f t="shared" si="6"/>
        <v>1253143</v>
      </c>
      <c r="B413" s="592">
        <v>1253</v>
      </c>
      <c r="C413" s="590">
        <v>143</v>
      </c>
      <c r="D413" s="590">
        <v>1</v>
      </c>
      <c r="E413" s="590">
        <v>0</v>
      </c>
      <c r="G413" s="2"/>
    </row>
    <row r="414" spans="1:7">
      <c r="A414" s="592" t="str">
        <f t="shared" si="6"/>
        <v>1253144</v>
      </c>
      <c r="B414" s="592">
        <v>1253</v>
      </c>
      <c r="C414" s="590">
        <v>144</v>
      </c>
      <c r="D414" s="590">
        <v>1</v>
      </c>
      <c r="E414" s="590">
        <v>0</v>
      </c>
      <c r="G414" s="2"/>
    </row>
    <row r="415" spans="1:7">
      <c r="A415" s="592" t="str">
        <f t="shared" si="6"/>
        <v>1253145</v>
      </c>
      <c r="B415" s="592">
        <v>1253</v>
      </c>
      <c r="C415" s="590">
        <v>145</v>
      </c>
      <c r="D415" s="590">
        <v>0</v>
      </c>
      <c r="E415" s="590">
        <v>3</v>
      </c>
    </row>
    <row r="416" spans="1:7">
      <c r="A416" s="592" t="str">
        <f t="shared" si="6"/>
        <v>1253146</v>
      </c>
      <c r="B416" s="592">
        <v>1253</v>
      </c>
      <c r="C416" s="590">
        <v>146</v>
      </c>
      <c r="D416" s="590">
        <v>1</v>
      </c>
      <c r="E416" s="590">
        <v>0</v>
      </c>
      <c r="G416" s="2"/>
    </row>
    <row r="417" spans="1:7">
      <c r="A417" s="592" t="str">
        <f t="shared" si="6"/>
        <v>13161</v>
      </c>
      <c r="B417" s="592">
        <v>1316</v>
      </c>
      <c r="C417" s="590">
        <v>1</v>
      </c>
      <c r="D417" s="590">
        <v>1</v>
      </c>
      <c r="E417" s="590">
        <v>2</v>
      </c>
    </row>
    <row r="418" spans="1:7">
      <c r="A418" s="592" t="str">
        <f t="shared" si="6"/>
        <v>13162</v>
      </c>
      <c r="B418" s="592">
        <v>1316</v>
      </c>
      <c r="C418" s="590">
        <v>2</v>
      </c>
      <c r="D418" s="590">
        <v>1</v>
      </c>
      <c r="E418" s="590">
        <v>0</v>
      </c>
      <c r="G418" s="2"/>
    </row>
    <row r="419" spans="1:7">
      <c r="A419" s="592" t="str">
        <f t="shared" si="6"/>
        <v>13163</v>
      </c>
      <c r="B419" s="592">
        <v>1316</v>
      </c>
      <c r="C419" s="590">
        <v>3</v>
      </c>
      <c r="D419" s="590">
        <v>1</v>
      </c>
      <c r="E419" s="590">
        <v>2</v>
      </c>
      <c r="G419" s="2"/>
    </row>
    <row r="420" spans="1:7">
      <c r="A420" s="592" t="str">
        <f t="shared" si="6"/>
        <v>13164</v>
      </c>
      <c r="B420" s="592">
        <v>1316</v>
      </c>
      <c r="C420" s="590">
        <v>4</v>
      </c>
      <c r="D420" s="590">
        <v>1</v>
      </c>
      <c r="E420" s="590">
        <v>1</v>
      </c>
      <c r="G420" s="2"/>
    </row>
    <row r="421" spans="1:7">
      <c r="A421" s="592" t="str">
        <f t="shared" si="6"/>
        <v>13165</v>
      </c>
      <c r="B421" s="592">
        <v>1316</v>
      </c>
      <c r="C421" s="590">
        <v>5</v>
      </c>
      <c r="D421" s="590">
        <v>1</v>
      </c>
      <c r="E421" s="590">
        <v>1</v>
      </c>
    </row>
    <row r="422" spans="1:7" ht="13.5" thickBot="1">
      <c r="A422" s="592" t="str">
        <f t="shared" si="6"/>
        <v>13166</v>
      </c>
      <c r="B422" s="593">
        <v>1316</v>
      </c>
      <c r="C422" s="591">
        <v>6</v>
      </c>
      <c r="D422" s="591">
        <v>0</v>
      </c>
      <c r="E422" s="591">
        <v>207</v>
      </c>
      <c r="G422" s="2"/>
    </row>
    <row r="423" spans="1:7">
      <c r="A423" s="592"/>
      <c r="B423" s="592"/>
      <c r="C423" s="590"/>
      <c r="D423" s="590"/>
      <c r="E423" s="590"/>
      <c r="G423" s="2"/>
    </row>
    <row r="424" spans="1:7">
      <c r="A424" s="592"/>
      <c r="B424" s="592"/>
      <c r="C424" s="590"/>
      <c r="D424" s="590"/>
      <c r="E424" s="590"/>
      <c r="G424" s="2"/>
    </row>
    <row r="425" spans="1:7" ht="13.5" thickBot="1">
      <c r="A425" s="592"/>
      <c r="B425" s="593"/>
      <c r="C425" s="591"/>
      <c r="D425" s="591"/>
      <c r="E425" s="591"/>
      <c r="G425" s="2"/>
    </row>
    <row r="426" spans="1:7">
      <c r="A426" t="str">
        <f t="shared" ref="A426:A450" si="7">+CONCATENATE(B426,C426)</f>
        <v/>
      </c>
      <c r="G426" s="2"/>
    </row>
    <row r="427" spans="1:7">
      <c r="A427" t="str">
        <f t="shared" si="7"/>
        <v/>
      </c>
      <c r="G427" s="2"/>
    </row>
    <row r="428" spans="1:7">
      <c r="A428" t="str">
        <f t="shared" si="7"/>
        <v/>
      </c>
      <c r="G428" s="2"/>
    </row>
    <row r="429" spans="1:7">
      <c r="A429" t="str">
        <f t="shared" si="7"/>
        <v/>
      </c>
    </row>
    <row r="430" spans="1:7">
      <c r="A430" t="str">
        <f t="shared" si="7"/>
        <v/>
      </c>
      <c r="G430" s="2"/>
    </row>
    <row r="431" spans="1:7">
      <c r="A431" t="str">
        <f t="shared" si="7"/>
        <v/>
      </c>
    </row>
    <row r="432" spans="1:7">
      <c r="A432" t="str">
        <f t="shared" si="7"/>
        <v/>
      </c>
    </row>
    <row r="433" spans="1:7">
      <c r="A433" t="str">
        <f t="shared" si="7"/>
        <v/>
      </c>
      <c r="G433" s="2"/>
    </row>
    <row r="434" spans="1:7">
      <c r="A434" t="str">
        <f t="shared" si="7"/>
        <v/>
      </c>
      <c r="G434" s="2"/>
    </row>
    <row r="435" spans="1:7">
      <c r="A435" t="str">
        <f t="shared" si="7"/>
        <v/>
      </c>
      <c r="G435" s="2"/>
    </row>
    <row r="436" spans="1:7">
      <c r="A436" t="str">
        <f t="shared" si="7"/>
        <v/>
      </c>
      <c r="G436" s="2"/>
    </row>
    <row r="437" spans="1:7">
      <c r="A437" t="str">
        <f t="shared" si="7"/>
        <v/>
      </c>
      <c r="G437" s="2"/>
    </row>
    <row r="438" spans="1:7">
      <c r="A438" t="str">
        <f t="shared" si="7"/>
        <v/>
      </c>
      <c r="G438" s="2"/>
    </row>
    <row r="439" spans="1:7">
      <c r="A439" t="str">
        <f t="shared" si="7"/>
        <v/>
      </c>
    </row>
    <row r="440" spans="1:7">
      <c r="A440" t="str">
        <f t="shared" si="7"/>
        <v/>
      </c>
      <c r="G440" s="2"/>
    </row>
    <row r="441" spans="1:7">
      <c r="A441" t="str">
        <f t="shared" si="7"/>
        <v/>
      </c>
      <c r="G441" s="2"/>
    </row>
    <row r="442" spans="1:7">
      <c r="A442" t="str">
        <f t="shared" si="7"/>
        <v/>
      </c>
    </row>
    <row r="443" spans="1:7">
      <c r="A443" t="str">
        <f t="shared" si="7"/>
        <v/>
      </c>
    </row>
    <row r="444" spans="1:7">
      <c r="A444" t="str">
        <f t="shared" si="7"/>
        <v/>
      </c>
    </row>
    <row r="445" spans="1:7">
      <c r="A445" t="str">
        <f t="shared" si="7"/>
        <v/>
      </c>
      <c r="G445" s="2"/>
    </row>
    <row r="446" spans="1:7">
      <c r="A446" t="str">
        <f t="shared" si="7"/>
        <v/>
      </c>
      <c r="G446" s="2"/>
    </row>
    <row r="447" spans="1:7">
      <c r="A447" t="str">
        <f t="shared" si="7"/>
        <v/>
      </c>
      <c r="G447" s="2"/>
    </row>
    <row r="448" spans="1:7">
      <c r="A448" t="str">
        <f t="shared" si="7"/>
        <v/>
      </c>
      <c r="G448" s="2"/>
    </row>
    <row r="449" spans="1:7">
      <c r="A449" t="str">
        <f t="shared" si="7"/>
        <v/>
      </c>
      <c r="G449" s="2"/>
    </row>
    <row r="450" spans="1:7">
      <c r="A450" t="str">
        <f t="shared" si="7"/>
        <v/>
      </c>
    </row>
    <row r="451" spans="1:7">
      <c r="A451" t="str">
        <f t="shared" ref="A451:A514" si="8">+CONCATENATE(B451,C451)</f>
        <v/>
      </c>
      <c r="G451" s="2"/>
    </row>
    <row r="452" spans="1:7">
      <c r="A452" t="str">
        <f t="shared" si="8"/>
        <v/>
      </c>
      <c r="G452" s="2"/>
    </row>
    <row r="453" spans="1:7">
      <c r="A453" t="str">
        <f t="shared" si="8"/>
        <v/>
      </c>
    </row>
    <row r="454" spans="1:7">
      <c r="A454" t="str">
        <f t="shared" si="8"/>
        <v/>
      </c>
      <c r="G454" s="2"/>
    </row>
    <row r="455" spans="1:7">
      <c r="A455" t="str">
        <f t="shared" si="8"/>
        <v/>
      </c>
    </row>
    <row r="456" spans="1:7">
      <c r="A456" t="str">
        <f t="shared" si="8"/>
        <v/>
      </c>
    </row>
    <row r="457" spans="1:7">
      <c r="A457" t="str">
        <f t="shared" si="8"/>
        <v/>
      </c>
      <c r="G457" s="2"/>
    </row>
    <row r="458" spans="1:7">
      <c r="A458" t="str">
        <f t="shared" si="8"/>
        <v/>
      </c>
    </row>
    <row r="459" spans="1:7">
      <c r="A459" t="str">
        <f t="shared" si="8"/>
        <v/>
      </c>
    </row>
    <row r="460" spans="1:7">
      <c r="A460" t="str">
        <f t="shared" si="8"/>
        <v/>
      </c>
      <c r="G460" s="2"/>
    </row>
    <row r="461" spans="1:7">
      <c r="A461" t="str">
        <f t="shared" si="8"/>
        <v/>
      </c>
    </row>
    <row r="462" spans="1:7">
      <c r="A462" t="str">
        <f t="shared" si="8"/>
        <v/>
      </c>
      <c r="G462" s="2"/>
    </row>
    <row r="463" spans="1:7">
      <c r="A463" t="str">
        <f t="shared" si="8"/>
        <v/>
      </c>
      <c r="G463" s="2"/>
    </row>
    <row r="464" spans="1:7">
      <c r="A464" t="str">
        <f t="shared" si="8"/>
        <v/>
      </c>
    </row>
    <row r="465" spans="1:7">
      <c r="A465" t="str">
        <f t="shared" si="8"/>
        <v/>
      </c>
      <c r="G465" s="2"/>
    </row>
    <row r="466" spans="1:7">
      <c r="A466" t="str">
        <f t="shared" si="8"/>
        <v/>
      </c>
    </row>
    <row r="467" spans="1:7">
      <c r="A467" t="str">
        <f t="shared" si="8"/>
        <v/>
      </c>
      <c r="G467" s="2"/>
    </row>
    <row r="468" spans="1:7">
      <c r="A468" t="str">
        <f t="shared" si="8"/>
        <v/>
      </c>
      <c r="G468" s="2"/>
    </row>
    <row r="469" spans="1:7">
      <c r="A469" t="str">
        <f t="shared" si="8"/>
        <v/>
      </c>
    </row>
    <row r="470" spans="1:7">
      <c r="A470" t="str">
        <f t="shared" si="8"/>
        <v/>
      </c>
      <c r="G470" s="2"/>
    </row>
    <row r="471" spans="1:7">
      <c r="A471" t="str">
        <f t="shared" si="8"/>
        <v/>
      </c>
      <c r="G471" s="2"/>
    </row>
    <row r="472" spans="1:7">
      <c r="A472" t="str">
        <f t="shared" si="8"/>
        <v/>
      </c>
      <c r="G472" s="2"/>
    </row>
    <row r="473" spans="1:7">
      <c r="A473" t="str">
        <f t="shared" si="8"/>
        <v/>
      </c>
      <c r="G473" s="2"/>
    </row>
    <row r="474" spans="1:7">
      <c r="A474" t="str">
        <f t="shared" si="8"/>
        <v/>
      </c>
      <c r="G474" s="2"/>
    </row>
    <row r="475" spans="1:7">
      <c r="A475" t="str">
        <f t="shared" si="8"/>
        <v/>
      </c>
      <c r="G475" s="2"/>
    </row>
    <row r="476" spans="1:7">
      <c r="A476" t="str">
        <f t="shared" si="8"/>
        <v/>
      </c>
      <c r="G476" s="2"/>
    </row>
    <row r="477" spans="1:7">
      <c r="A477" t="str">
        <f t="shared" si="8"/>
        <v/>
      </c>
      <c r="G477" s="2"/>
    </row>
    <row r="478" spans="1:7">
      <c r="A478" t="str">
        <f t="shared" si="8"/>
        <v/>
      </c>
      <c r="G478" s="2"/>
    </row>
    <row r="479" spans="1:7">
      <c r="A479" t="str">
        <f t="shared" si="8"/>
        <v/>
      </c>
    </row>
    <row r="480" spans="1:7">
      <c r="A480" t="str">
        <f t="shared" si="8"/>
        <v/>
      </c>
    </row>
    <row r="481" spans="1:7">
      <c r="A481" t="str">
        <f t="shared" si="8"/>
        <v/>
      </c>
      <c r="G481" s="2"/>
    </row>
    <row r="482" spans="1:7">
      <c r="A482" t="str">
        <f t="shared" si="8"/>
        <v/>
      </c>
      <c r="G482" s="2"/>
    </row>
    <row r="483" spans="1:7">
      <c r="A483" t="str">
        <f t="shared" si="8"/>
        <v/>
      </c>
      <c r="G483" s="2"/>
    </row>
    <row r="484" spans="1:7">
      <c r="A484" t="str">
        <f t="shared" si="8"/>
        <v/>
      </c>
    </row>
    <row r="485" spans="1:7">
      <c r="A485" t="str">
        <f t="shared" si="8"/>
        <v/>
      </c>
    </row>
    <row r="486" spans="1:7">
      <c r="A486" t="str">
        <f t="shared" si="8"/>
        <v/>
      </c>
      <c r="G486" s="2"/>
    </row>
    <row r="487" spans="1:7">
      <c r="A487" t="str">
        <f t="shared" si="8"/>
        <v/>
      </c>
    </row>
    <row r="488" spans="1:7">
      <c r="A488" t="str">
        <f t="shared" si="8"/>
        <v/>
      </c>
      <c r="G488" s="2"/>
    </row>
    <row r="489" spans="1:7">
      <c r="A489" t="str">
        <f t="shared" si="8"/>
        <v/>
      </c>
      <c r="G489" s="2"/>
    </row>
    <row r="490" spans="1:7">
      <c r="A490" t="str">
        <f t="shared" si="8"/>
        <v/>
      </c>
    </row>
    <row r="491" spans="1:7">
      <c r="A491" t="str">
        <f t="shared" si="8"/>
        <v/>
      </c>
    </row>
    <row r="492" spans="1:7">
      <c r="A492" t="str">
        <f t="shared" si="8"/>
        <v/>
      </c>
      <c r="G492" s="2"/>
    </row>
    <row r="493" spans="1:7">
      <c r="A493" t="str">
        <f t="shared" si="8"/>
        <v/>
      </c>
      <c r="G493" s="2"/>
    </row>
    <row r="494" spans="1:7">
      <c r="A494" t="str">
        <f t="shared" si="8"/>
        <v/>
      </c>
      <c r="G494" s="2"/>
    </row>
    <row r="495" spans="1:7">
      <c r="A495" t="str">
        <f t="shared" si="8"/>
        <v/>
      </c>
    </row>
    <row r="496" spans="1:7">
      <c r="A496" t="str">
        <f t="shared" si="8"/>
        <v/>
      </c>
    </row>
    <row r="497" spans="1:7">
      <c r="A497" t="str">
        <f t="shared" si="8"/>
        <v/>
      </c>
      <c r="G497" s="2"/>
    </row>
    <row r="498" spans="1:7">
      <c r="A498" t="str">
        <f t="shared" si="8"/>
        <v/>
      </c>
    </row>
    <row r="499" spans="1:7">
      <c r="A499" t="str">
        <f t="shared" si="8"/>
        <v/>
      </c>
    </row>
    <row r="500" spans="1:7">
      <c r="A500" t="str">
        <f t="shared" si="8"/>
        <v/>
      </c>
    </row>
    <row r="501" spans="1:7">
      <c r="A501" t="str">
        <f t="shared" si="8"/>
        <v/>
      </c>
      <c r="G501" s="2"/>
    </row>
    <row r="502" spans="1:7">
      <c r="A502" t="str">
        <f t="shared" si="8"/>
        <v/>
      </c>
      <c r="G502" s="2"/>
    </row>
    <row r="503" spans="1:7">
      <c r="A503" t="str">
        <f t="shared" si="8"/>
        <v/>
      </c>
      <c r="G503" s="2"/>
    </row>
    <row r="504" spans="1:7">
      <c r="A504" t="str">
        <f t="shared" si="8"/>
        <v/>
      </c>
      <c r="G504" s="2"/>
    </row>
    <row r="505" spans="1:7">
      <c r="A505" t="str">
        <f t="shared" si="8"/>
        <v/>
      </c>
    </row>
    <row r="506" spans="1:7">
      <c r="A506" t="str">
        <f t="shared" si="8"/>
        <v/>
      </c>
    </row>
    <row r="507" spans="1:7">
      <c r="A507" t="str">
        <f t="shared" si="8"/>
        <v/>
      </c>
    </row>
    <row r="508" spans="1:7">
      <c r="A508" t="str">
        <f t="shared" si="8"/>
        <v/>
      </c>
    </row>
    <row r="509" spans="1:7">
      <c r="A509" t="str">
        <f t="shared" si="8"/>
        <v/>
      </c>
      <c r="G509" s="2"/>
    </row>
    <row r="510" spans="1:7">
      <c r="A510" t="str">
        <f t="shared" si="8"/>
        <v/>
      </c>
    </row>
    <row r="511" spans="1:7">
      <c r="A511" t="str">
        <f t="shared" si="8"/>
        <v/>
      </c>
    </row>
    <row r="512" spans="1:7">
      <c r="A512" t="str">
        <f t="shared" si="8"/>
        <v/>
      </c>
      <c r="G512" s="2"/>
    </row>
    <row r="513" spans="1:7">
      <c r="A513" t="str">
        <f t="shared" si="8"/>
        <v/>
      </c>
      <c r="G513" s="2"/>
    </row>
    <row r="514" spans="1:7">
      <c r="A514" t="str">
        <f t="shared" si="8"/>
        <v/>
      </c>
      <c r="G514" s="2"/>
    </row>
    <row r="515" spans="1:7">
      <c r="A515" t="str">
        <f t="shared" ref="A515:A578" si="9">+CONCATENATE(B515,C515)</f>
        <v/>
      </c>
      <c r="G515" s="2"/>
    </row>
    <row r="516" spans="1:7">
      <c r="A516" t="str">
        <f t="shared" si="9"/>
        <v/>
      </c>
      <c r="G516" s="2"/>
    </row>
    <row r="517" spans="1:7">
      <c r="A517" t="str">
        <f t="shared" si="9"/>
        <v/>
      </c>
      <c r="G517" s="2"/>
    </row>
    <row r="518" spans="1:7">
      <c r="A518" t="str">
        <f t="shared" si="9"/>
        <v/>
      </c>
    </row>
    <row r="519" spans="1:7">
      <c r="A519" t="str">
        <f t="shared" si="9"/>
        <v/>
      </c>
      <c r="G519" s="2"/>
    </row>
    <row r="520" spans="1:7">
      <c r="A520" t="str">
        <f t="shared" si="9"/>
        <v/>
      </c>
    </row>
    <row r="521" spans="1:7">
      <c r="A521" t="str">
        <f t="shared" si="9"/>
        <v/>
      </c>
      <c r="G521" s="2"/>
    </row>
    <row r="522" spans="1:7">
      <c r="A522" t="str">
        <f t="shared" si="9"/>
        <v/>
      </c>
    </row>
    <row r="523" spans="1:7">
      <c r="A523" t="str">
        <f t="shared" si="9"/>
        <v/>
      </c>
      <c r="G523" s="2"/>
    </row>
    <row r="524" spans="1:7">
      <c r="A524" t="str">
        <f t="shared" si="9"/>
        <v/>
      </c>
    </row>
    <row r="525" spans="1:7">
      <c r="A525" t="str">
        <f t="shared" si="9"/>
        <v/>
      </c>
      <c r="G525" s="2"/>
    </row>
    <row r="526" spans="1:7">
      <c r="A526" t="str">
        <f t="shared" si="9"/>
        <v/>
      </c>
    </row>
    <row r="527" spans="1:7">
      <c r="A527" t="str">
        <f t="shared" si="9"/>
        <v/>
      </c>
    </row>
    <row r="528" spans="1:7">
      <c r="A528" t="str">
        <f t="shared" si="9"/>
        <v/>
      </c>
      <c r="G528" s="2"/>
    </row>
    <row r="529" spans="1:7">
      <c r="A529" t="str">
        <f t="shared" si="9"/>
        <v/>
      </c>
      <c r="G529" s="2"/>
    </row>
    <row r="530" spans="1:7">
      <c r="A530" t="str">
        <f t="shared" si="9"/>
        <v/>
      </c>
      <c r="G530" s="2"/>
    </row>
    <row r="531" spans="1:7">
      <c r="A531" t="str">
        <f t="shared" si="9"/>
        <v/>
      </c>
      <c r="G531" s="2"/>
    </row>
    <row r="532" spans="1:7">
      <c r="A532" t="str">
        <f t="shared" si="9"/>
        <v/>
      </c>
    </row>
    <row r="533" spans="1:7">
      <c r="A533" t="str">
        <f t="shared" si="9"/>
        <v/>
      </c>
      <c r="G533" s="2"/>
    </row>
    <row r="534" spans="1:7">
      <c r="A534" t="str">
        <f t="shared" si="9"/>
        <v/>
      </c>
      <c r="G534" s="2"/>
    </row>
    <row r="535" spans="1:7">
      <c r="A535" t="str">
        <f t="shared" si="9"/>
        <v/>
      </c>
      <c r="G535" s="2"/>
    </row>
    <row r="536" spans="1:7">
      <c r="A536" t="str">
        <f t="shared" si="9"/>
        <v/>
      </c>
      <c r="G536" s="2"/>
    </row>
    <row r="537" spans="1:7">
      <c r="A537" t="str">
        <f t="shared" si="9"/>
        <v/>
      </c>
      <c r="G537" s="2"/>
    </row>
    <row r="538" spans="1:7">
      <c r="A538" t="str">
        <f t="shared" si="9"/>
        <v/>
      </c>
    </row>
    <row r="539" spans="1:7">
      <c r="A539" t="str">
        <f t="shared" si="9"/>
        <v/>
      </c>
      <c r="G539" s="2"/>
    </row>
    <row r="540" spans="1:7">
      <c r="A540" t="str">
        <f t="shared" si="9"/>
        <v/>
      </c>
      <c r="G540" s="2"/>
    </row>
    <row r="541" spans="1:7">
      <c r="A541" t="str">
        <f t="shared" si="9"/>
        <v/>
      </c>
    </row>
    <row r="542" spans="1:7">
      <c r="A542" t="str">
        <f t="shared" si="9"/>
        <v/>
      </c>
      <c r="G542" s="2"/>
    </row>
    <row r="543" spans="1:7">
      <c r="A543" t="str">
        <f t="shared" si="9"/>
        <v/>
      </c>
    </row>
    <row r="544" spans="1:7">
      <c r="A544" t="str">
        <f t="shared" si="9"/>
        <v/>
      </c>
      <c r="G544" s="2"/>
    </row>
    <row r="545" spans="1:7">
      <c r="A545" t="str">
        <f t="shared" si="9"/>
        <v/>
      </c>
    </row>
    <row r="546" spans="1:7">
      <c r="A546" t="str">
        <f t="shared" si="9"/>
        <v/>
      </c>
    </row>
    <row r="547" spans="1:7">
      <c r="A547" t="str">
        <f t="shared" si="9"/>
        <v/>
      </c>
      <c r="G547" s="2"/>
    </row>
    <row r="548" spans="1:7">
      <c r="A548" t="str">
        <f t="shared" si="9"/>
        <v/>
      </c>
      <c r="G548" s="2"/>
    </row>
    <row r="549" spans="1:7">
      <c r="A549" t="str">
        <f t="shared" si="9"/>
        <v/>
      </c>
      <c r="G549" s="2"/>
    </row>
    <row r="550" spans="1:7">
      <c r="A550" t="str">
        <f t="shared" si="9"/>
        <v/>
      </c>
      <c r="G550" s="2"/>
    </row>
    <row r="551" spans="1:7">
      <c r="A551" t="str">
        <f t="shared" si="9"/>
        <v/>
      </c>
    </row>
    <row r="552" spans="1:7">
      <c r="A552" t="str">
        <f t="shared" si="9"/>
        <v/>
      </c>
      <c r="G552" s="2"/>
    </row>
    <row r="553" spans="1:7">
      <c r="A553" t="str">
        <f t="shared" si="9"/>
        <v/>
      </c>
      <c r="G553" s="2"/>
    </row>
    <row r="554" spans="1:7">
      <c r="A554" t="str">
        <f t="shared" si="9"/>
        <v/>
      </c>
      <c r="G554" s="2"/>
    </row>
    <row r="555" spans="1:7">
      <c r="A555" t="str">
        <f t="shared" si="9"/>
        <v/>
      </c>
      <c r="G555" s="2"/>
    </row>
    <row r="556" spans="1:7">
      <c r="A556" t="str">
        <f t="shared" si="9"/>
        <v/>
      </c>
      <c r="G556" s="2"/>
    </row>
    <row r="557" spans="1:7">
      <c r="A557" t="str">
        <f t="shared" si="9"/>
        <v/>
      </c>
      <c r="G557" s="2"/>
    </row>
    <row r="558" spans="1:7">
      <c r="A558" t="str">
        <f t="shared" si="9"/>
        <v/>
      </c>
      <c r="G558" s="2"/>
    </row>
    <row r="559" spans="1:7">
      <c r="A559" t="str">
        <f t="shared" si="9"/>
        <v/>
      </c>
      <c r="G559" s="2"/>
    </row>
    <row r="560" spans="1:7">
      <c r="A560" t="str">
        <f t="shared" si="9"/>
        <v/>
      </c>
    </row>
    <row r="561" spans="1:7">
      <c r="A561" t="str">
        <f t="shared" si="9"/>
        <v/>
      </c>
      <c r="G561" s="2"/>
    </row>
    <row r="562" spans="1:7">
      <c r="A562" t="str">
        <f t="shared" si="9"/>
        <v/>
      </c>
      <c r="G562" s="2"/>
    </row>
    <row r="563" spans="1:7">
      <c r="A563" t="str">
        <f t="shared" si="9"/>
        <v/>
      </c>
    </row>
    <row r="564" spans="1:7">
      <c r="A564" t="str">
        <f t="shared" si="9"/>
        <v/>
      </c>
    </row>
    <row r="565" spans="1:7">
      <c r="A565" t="str">
        <f t="shared" si="9"/>
        <v/>
      </c>
    </row>
    <row r="566" spans="1:7">
      <c r="A566" t="str">
        <f t="shared" si="9"/>
        <v/>
      </c>
    </row>
    <row r="567" spans="1:7">
      <c r="A567" t="str">
        <f t="shared" si="9"/>
        <v/>
      </c>
      <c r="G567" s="2"/>
    </row>
    <row r="568" spans="1:7">
      <c r="A568" t="str">
        <f t="shared" si="9"/>
        <v/>
      </c>
      <c r="G568" s="2"/>
    </row>
    <row r="569" spans="1:7">
      <c r="A569" t="str">
        <f t="shared" si="9"/>
        <v/>
      </c>
      <c r="G569" s="2"/>
    </row>
    <row r="570" spans="1:7">
      <c r="A570" t="str">
        <f t="shared" si="9"/>
        <v/>
      </c>
      <c r="G570" s="2"/>
    </row>
    <row r="571" spans="1:7">
      <c r="A571" t="str">
        <f t="shared" si="9"/>
        <v/>
      </c>
      <c r="G571" s="2"/>
    </row>
    <row r="572" spans="1:7">
      <c r="A572" t="str">
        <f t="shared" si="9"/>
        <v/>
      </c>
      <c r="G572" s="2"/>
    </row>
    <row r="573" spans="1:7">
      <c r="A573" t="str">
        <f t="shared" si="9"/>
        <v/>
      </c>
    </row>
    <row r="574" spans="1:7">
      <c r="A574" t="str">
        <f t="shared" si="9"/>
        <v/>
      </c>
    </row>
    <row r="575" spans="1:7">
      <c r="A575" t="str">
        <f t="shared" si="9"/>
        <v/>
      </c>
      <c r="G575" s="2"/>
    </row>
    <row r="576" spans="1:7">
      <c r="A576" t="str">
        <f t="shared" si="9"/>
        <v/>
      </c>
      <c r="G576" s="2"/>
    </row>
    <row r="577" spans="1:7">
      <c r="A577" t="str">
        <f t="shared" si="9"/>
        <v/>
      </c>
      <c r="G577" s="2"/>
    </row>
    <row r="578" spans="1:7">
      <c r="A578" t="str">
        <f t="shared" si="9"/>
        <v/>
      </c>
      <c r="G578" s="2"/>
    </row>
    <row r="579" spans="1:7">
      <c r="A579" t="str">
        <f t="shared" ref="A579:A642" si="10">+CONCATENATE(B579,C579)</f>
        <v/>
      </c>
      <c r="G579" s="2"/>
    </row>
    <row r="580" spans="1:7">
      <c r="A580" t="str">
        <f t="shared" si="10"/>
        <v/>
      </c>
      <c r="G580" s="2"/>
    </row>
    <row r="581" spans="1:7">
      <c r="A581" t="str">
        <f t="shared" si="10"/>
        <v/>
      </c>
      <c r="G581" s="2"/>
    </row>
    <row r="582" spans="1:7">
      <c r="A582" t="str">
        <f t="shared" si="10"/>
        <v/>
      </c>
    </row>
    <row r="583" spans="1:7">
      <c r="A583" t="str">
        <f t="shared" si="10"/>
        <v/>
      </c>
    </row>
    <row r="584" spans="1:7">
      <c r="A584" t="str">
        <f t="shared" si="10"/>
        <v/>
      </c>
      <c r="G584" s="2"/>
    </row>
    <row r="585" spans="1:7">
      <c r="A585" t="str">
        <f t="shared" si="10"/>
        <v/>
      </c>
      <c r="G585" s="2"/>
    </row>
    <row r="586" spans="1:7">
      <c r="A586" t="str">
        <f t="shared" si="10"/>
        <v/>
      </c>
      <c r="G586" s="2"/>
    </row>
    <row r="587" spans="1:7">
      <c r="A587" t="str">
        <f t="shared" si="10"/>
        <v/>
      </c>
      <c r="G587" s="2"/>
    </row>
    <row r="588" spans="1:7">
      <c r="A588" t="str">
        <f t="shared" si="10"/>
        <v/>
      </c>
      <c r="G588" s="2"/>
    </row>
    <row r="589" spans="1:7">
      <c r="A589" t="str">
        <f t="shared" si="10"/>
        <v/>
      </c>
    </row>
    <row r="590" spans="1:7">
      <c r="A590" t="str">
        <f t="shared" si="10"/>
        <v/>
      </c>
      <c r="G590" s="2"/>
    </row>
    <row r="591" spans="1:7">
      <c r="A591" t="str">
        <f t="shared" si="10"/>
        <v/>
      </c>
      <c r="G591" s="2"/>
    </row>
    <row r="592" spans="1:7">
      <c r="A592" t="str">
        <f t="shared" si="10"/>
        <v/>
      </c>
    </row>
    <row r="593" spans="1:7">
      <c r="A593" t="str">
        <f t="shared" si="10"/>
        <v/>
      </c>
    </row>
    <row r="594" spans="1:7">
      <c r="A594" t="str">
        <f t="shared" si="10"/>
        <v/>
      </c>
      <c r="G594" s="2"/>
    </row>
    <row r="595" spans="1:7">
      <c r="A595" t="str">
        <f t="shared" si="10"/>
        <v/>
      </c>
      <c r="G595" s="2"/>
    </row>
    <row r="596" spans="1:7">
      <c r="A596" t="str">
        <f t="shared" si="10"/>
        <v/>
      </c>
    </row>
    <row r="597" spans="1:7">
      <c r="A597" t="str">
        <f t="shared" si="10"/>
        <v/>
      </c>
    </row>
    <row r="598" spans="1:7">
      <c r="A598" t="str">
        <f t="shared" si="10"/>
        <v/>
      </c>
    </row>
    <row r="599" spans="1:7">
      <c r="A599" t="str">
        <f t="shared" si="10"/>
        <v/>
      </c>
      <c r="G599" s="2"/>
    </row>
    <row r="600" spans="1:7">
      <c r="A600" t="str">
        <f t="shared" si="10"/>
        <v/>
      </c>
      <c r="G600" s="2"/>
    </row>
    <row r="601" spans="1:7">
      <c r="A601" t="str">
        <f t="shared" si="10"/>
        <v/>
      </c>
      <c r="G601" s="2"/>
    </row>
    <row r="602" spans="1:7">
      <c r="A602" t="str">
        <f t="shared" si="10"/>
        <v/>
      </c>
      <c r="G602" s="2"/>
    </row>
    <row r="603" spans="1:7">
      <c r="A603" t="str">
        <f t="shared" si="10"/>
        <v/>
      </c>
    </row>
    <row r="604" spans="1:7">
      <c r="A604" t="str">
        <f t="shared" si="10"/>
        <v/>
      </c>
      <c r="G604" s="2"/>
    </row>
    <row r="605" spans="1:7">
      <c r="A605" t="str">
        <f t="shared" si="10"/>
        <v/>
      </c>
      <c r="G605" s="2"/>
    </row>
    <row r="606" spans="1:7">
      <c r="A606" t="str">
        <f t="shared" si="10"/>
        <v/>
      </c>
      <c r="G606" s="2"/>
    </row>
    <row r="607" spans="1:7">
      <c r="A607" t="str">
        <f t="shared" si="10"/>
        <v/>
      </c>
      <c r="G607" s="2"/>
    </row>
    <row r="608" spans="1:7">
      <c r="A608" t="str">
        <f t="shared" si="10"/>
        <v/>
      </c>
    </row>
    <row r="609" spans="1:7">
      <c r="A609" t="str">
        <f t="shared" si="10"/>
        <v/>
      </c>
    </row>
    <row r="610" spans="1:7">
      <c r="A610" t="str">
        <f t="shared" si="10"/>
        <v/>
      </c>
      <c r="G610" s="2"/>
    </row>
    <row r="611" spans="1:7">
      <c r="A611" t="str">
        <f t="shared" si="10"/>
        <v/>
      </c>
    </row>
    <row r="612" spans="1:7">
      <c r="A612" t="str">
        <f t="shared" si="10"/>
        <v/>
      </c>
    </row>
    <row r="613" spans="1:7">
      <c r="A613" t="str">
        <f t="shared" si="10"/>
        <v/>
      </c>
    </row>
    <row r="614" spans="1:7">
      <c r="A614" t="str">
        <f t="shared" si="10"/>
        <v/>
      </c>
    </row>
    <row r="615" spans="1:7">
      <c r="A615" t="str">
        <f t="shared" si="10"/>
        <v/>
      </c>
    </row>
    <row r="616" spans="1:7">
      <c r="A616" t="str">
        <f t="shared" si="10"/>
        <v/>
      </c>
    </row>
    <row r="617" spans="1:7">
      <c r="A617" t="str">
        <f t="shared" si="10"/>
        <v/>
      </c>
    </row>
    <row r="618" spans="1:7">
      <c r="A618" t="str">
        <f t="shared" si="10"/>
        <v/>
      </c>
    </row>
    <row r="619" spans="1:7">
      <c r="A619" t="str">
        <f t="shared" si="10"/>
        <v/>
      </c>
      <c r="G619" s="2"/>
    </row>
    <row r="620" spans="1:7">
      <c r="A620" t="str">
        <f t="shared" si="10"/>
        <v/>
      </c>
      <c r="G620" s="2"/>
    </row>
    <row r="621" spans="1:7">
      <c r="A621" t="str">
        <f t="shared" si="10"/>
        <v/>
      </c>
    </row>
    <row r="622" spans="1:7">
      <c r="A622" t="str">
        <f t="shared" si="10"/>
        <v/>
      </c>
    </row>
    <row r="623" spans="1:7">
      <c r="A623" t="str">
        <f t="shared" si="10"/>
        <v/>
      </c>
    </row>
    <row r="624" spans="1:7">
      <c r="A624" t="str">
        <f t="shared" si="10"/>
        <v/>
      </c>
    </row>
    <row r="625" spans="1:7">
      <c r="A625" t="str">
        <f t="shared" si="10"/>
        <v/>
      </c>
    </row>
    <row r="626" spans="1:7">
      <c r="A626" t="str">
        <f t="shared" si="10"/>
        <v/>
      </c>
    </row>
    <row r="627" spans="1:7">
      <c r="A627" t="str">
        <f t="shared" si="10"/>
        <v/>
      </c>
    </row>
    <row r="628" spans="1:7">
      <c r="A628" t="str">
        <f t="shared" si="10"/>
        <v/>
      </c>
      <c r="G628" s="2"/>
    </row>
    <row r="629" spans="1:7">
      <c r="A629" t="str">
        <f t="shared" si="10"/>
        <v/>
      </c>
    </row>
    <row r="630" spans="1:7">
      <c r="A630" t="str">
        <f t="shared" si="10"/>
        <v/>
      </c>
    </row>
    <row r="631" spans="1:7">
      <c r="A631" t="str">
        <f t="shared" si="10"/>
        <v/>
      </c>
    </row>
    <row r="632" spans="1:7">
      <c r="A632" t="str">
        <f t="shared" si="10"/>
        <v/>
      </c>
    </row>
    <row r="633" spans="1:7">
      <c r="A633" t="str">
        <f t="shared" si="10"/>
        <v/>
      </c>
    </row>
    <row r="634" spans="1:7">
      <c r="A634" t="str">
        <f t="shared" si="10"/>
        <v/>
      </c>
    </row>
    <row r="635" spans="1:7">
      <c r="A635" t="str">
        <f t="shared" si="10"/>
        <v/>
      </c>
    </row>
    <row r="636" spans="1:7">
      <c r="A636" t="str">
        <f t="shared" si="10"/>
        <v/>
      </c>
    </row>
    <row r="637" spans="1:7">
      <c r="A637" t="str">
        <f t="shared" si="10"/>
        <v/>
      </c>
    </row>
    <row r="638" spans="1:7">
      <c r="A638" t="str">
        <f t="shared" si="10"/>
        <v/>
      </c>
      <c r="G638" s="2"/>
    </row>
    <row r="639" spans="1:7">
      <c r="A639" t="str">
        <f t="shared" si="10"/>
        <v/>
      </c>
      <c r="G639" s="2"/>
    </row>
    <row r="640" spans="1:7">
      <c r="A640" t="str">
        <f t="shared" si="10"/>
        <v/>
      </c>
      <c r="G640" s="2"/>
    </row>
    <row r="641" spans="1:7">
      <c r="A641" t="str">
        <f t="shared" si="10"/>
        <v/>
      </c>
      <c r="G641" s="2"/>
    </row>
    <row r="642" spans="1:7">
      <c r="A642" t="str">
        <f t="shared" si="10"/>
        <v/>
      </c>
    </row>
    <row r="643" spans="1:7">
      <c r="A643" t="str">
        <f t="shared" ref="A643:A706" si="11">+CONCATENATE(B643,C643)</f>
        <v/>
      </c>
      <c r="G643" s="2"/>
    </row>
    <row r="644" spans="1:7">
      <c r="A644" t="str">
        <f t="shared" si="11"/>
        <v/>
      </c>
      <c r="G644" s="2"/>
    </row>
    <row r="645" spans="1:7">
      <c r="A645" t="str">
        <f t="shared" si="11"/>
        <v/>
      </c>
      <c r="G645" s="2"/>
    </row>
    <row r="646" spans="1:7">
      <c r="A646" t="str">
        <f t="shared" si="11"/>
        <v/>
      </c>
    </row>
    <row r="647" spans="1:7">
      <c r="A647" t="str">
        <f t="shared" si="11"/>
        <v/>
      </c>
      <c r="G647" s="2"/>
    </row>
    <row r="648" spans="1:7">
      <c r="A648" t="str">
        <f t="shared" si="11"/>
        <v/>
      </c>
      <c r="G648" s="2"/>
    </row>
    <row r="649" spans="1:7">
      <c r="A649" t="str">
        <f t="shared" si="11"/>
        <v/>
      </c>
      <c r="G649" s="2"/>
    </row>
    <row r="650" spans="1:7">
      <c r="A650" t="str">
        <f t="shared" si="11"/>
        <v/>
      </c>
    </row>
    <row r="651" spans="1:7">
      <c r="A651" t="str">
        <f t="shared" si="11"/>
        <v/>
      </c>
    </row>
    <row r="652" spans="1:7">
      <c r="A652" t="str">
        <f t="shared" si="11"/>
        <v/>
      </c>
    </row>
    <row r="653" spans="1:7">
      <c r="A653" t="str">
        <f t="shared" si="11"/>
        <v/>
      </c>
    </row>
    <row r="654" spans="1:7">
      <c r="A654" t="str">
        <f t="shared" si="11"/>
        <v/>
      </c>
      <c r="G654" s="2"/>
    </row>
    <row r="655" spans="1:7">
      <c r="A655" t="str">
        <f t="shared" si="11"/>
        <v/>
      </c>
      <c r="G655" s="2"/>
    </row>
    <row r="656" spans="1:7">
      <c r="A656" t="str">
        <f t="shared" si="11"/>
        <v/>
      </c>
    </row>
    <row r="657" spans="1:7">
      <c r="A657" t="str">
        <f t="shared" si="11"/>
        <v/>
      </c>
      <c r="G657" s="2"/>
    </row>
    <row r="658" spans="1:7">
      <c r="A658" t="str">
        <f t="shared" si="11"/>
        <v/>
      </c>
    </row>
    <row r="659" spans="1:7">
      <c r="A659" t="str">
        <f t="shared" si="11"/>
        <v/>
      </c>
    </row>
    <row r="660" spans="1:7">
      <c r="A660" t="str">
        <f t="shared" si="11"/>
        <v/>
      </c>
    </row>
    <row r="661" spans="1:7">
      <c r="A661" t="str">
        <f t="shared" si="11"/>
        <v/>
      </c>
      <c r="G661" s="2"/>
    </row>
    <row r="662" spans="1:7">
      <c r="A662" t="str">
        <f t="shared" si="11"/>
        <v/>
      </c>
    </row>
    <row r="663" spans="1:7">
      <c r="A663" t="str">
        <f t="shared" si="11"/>
        <v/>
      </c>
    </row>
    <row r="664" spans="1:7">
      <c r="A664" t="str">
        <f t="shared" si="11"/>
        <v/>
      </c>
    </row>
    <row r="665" spans="1:7">
      <c r="A665" t="str">
        <f t="shared" si="11"/>
        <v/>
      </c>
    </row>
    <row r="666" spans="1:7">
      <c r="A666" t="str">
        <f t="shared" si="11"/>
        <v/>
      </c>
    </row>
    <row r="667" spans="1:7">
      <c r="A667" t="str">
        <f t="shared" si="11"/>
        <v/>
      </c>
      <c r="G667" s="2"/>
    </row>
    <row r="668" spans="1:7">
      <c r="A668" t="str">
        <f t="shared" si="11"/>
        <v/>
      </c>
      <c r="G668" s="2"/>
    </row>
    <row r="669" spans="1:7">
      <c r="A669" t="str">
        <f t="shared" si="11"/>
        <v/>
      </c>
      <c r="G669" s="2"/>
    </row>
    <row r="670" spans="1:7">
      <c r="A670" t="str">
        <f t="shared" si="11"/>
        <v/>
      </c>
      <c r="G670" s="2"/>
    </row>
    <row r="671" spans="1:7">
      <c r="A671" t="str">
        <f t="shared" si="11"/>
        <v/>
      </c>
      <c r="G671" s="2"/>
    </row>
    <row r="672" spans="1:7">
      <c r="A672" t="str">
        <f t="shared" si="11"/>
        <v/>
      </c>
      <c r="G672" s="2"/>
    </row>
    <row r="673" spans="1:7">
      <c r="A673" t="str">
        <f t="shared" si="11"/>
        <v/>
      </c>
      <c r="G673" s="2"/>
    </row>
    <row r="674" spans="1:7">
      <c r="A674" t="str">
        <f t="shared" si="11"/>
        <v/>
      </c>
      <c r="G674" s="2"/>
    </row>
    <row r="675" spans="1:7">
      <c r="A675" t="str">
        <f t="shared" si="11"/>
        <v/>
      </c>
      <c r="G675" s="2"/>
    </row>
    <row r="676" spans="1:7">
      <c r="A676" t="str">
        <f t="shared" si="11"/>
        <v/>
      </c>
      <c r="G676" s="2"/>
    </row>
    <row r="677" spans="1:7">
      <c r="A677" t="str">
        <f t="shared" si="11"/>
        <v/>
      </c>
      <c r="G677" s="2"/>
    </row>
    <row r="678" spans="1:7">
      <c r="A678" t="str">
        <f t="shared" si="11"/>
        <v/>
      </c>
      <c r="G678" s="2"/>
    </row>
    <row r="679" spans="1:7">
      <c r="A679" t="str">
        <f t="shared" si="11"/>
        <v/>
      </c>
      <c r="G679" s="2"/>
    </row>
    <row r="680" spans="1:7">
      <c r="A680" t="str">
        <f t="shared" si="11"/>
        <v/>
      </c>
      <c r="G680" s="2"/>
    </row>
    <row r="681" spans="1:7">
      <c r="A681" t="str">
        <f t="shared" si="11"/>
        <v/>
      </c>
    </row>
    <row r="682" spans="1:7">
      <c r="A682" t="str">
        <f t="shared" si="11"/>
        <v/>
      </c>
      <c r="G682" s="2"/>
    </row>
    <row r="683" spans="1:7">
      <c r="A683" t="str">
        <f t="shared" si="11"/>
        <v/>
      </c>
      <c r="G683" s="2"/>
    </row>
    <row r="684" spans="1:7">
      <c r="A684" t="str">
        <f t="shared" si="11"/>
        <v/>
      </c>
    </row>
    <row r="685" spans="1:7">
      <c r="A685" t="str">
        <f t="shared" si="11"/>
        <v/>
      </c>
    </row>
    <row r="686" spans="1:7">
      <c r="A686" t="str">
        <f t="shared" si="11"/>
        <v/>
      </c>
      <c r="G686" s="2"/>
    </row>
    <row r="687" spans="1:7">
      <c r="A687" t="str">
        <f t="shared" si="11"/>
        <v/>
      </c>
      <c r="G687" s="2"/>
    </row>
    <row r="688" spans="1:7">
      <c r="A688" t="str">
        <f t="shared" si="11"/>
        <v/>
      </c>
    </row>
    <row r="689" spans="1:7">
      <c r="A689" t="str">
        <f t="shared" si="11"/>
        <v/>
      </c>
      <c r="G689" s="2"/>
    </row>
    <row r="690" spans="1:7">
      <c r="A690" t="str">
        <f t="shared" si="11"/>
        <v/>
      </c>
      <c r="G690" s="2"/>
    </row>
    <row r="691" spans="1:7">
      <c r="A691" t="str">
        <f t="shared" si="11"/>
        <v/>
      </c>
      <c r="G691" s="2"/>
    </row>
    <row r="692" spans="1:7">
      <c r="A692" t="str">
        <f t="shared" si="11"/>
        <v/>
      </c>
      <c r="G692" s="2"/>
    </row>
    <row r="693" spans="1:7">
      <c r="A693" t="str">
        <f t="shared" si="11"/>
        <v/>
      </c>
      <c r="G693" s="2"/>
    </row>
    <row r="694" spans="1:7">
      <c r="A694" t="str">
        <f t="shared" si="11"/>
        <v/>
      </c>
      <c r="G694" s="2"/>
    </row>
    <row r="695" spans="1:7">
      <c r="A695" t="str">
        <f t="shared" si="11"/>
        <v/>
      </c>
      <c r="G695" s="2"/>
    </row>
    <row r="696" spans="1:7">
      <c r="A696" t="str">
        <f t="shared" si="11"/>
        <v/>
      </c>
      <c r="G696" s="2"/>
    </row>
    <row r="697" spans="1:7">
      <c r="A697" t="str">
        <f t="shared" si="11"/>
        <v/>
      </c>
      <c r="G697" s="2"/>
    </row>
    <row r="698" spans="1:7">
      <c r="A698" t="str">
        <f t="shared" si="11"/>
        <v/>
      </c>
    </row>
    <row r="699" spans="1:7">
      <c r="A699" t="str">
        <f t="shared" si="11"/>
        <v/>
      </c>
      <c r="G699" s="2"/>
    </row>
    <row r="700" spans="1:7">
      <c r="A700" t="str">
        <f t="shared" si="11"/>
        <v/>
      </c>
      <c r="G700" s="2"/>
    </row>
    <row r="701" spans="1:7">
      <c r="A701" t="str">
        <f t="shared" si="11"/>
        <v/>
      </c>
      <c r="G701" s="2"/>
    </row>
    <row r="702" spans="1:7">
      <c r="A702" t="str">
        <f t="shared" si="11"/>
        <v/>
      </c>
      <c r="G702" s="2"/>
    </row>
    <row r="703" spans="1:7">
      <c r="A703" t="str">
        <f t="shared" si="11"/>
        <v/>
      </c>
      <c r="G703" s="2"/>
    </row>
    <row r="704" spans="1:7">
      <c r="A704" t="str">
        <f t="shared" si="11"/>
        <v/>
      </c>
      <c r="G704" s="2"/>
    </row>
    <row r="705" spans="1:7">
      <c r="A705" t="str">
        <f t="shared" si="11"/>
        <v/>
      </c>
      <c r="G705" s="2"/>
    </row>
    <row r="706" spans="1:7">
      <c r="A706" t="str">
        <f t="shared" si="11"/>
        <v/>
      </c>
      <c r="G706" s="2"/>
    </row>
    <row r="707" spans="1:7">
      <c r="A707" t="str">
        <f t="shared" ref="A707:A770" si="12">+CONCATENATE(B707,C707)</f>
        <v/>
      </c>
    </row>
    <row r="708" spans="1:7">
      <c r="A708" t="str">
        <f t="shared" si="12"/>
        <v/>
      </c>
    </row>
    <row r="709" spans="1:7">
      <c r="A709" t="str">
        <f t="shared" si="12"/>
        <v/>
      </c>
    </row>
    <row r="710" spans="1:7">
      <c r="A710" t="str">
        <f t="shared" si="12"/>
        <v/>
      </c>
      <c r="G710" s="2"/>
    </row>
    <row r="711" spans="1:7">
      <c r="A711" t="str">
        <f t="shared" si="12"/>
        <v/>
      </c>
      <c r="G711" s="2"/>
    </row>
    <row r="712" spans="1:7">
      <c r="A712" t="str">
        <f t="shared" si="12"/>
        <v/>
      </c>
      <c r="G712" s="2"/>
    </row>
    <row r="713" spans="1:7">
      <c r="A713" t="str">
        <f t="shared" si="12"/>
        <v/>
      </c>
      <c r="G713" s="2"/>
    </row>
    <row r="714" spans="1:7">
      <c r="A714" t="str">
        <f t="shared" si="12"/>
        <v/>
      </c>
      <c r="G714" s="2"/>
    </row>
    <row r="715" spans="1:7">
      <c r="A715" t="str">
        <f t="shared" si="12"/>
        <v/>
      </c>
      <c r="G715" s="2"/>
    </row>
    <row r="716" spans="1:7">
      <c r="A716" t="str">
        <f t="shared" si="12"/>
        <v/>
      </c>
      <c r="G716" s="2"/>
    </row>
    <row r="717" spans="1:7">
      <c r="A717" t="str">
        <f t="shared" si="12"/>
        <v/>
      </c>
      <c r="G717" s="2"/>
    </row>
    <row r="718" spans="1:7">
      <c r="A718" t="str">
        <f t="shared" si="12"/>
        <v/>
      </c>
    </row>
    <row r="719" spans="1:7">
      <c r="A719" t="str">
        <f t="shared" si="12"/>
        <v/>
      </c>
      <c r="G719" s="2"/>
    </row>
    <row r="720" spans="1:7">
      <c r="A720" t="str">
        <f t="shared" si="12"/>
        <v/>
      </c>
      <c r="G720" s="2"/>
    </row>
    <row r="721" spans="1:7">
      <c r="A721" t="str">
        <f t="shared" si="12"/>
        <v/>
      </c>
    </row>
    <row r="722" spans="1:7">
      <c r="A722" t="str">
        <f t="shared" si="12"/>
        <v/>
      </c>
      <c r="G722" s="2"/>
    </row>
    <row r="723" spans="1:7">
      <c r="A723" t="str">
        <f t="shared" si="12"/>
        <v/>
      </c>
    </row>
    <row r="724" spans="1:7">
      <c r="A724" t="str">
        <f t="shared" si="12"/>
        <v/>
      </c>
      <c r="G724" s="2"/>
    </row>
    <row r="725" spans="1:7">
      <c r="A725" t="str">
        <f t="shared" si="12"/>
        <v/>
      </c>
      <c r="G725" s="2"/>
    </row>
    <row r="726" spans="1:7">
      <c r="A726" t="str">
        <f t="shared" si="12"/>
        <v/>
      </c>
    </row>
    <row r="727" spans="1:7">
      <c r="A727" t="str">
        <f t="shared" si="12"/>
        <v/>
      </c>
      <c r="G727" s="2"/>
    </row>
    <row r="728" spans="1:7">
      <c r="A728" t="str">
        <f t="shared" si="12"/>
        <v/>
      </c>
      <c r="G728" s="2"/>
    </row>
    <row r="729" spans="1:7">
      <c r="A729" t="str">
        <f t="shared" si="12"/>
        <v/>
      </c>
      <c r="G729" s="2"/>
    </row>
    <row r="730" spans="1:7">
      <c r="A730" t="str">
        <f t="shared" si="12"/>
        <v/>
      </c>
      <c r="G730" s="2"/>
    </row>
    <row r="731" spans="1:7">
      <c r="A731" t="str">
        <f t="shared" si="12"/>
        <v/>
      </c>
      <c r="G731" s="2"/>
    </row>
    <row r="732" spans="1:7">
      <c r="A732" t="str">
        <f t="shared" si="12"/>
        <v/>
      </c>
    </row>
    <row r="733" spans="1:7">
      <c r="A733" t="str">
        <f t="shared" si="12"/>
        <v/>
      </c>
    </row>
    <row r="734" spans="1:7">
      <c r="A734" t="str">
        <f t="shared" si="12"/>
        <v/>
      </c>
      <c r="G734" s="2"/>
    </row>
    <row r="735" spans="1:7">
      <c r="A735" t="str">
        <f t="shared" si="12"/>
        <v/>
      </c>
    </row>
    <row r="736" spans="1:7">
      <c r="A736" t="str">
        <f t="shared" si="12"/>
        <v/>
      </c>
    </row>
    <row r="737" spans="1:7">
      <c r="A737" t="str">
        <f t="shared" si="12"/>
        <v/>
      </c>
      <c r="G737" s="2"/>
    </row>
    <row r="738" spans="1:7">
      <c r="A738" t="str">
        <f t="shared" si="12"/>
        <v/>
      </c>
      <c r="G738" s="2"/>
    </row>
    <row r="739" spans="1:7">
      <c r="A739" t="str">
        <f t="shared" si="12"/>
        <v/>
      </c>
      <c r="G739" s="2"/>
    </row>
    <row r="740" spans="1:7">
      <c r="A740" t="str">
        <f t="shared" si="12"/>
        <v/>
      </c>
    </row>
    <row r="741" spans="1:7">
      <c r="A741" t="str">
        <f t="shared" si="12"/>
        <v/>
      </c>
      <c r="G741" s="2"/>
    </row>
    <row r="742" spans="1:7">
      <c r="A742" t="str">
        <f t="shared" si="12"/>
        <v/>
      </c>
    </row>
    <row r="743" spans="1:7">
      <c r="A743" t="str">
        <f t="shared" si="12"/>
        <v/>
      </c>
      <c r="G743" s="2"/>
    </row>
    <row r="744" spans="1:7">
      <c r="A744" t="str">
        <f t="shared" si="12"/>
        <v/>
      </c>
      <c r="G744" s="2"/>
    </row>
    <row r="745" spans="1:7">
      <c r="A745" t="str">
        <f t="shared" si="12"/>
        <v/>
      </c>
      <c r="G745" s="2"/>
    </row>
    <row r="746" spans="1:7">
      <c r="A746" t="str">
        <f t="shared" si="12"/>
        <v/>
      </c>
    </row>
    <row r="747" spans="1:7">
      <c r="A747" t="str">
        <f t="shared" si="12"/>
        <v/>
      </c>
      <c r="G747" s="2"/>
    </row>
    <row r="748" spans="1:7">
      <c r="A748" t="str">
        <f t="shared" si="12"/>
        <v/>
      </c>
    </row>
    <row r="749" spans="1:7">
      <c r="A749" t="str">
        <f t="shared" si="12"/>
        <v/>
      </c>
      <c r="G749" s="2"/>
    </row>
    <row r="750" spans="1:7">
      <c r="A750" t="str">
        <f t="shared" si="12"/>
        <v/>
      </c>
      <c r="G750" s="2"/>
    </row>
    <row r="751" spans="1:7">
      <c r="A751" t="str">
        <f t="shared" si="12"/>
        <v/>
      </c>
      <c r="G751" s="2"/>
    </row>
    <row r="752" spans="1:7">
      <c r="A752" t="str">
        <f t="shared" si="12"/>
        <v/>
      </c>
    </row>
    <row r="753" spans="1:7">
      <c r="A753" t="str">
        <f t="shared" si="12"/>
        <v/>
      </c>
    </row>
    <row r="754" spans="1:7">
      <c r="A754" t="str">
        <f t="shared" si="12"/>
        <v/>
      </c>
    </row>
    <row r="755" spans="1:7">
      <c r="A755" t="str">
        <f t="shared" si="12"/>
        <v/>
      </c>
    </row>
    <row r="756" spans="1:7">
      <c r="A756" t="str">
        <f t="shared" si="12"/>
        <v/>
      </c>
    </row>
    <row r="757" spans="1:7">
      <c r="A757" t="str">
        <f t="shared" si="12"/>
        <v/>
      </c>
      <c r="G757" s="2"/>
    </row>
    <row r="758" spans="1:7">
      <c r="A758" t="str">
        <f t="shared" si="12"/>
        <v/>
      </c>
      <c r="G758" s="2"/>
    </row>
    <row r="759" spans="1:7">
      <c r="A759" t="str">
        <f t="shared" si="12"/>
        <v/>
      </c>
      <c r="G759" s="2"/>
    </row>
    <row r="760" spans="1:7">
      <c r="A760" t="str">
        <f t="shared" si="12"/>
        <v/>
      </c>
      <c r="G760" s="2"/>
    </row>
    <row r="761" spans="1:7">
      <c r="A761" t="str">
        <f t="shared" si="12"/>
        <v/>
      </c>
      <c r="G761" s="2"/>
    </row>
    <row r="762" spans="1:7">
      <c r="A762" t="str">
        <f t="shared" si="12"/>
        <v/>
      </c>
    </row>
    <row r="763" spans="1:7">
      <c r="A763" t="str">
        <f t="shared" si="12"/>
        <v/>
      </c>
      <c r="G763" s="2"/>
    </row>
    <row r="764" spans="1:7">
      <c r="A764" t="str">
        <f t="shared" si="12"/>
        <v/>
      </c>
    </row>
    <row r="765" spans="1:7">
      <c r="A765" t="str">
        <f t="shared" si="12"/>
        <v/>
      </c>
    </row>
    <row r="766" spans="1:7">
      <c r="A766" t="str">
        <f t="shared" si="12"/>
        <v/>
      </c>
    </row>
    <row r="767" spans="1:7">
      <c r="A767" t="str">
        <f t="shared" si="12"/>
        <v/>
      </c>
      <c r="G767" s="2"/>
    </row>
    <row r="768" spans="1:7">
      <c r="A768" t="str">
        <f t="shared" si="12"/>
        <v/>
      </c>
    </row>
    <row r="769" spans="1:7">
      <c r="A769" t="str">
        <f t="shared" si="12"/>
        <v/>
      </c>
    </row>
    <row r="770" spans="1:7">
      <c r="A770" t="str">
        <f t="shared" si="12"/>
        <v/>
      </c>
    </row>
    <row r="771" spans="1:7">
      <c r="A771" t="str">
        <f t="shared" ref="A771:A833" si="13">+CONCATENATE(B771,C771)</f>
        <v/>
      </c>
      <c r="G771" s="2"/>
    </row>
    <row r="772" spans="1:7">
      <c r="A772" t="str">
        <f t="shared" si="13"/>
        <v/>
      </c>
      <c r="G772" s="2"/>
    </row>
    <row r="773" spans="1:7">
      <c r="A773" t="str">
        <f t="shared" si="13"/>
        <v/>
      </c>
    </row>
    <row r="774" spans="1:7">
      <c r="A774" t="str">
        <f t="shared" si="13"/>
        <v/>
      </c>
    </row>
    <row r="775" spans="1:7">
      <c r="A775" t="str">
        <f t="shared" si="13"/>
        <v/>
      </c>
    </row>
    <row r="776" spans="1:7">
      <c r="A776" t="str">
        <f t="shared" si="13"/>
        <v/>
      </c>
      <c r="G776" s="2"/>
    </row>
    <row r="777" spans="1:7">
      <c r="A777" t="str">
        <f t="shared" si="13"/>
        <v/>
      </c>
    </row>
    <row r="778" spans="1:7">
      <c r="A778" t="str">
        <f t="shared" si="13"/>
        <v/>
      </c>
      <c r="G778" s="2"/>
    </row>
    <row r="779" spans="1:7">
      <c r="A779" t="str">
        <f t="shared" si="13"/>
        <v/>
      </c>
      <c r="G779" s="2"/>
    </row>
    <row r="780" spans="1:7">
      <c r="A780" t="str">
        <f t="shared" si="13"/>
        <v/>
      </c>
      <c r="G780" s="2"/>
    </row>
    <row r="781" spans="1:7">
      <c r="A781" t="str">
        <f t="shared" si="13"/>
        <v/>
      </c>
      <c r="G781" s="2"/>
    </row>
    <row r="782" spans="1:7">
      <c r="A782" t="str">
        <f t="shared" si="13"/>
        <v/>
      </c>
    </row>
    <row r="783" spans="1:7">
      <c r="A783" t="str">
        <f t="shared" si="13"/>
        <v/>
      </c>
    </row>
    <row r="784" spans="1:7">
      <c r="A784" t="str">
        <f t="shared" si="13"/>
        <v/>
      </c>
      <c r="G784" s="2"/>
    </row>
    <row r="785" spans="1:7">
      <c r="A785" t="str">
        <f t="shared" si="13"/>
        <v/>
      </c>
      <c r="G785" s="2"/>
    </row>
    <row r="786" spans="1:7">
      <c r="A786" t="str">
        <f t="shared" si="13"/>
        <v/>
      </c>
      <c r="G786" s="2"/>
    </row>
    <row r="787" spans="1:7">
      <c r="A787" t="str">
        <f t="shared" si="13"/>
        <v/>
      </c>
      <c r="G787" s="2"/>
    </row>
    <row r="788" spans="1:7">
      <c r="A788" t="str">
        <f t="shared" si="13"/>
        <v/>
      </c>
    </row>
    <row r="789" spans="1:7">
      <c r="A789" t="str">
        <f t="shared" si="13"/>
        <v/>
      </c>
    </row>
    <row r="790" spans="1:7">
      <c r="A790" t="str">
        <f t="shared" si="13"/>
        <v/>
      </c>
    </row>
    <row r="791" spans="1:7">
      <c r="A791" t="str">
        <f t="shared" si="13"/>
        <v/>
      </c>
      <c r="G791" s="2"/>
    </row>
    <row r="792" spans="1:7">
      <c r="A792" t="str">
        <f t="shared" si="13"/>
        <v/>
      </c>
      <c r="G792" s="2"/>
    </row>
    <row r="793" spans="1:7">
      <c r="A793" t="str">
        <f t="shared" si="13"/>
        <v/>
      </c>
      <c r="G793" s="2"/>
    </row>
    <row r="794" spans="1:7">
      <c r="A794" t="str">
        <f t="shared" si="13"/>
        <v/>
      </c>
    </row>
    <row r="795" spans="1:7">
      <c r="A795" t="str">
        <f t="shared" si="13"/>
        <v/>
      </c>
      <c r="G795" s="2"/>
    </row>
    <row r="796" spans="1:7">
      <c r="A796" t="str">
        <f t="shared" si="13"/>
        <v/>
      </c>
      <c r="G796" s="2"/>
    </row>
    <row r="797" spans="1:7">
      <c r="A797" t="str">
        <f t="shared" si="13"/>
        <v/>
      </c>
    </row>
    <row r="798" spans="1:7">
      <c r="A798" t="str">
        <f t="shared" si="13"/>
        <v/>
      </c>
    </row>
    <row r="799" spans="1:7">
      <c r="A799" t="str">
        <f t="shared" si="13"/>
        <v/>
      </c>
    </row>
    <row r="800" spans="1:7">
      <c r="A800" t="str">
        <f t="shared" si="13"/>
        <v/>
      </c>
      <c r="G800" s="2"/>
    </row>
    <row r="801" spans="1:7">
      <c r="A801" t="str">
        <f t="shared" si="13"/>
        <v/>
      </c>
      <c r="G801" s="2"/>
    </row>
    <row r="802" spans="1:7">
      <c r="A802" t="str">
        <f t="shared" si="13"/>
        <v/>
      </c>
      <c r="G802" s="2"/>
    </row>
    <row r="803" spans="1:7">
      <c r="A803" t="str">
        <f t="shared" si="13"/>
        <v/>
      </c>
      <c r="G803" s="2"/>
    </row>
    <row r="804" spans="1:7">
      <c r="A804" t="str">
        <f t="shared" si="13"/>
        <v/>
      </c>
      <c r="G804" s="2"/>
    </row>
    <row r="805" spans="1:7">
      <c r="A805" t="str">
        <f t="shared" si="13"/>
        <v/>
      </c>
      <c r="G805" s="2"/>
    </row>
    <row r="806" spans="1:7">
      <c r="A806" t="str">
        <f t="shared" si="13"/>
        <v/>
      </c>
      <c r="G806" s="2"/>
    </row>
    <row r="807" spans="1:7">
      <c r="A807" t="str">
        <f t="shared" si="13"/>
        <v/>
      </c>
    </row>
    <row r="808" spans="1:7">
      <c r="A808" t="str">
        <f t="shared" si="13"/>
        <v/>
      </c>
    </row>
    <row r="809" spans="1:7">
      <c r="A809" t="str">
        <f t="shared" si="13"/>
        <v/>
      </c>
    </row>
    <row r="810" spans="1:7">
      <c r="A810" t="str">
        <f t="shared" si="13"/>
        <v/>
      </c>
    </row>
    <row r="811" spans="1:7">
      <c r="A811" t="str">
        <f t="shared" si="13"/>
        <v/>
      </c>
    </row>
    <row r="812" spans="1:7">
      <c r="A812" t="str">
        <f t="shared" si="13"/>
        <v/>
      </c>
    </row>
    <row r="813" spans="1:7">
      <c r="A813" t="str">
        <f t="shared" si="13"/>
        <v/>
      </c>
    </row>
    <row r="814" spans="1:7">
      <c r="A814" t="str">
        <f t="shared" si="13"/>
        <v/>
      </c>
      <c r="G814" s="2"/>
    </row>
    <row r="815" spans="1:7">
      <c r="A815" t="str">
        <f t="shared" si="13"/>
        <v/>
      </c>
      <c r="G815" s="2"/>
    </row>
    <row r="816" spans="1:7">
      <c r="A816" t="str">
        <f t="shared" si="13"/>
        <v/>
      </c>
    </row>
    <row r="817" spans="1:7">
      <c r="A817" t="str">
        <f t="shared" si="13"/>
        <v/>
      </c>
    </row>
    <row r="818" spans="1:7">
      <c r="A818" t="str">
        <f t="shared" si="13"/>
        <v/>
      </c>
      <c r="G818" s="2"/>
    </row>
    <row r="819" spans="1:7">
      <c r="A819" t="str">
        <f t="shared" si="13"/>
        <v/>
      </c>
      <c r="G819" s="2"/>
    </row>
    <row r="820" spans="1:7">
      <c r="A820" t="str">
        <f t="shared" si="13"/>
        <v/>
      </c>
    </row>
    <row r="821" spans="1:7">
      <c r="A821" t="str">
        <f t="shared" si="13"/>
        <v/>
      </c>
      <c r="G821" s="2"/>
    </row>
    <row r="822" spans="1:7">
      <c r="A822" t="str">
        <f t="shared" si="13"/>
        <v/>
      </c>
      <c r="G822" s="2"/>
    </row>
    <row r="823" spans="1:7">
      <c r="A823" t="str">
        <f t="shared" si="13"/>
        <v/>
      </c>
      <c r="G823" s="2"/>
    </row>
    <row r="824" spans="1:7">
      <c r="A824" t="str">
        <f t="shared" si="13"/>
        <v/>
      </c>
    </row>
    <row r="825" spans="1:7">
      <c r="A825" t="str">
        <f t="shared" si="13"/>
        <v/>
      </c>
      <c r="G825" s="2"/>
    </row>
    <row r="826" spans="1:7">
      <c r="A826" t="str">
        <f t="shared" si="13"/>
        <v/>
      </c>
      <c r="G826" s="2"/>
    </row>
    <row r="827" spans="1:7">
      <c r="A827" t="str">
        <f t="shared" si="13"/>
        <v/>
      </c>
    </row>
    <row r="828" spans="1:7">
      <c r="A828" t="str">
        <f t="shared" si="13"/>
        <v/>
      </c>
    </row>
    <row r="829" spans="1:7">
      <c r="A829" t="str">
        <f t="shared" si="13"/>
        <v/>
      </c>
      <c r="G829" s="2"/>
    </row>
    <row r="830" spans="1:7">
      <c r="A830" t="str">
        <f t="shared" si="13"/>
        <v/>
      </c>
      <c r="G830" s="2"/>
    </row>
    <row r="831" spans="1:7">
      <c r="A831" t="str">
        <f t="shared" si="13"/>
        <v/>
      </c>
      <c r="G831" s="2"/>
    </row>
    <row r="832" spans="1:7">
      <c r="A832" t="str">
        <f t="shared" si="13"/>
        <v/>
      </c>
      <c r="G832" s="2"/>
    </row>
    <row r="833" spans="1:7">
      <c r="A833" t="str">
        <f t="shared" si="13"/>
        <v/>
      </c>
      <c r="G833" s="2"/>
    </row>
    <row r="834" spans="1:7">
      <c r="G834" s="2"/>
    </row>
    <row r="836" spans="1:7">
      <c r="G836" s="2"/>
    </row>
    <row r="837" spans="1:7">
      <c r="G837" s="2"/>
    </row>
    <row r="840" spans="1:7">
      <c r="G840" s="2"/>
    </row>
    <row r="841" spans="1:7">
      <c r="F841" s="96"/>
      <c r="G841" s="2"/>
    </row>
    <row r="842" spans="1:7">
      <c r="F842" s="96"/>
    </row>
    <row r="843" spans="1:7">
      <c r="G843" s="2"/>
    </row>
    <row r="845" spans="1:7">
      <c r="F845" s="96"/>
      <c r="G845" s="2"/>
    </row>
    <row r="847" spans="1:7">
      <c r="G847" s="2"/>
    </row>
    <row r="848" spans="1:7">
      <c r="G848" s="2"/>
    </row>
    <row r="849" spans="6:7">
      <c r="G849" s="2"/>
    </row>
    <row r="850" spans="6:7">
      <c r="G850" s="2"/>
    </row>
    <row r="851" spans="6:7">
      <c r="G851" s="2"/>
    </row>
    <row r="852" spans="6:7">
      <c r="G852" s="2"/>
    </row>
    <row r="853" spans="6:7">
      <c r="G853" s="2"/>
    </row>
    <row r="854" spans="6:7">
      <c r="G854" s="2"/>
    </row>
    <row r="855" spans="6:7">
      <c r="G855" s="2"/>
    </row>
    <row r="856" spans="6:7">
      <c r="G856" s="2"/>
    </row>
    <row r="857" spans="6:7">
      <c r="F857" s="96"/>
      <c r="G857" s="2"/>
    </row>
    <row r="858" spans="6:7">
      <c r="F858" s="96"/>
    </row>
    <row r="859" spans="6:7">
      <c r="F859" s="96"/>
      <c r="G859" s="2"/>
    </row>
    <row r="862" spans="6:7">
      <c r="G862" s="2"/>
    </row>
    <row r="863" spans="6:7">
      <c r="G863" s="2"/>
    </row>
    <row r="864" spans="6:7">
      <c r="G864" s="2"/>
    </row>
    <row r="866" spans="6:7">
      <c r="G866" s="2"/>
    </row>
    <row r="867" spans="6:7">
      <c r="G867" s="2"/>
    </row>
    <row r="868" spans="6:7">
      <c r="G868" s="2"/>
    </row>
    <row r="869" spans="6:7">
      <c r="F869" s="96"/>
      <c r="G869" s="2"/>
    </row>
    <row r="871" spans="6:7">
      <c r="F871" s="96"/>
    </row>
    <row r="872" spans="6:7">
      <c r="F872" s="96"/>
    </row>
    <row r="873" spans="6:7">
      <c r="F873" s="96"/>
    </row>
    <row r="874" spans="6:7">
      <c r="G874" s="2"/>
    </row>
    <row r="875" spans="6:7">
      <c r="G875" s="2"/>
    </row>
    <row r="876" spans="6:7">
      <c r="G876" s="2"/>
    </row>
    <row r="877" spans="6:7">
      <c r="F877" s="96"/>
    </row>
    <row r="878" spans="6:7">
      <c r="F878" s="96"/>
    </row>
    <row r="879" spans="6:7">
      <c r="F879" s="96"/>
    </row>
    <row r="880" spans="6:7">
      <c r="G880" s="2"/>
    </row>
    <row r="882" spans="6:7">
      <c r="F882" s="96"/>
    </row>
    <row r="883" spans="6:7">
      <c r="F883" s="96"/>
    </row>
    <row r="884" spans="6:7">
      <c r="F884" s="96"/>
    </row>
    <row r="885" spans="6:7">
      <c r="F885" s="96"/>
      <c r="G885" s="2"/>
    </row>
    <row r="888" spans="6:7">
      <c r="G888" s="2"/>
    </row>
    <row r="890" spans="6:7">
      <c r="G890" s="2"/>
    </row>
    <row r="891" spans="6:7">
      <c r="F891" s="96"/>
    </row>
    <row r="893" spans="6:7">
      <c r="F893" s="96"/>
      <c r="G893" s="2"/>
    </row>
    <row r="895" spans="6:7">
      <c r="F895" s="96"/>
      <c r="G895" s="2"/>
    </row>
    <row r="896" spans="6:7">
      <c r="G896" s="2"/>
    </row>
    <row r="897" spans="6:7">
      <c r="F897" s="96"/>
    </row>
    <row r="898" spans="6:7">
      <c r="F898" s="96"/>
      <c r="G898" s="2"/>
    </row>
    <row r="899" spans="6:7">
      <c r="G899" s="2"/>
    </row>
    <row r="900" spans="6:7">
      <c r="G900" s="2"/>
    </row>
    <row r="901" spans="6:7">
      <c r="G901" s="2"/>
    </row>
    <row r="903" spans="6:7">
      <c r="G903" s="2"/>
    </row>
    <row r="904" spans="6:7">
      <c r="F904" s="96"/>
      <c r="G904" s="2"/>
    </row>
    <row r="905" spans="6:7">
      <c r="F905" s="96"/>
      <c r="G905" s="2"/>
    </row>
    <row r="906" spans="6:7">
      <c r="G906" s="2"/>
    </row>
    <row r="907" spans="6:7">
      <c r="F907" s="96"/>
    </row>
    <row r="908" spans="6:7">
      <c r="F908" s="96"/>
    </row>
    <row r="909" spans="6:7">
      <c r="G909" s="2"/>
    </row>
    <row r="910" spans="6:7">
      <c r="F910" s="96"/>
      <c r="G910" s="2"/>
    </row>
    <row r="911" spans="6:7">
      <c r="G911" s="2"/>
    </row>
    <row r="912" spans="6:7">
      <c r="G912" s="2"/>
    </row>
    <row r="913" spans="6:7">
      <c r="F913" s="96"/>
    </row>
    <row r="914" spans="6:7">
      <c r="F914" s="96"/>
      <c r="G914" s="2"/>
    </row>
    <row r="916" spans="6:7">
      <c r="G916" s="2"/>
    </row>
    <row r="917" spans="6:7">
      <c r="G917" s="2"/>
    </row>
    <row r="920" spans="6:7">
      <c r="F920" s="96"/>
      <c r="G920" s="2"/>
    </row>
    <row r="921" spans="6:7">
      <c r="G921" s="2"/>
    </row>
    <row r="922" spans="6:7">
      <c r="F922" s="96"/>
      <c r="G922" s="2"/>
    </row>
    <row r="923" spans="6:7">
      <c r="F923" s="96"/>
    </row>
    <row r="924" spans="6:7">
      <c r="F924" s="96"/>
    </row>
    <row r="925" spans="6:7">
      <c r="G925" s="2"/>
    </row>
    <row r="926" spans="6:7">
      <c r="F926" s="96"/>
    </row>
    <row r="927" spans="6:7">
      <c r="F927" s="96"/>
    </row>
    <row r="928" spans="6:7">
      <c r="F928" s="96"/>
    </row>
    <row r="929" spans="6:7">
      <c r="F929" s="96"/>
    </row>
    <row r="930" spans="6:7">
      <c r="G930" s="2"/>
    </row>
    <row r="931" spans="6:7">
      <c r="F931" s="96"/>
    </row>
    <row r="932" spans="6:7">
      <c r="G932" s="2"/>
    </row>
    <row r="933" spans="6:7">
      <c r="G933" s="2"/>
    </row>
    <row r="934" spans="6:7">
      <c r="G934" s="2"/>
    </row>
    <row r="935" spans="6:7">
      <c r="G935" s="2"/>
    </row>
    <row r="936" spans="6:7">
      <c r="F936" s="96"/>
    </row>
    <row r="937" spans="6:7">
      <c r="F937" s="96"/>
    </row>
    <row r="938" spans="6:7">
      <c r="F938" s="96"/>
    </row>
    <row r="939" spans="6:7">
      <c r="F939" s="96"/>
    </row>
    <row r="940" spans="6:7">
      <c r="F940" s="96"/>
    </row>
    <row r="941" spans="6:7">
      <c r="F941" s="96"/>
    </row>
    <row r="942" spans="6:7">
      <c r="F942" s="96"/>
    </row>
    <row r="943" spans="6:7">
      <c r="F943" s="96"/>
      <c r="G943" s="2"/>
    </row>
    <row r="944" spans="6:7">
      <c r="F944" s="96"/>
    </row>
    <row r="945" spans="6:7">
      <c r="F945" s="96"/>
    </row>
    <row r="946" spans="6:7">
      <c r="F946" s="96"/>
    </row>
    <row r="949" spans="6:7">
      <c r="G949" s="2"/>
    </row>
    <row r="952" spans="6:7">
      <c r="G952" s="2"/>
    </row>
    <row r="953" spans="6:7">
      <c r="G953" s="2"/>
    </row>
    <row r="954" spans="6:7">
      <c r="G954" s="2"/>
    </row>
    <row r="955" spans="6:7">
      <c r="G955" s="2"/>
    </row>
    <row r="956" spans="6:7">
      <c r="G956" s="2"/>
    </row>
    <row r="957" spans="6:7">
      <c r="G957" s="2"/>
    </row>
    <row r="959" spans="6:7">
      <c r="G959" s="2"/>
    </row>
    <row r="961" spans="6:7">
      <c r="G961" s="2"/>
    </row>
    <row r="963" spans="6:7">
      <c r="G963" s="2"/>
    </row>
    <row r="965" spans="6:7">
      <c r="G965" s="2"/>
    </row>
    <row r="967" spans="6:7">
      <c r="F967" s="96"/>
      <c r="G967" s="2"/>
    </row>
    <row r="968" spans="6:7">
      <c r="G968" s="2"/>
    </row>
    <row r="970" spans="6:7">
      <c r="G970" s="2"/>
    </row>
    <row r="972" spans="6:7">
      <c r="G972" s="2"/>
    </row>
    <row r="973" spans="6:7">
      <c r="G973" s="2"/>
    </row>
    <row r="975" spans="6:7">
      <c r="G975" s="2"/>
    </row>
    <row r="976" spans="6:7">
      <c r="G976" s="2"/>
    </row>
    <row r="977" spans="6:7">
      <c r="G977" s="2"/>
    </row>
    <row r="978" spans="6:7">
      <c r="F978" s="96"/>
    </row>
    <row r="979" spans="6:7">
      <c r="G979" s="2"/>
    </row>
    <row r="980" spans="6:7">
      <c r="G980" s="2"/>
    </row>
    <row r="981" spans="6:7">
      <c r="G981" s="2"/>
    </row>
    <row r="982" spans="6:7">
      <c r="G982" s="2"/>
    </row>
    <row r="984" spans="6:7">
      <c r="G984" s="2"/>
    </row>
    <row r="986" spans="6:7">
      <c r="F986" s="96"/>
    </row>
    <row r="987" spans="6:7">
      <c r="F987" s="96"/>
      <c r="G987" s="2"/>
    </row>
    <row r="988" spans="6:7">
      <c r="F988" s="96"/>
      <c r="G988" s="2"/>
    </row>
    <row r="989" spans="6:7">
      <c r="F989" s="96"/>
      <c r="G989" s="2"/>
    </row>
    <row r="990" spans="6:7">
      <c r="F990" s="96"/>
      <c r="G990" s="2"/>
    </row>
    <row r="992" spans="6:7">
      <c r="F992" s="96"/>
      <c r="G992" s="2"/>
    </row>
    <row r="993" spans="6:7">
      <c r="F993" s="96"/>
      <c r="G993" s="2"/>
    </row>
    <row r="994" spans="6:7">
      <c r="F994" s="96"/>
      <c r="G994" s="2"/>
    </row>
    <row r="995" spans="6:7">
      <c r="G995" s="2"/>
    </row>
    <row r="996" spans="6:7">
      <c r="G996" s="2"/>
    </row>
    <row r="997" spans="6:7">
      <c r="G997" s="2"/>
    </row>
    <row r="998" spans="6:7">
      <c r="F998" s="96"/>
      <c r="G998" s="2"/>
    </row>
    <row r="1001" spans="6:7">
      <c r="F1001" s="96"/>
    </row>
    <row r="1006" spans="6:7">
      <c r="F1006" s="96"/>
    </row>
    <row r="1007" spans="6:7">
      <c r="F1007" s="96"/>
    </row>
    <row r="1008" spans="6:7">
      <c r="G1008" s="2"/>
    </row>
    <row r="1009" spans="6:7">
      <c r="F1009" s="96"/>
      <c r="G1009" s="2"/>
    </row>
    <row r="1010" spans="6:7">
      <c r="F1010" s="96"/>
      <c r="G1010" s="2"/>
    </row>
    <row r="1011" spans="6:7">
      <c r="F1011" s="96"/>
      <c r="G1011" s="2"/>
    </row>
    <row r="1012" spans="6:7">
      <c r="F1012" s="96"/>
      <c r="G1012" s="2"/>
    </row>
    <row r="1014" spans="6:7">
      <c r="F1014" s="96"/>
    </row>
    <row r="1015" spans="6:7">
      <c r="F1015" s="96"/>
    </row>
    <row r="1017" spans="6:7">
      <c r="G1017" s="2"/>
    </row>
    <row r="1018" spans="6:7">
      <c r="G1018" s="2"/>
    </row>
    <row r="1019" spans="6:7">
      <c r="G1019" s="2"/>
    </row>
    <row r="1020" spans="6:7">
      <c r="G1020" s="2"/>
    </row>
    <row r="1021" spans="6:7">
      <c r="G1021" s="2"/>
    </row>
    <row r="1022" spans="6:7">
      <c r="G1022" s="2"/>
    </row>
    <row r="1025" spans="6:7">
      <c r="F1025" s="96"/>
    </row>
    <row r="1026" spans="6:7">
      <c r="G1026" s="2"/>
    </row>
    <row r="1027" spans="6:7">
      <c r="G1027" s="2"/>
    </row>
    <row r="1028" spans="6:7">
      <c r="G1028" s="2"/>
    </row>
    <row r="1029" spans="6:7">
      <c r="F1029" s="96"/>
      <c r="G1029" s="2"/>
    </row>
    <row r="1030" spans="6:7">
      <c r="F1030" s="96"/>
      <c r="G1030" s="2"/>
    </row>
    <row r="1031" spans="6:7">
      <c r="F1031" s="96"/>
    </row>
    <row r="1033" spans="6:7">
      <c r="G1033" s="2"/>
    </row>
    <row r="1034" spans="6:7">
      <c r="G1034" s="2"/>
    </row>
    <row r="1037" spans="6:7">
      <c r="F1037" s="96"/>
    </row>
    <row r="1038" spans="6:7">
      <c r="G1038" s="2"/>
    </row>
    <row r="1039" spans="6:7">
      <c r="G1039" s="2"/>
    </row>
    <row r="1041" spans="7:7">
      <c r="G1041" s="2"/>
    </row>
    <row r="1043" spans="7:7">
      <c r="G1043" s="2"/>
    </row>
    <row r="1044" spans="7:7">
      <c r="G1044" s="2"/>
    </row>
    <row r="1045" spans="7:7">
      <c r="G1045" s="2"/>
    </row>
    <row r="1046" spans="7:7">
      <c r="G1046" s="2"/>
    </row>
    <row r="1049" spans="7:7">
      <c r="G1049" s="2"/>
    </row>
    <row r="1058" spans="7:7">
      <c r="G1058" s="2"/>
    </row>
    <row r="1059" spans="7:7">
      <c r="G1059" s="2"/>
    </row>
    <row r="1067" spans="7:7">
      <c r="G1067" s="2"/>
    </row>
    <row r="1077" spans="6:7">
      <c r="F1077" s="96"/>
      <c r="G1077" s="2"/>
    </row>
    <row r="1078" spans="6:7">
      <c r="F1078" s="96"/>
      <c r="G1078" s="2"/>
    </row>
    <row r="1079" spans="6:7">
      <c r="F1079" s="96"/>
    </row>
    <row r="1080" spans="6:7">
      <c r="F1080" s="96"/>
      <c r="G1080" s="2"/>
    </row>
    <row r="1081" spans="6:7">
      <c r="F1081" s="96"/>
      <c r="G1081" s="2"/>
    </row>
    <row r="1082" spans="6:7">
      <c r="G1082" s="2"/>
    </row>
    <row r="1083" spans="6:7">
      <c r="G1083" s="2"/>
    </row>
    <row r="1084" spans="6:7">
      <c r="F1084" s="96"/>
      <c r="G1084" s="2"/>
    </row>
    <row r="1085" spans="6:7">
      <c r="F1085" s="96"/>
    </row>
    <row r="1086" spans="6:7">
      <c r="G1086" s="2"/>
    </row>
    <row r="1087" spans="6:7">
      <c r="G1087" s="2"/>
    </row>
    <row r="1088" spans="6:7">
      <c r="F1088" s="96"/>
    </row>
    <row r="1089" spans="6:7">
      <c r="F1089" s="96"/>
    </row>
    <row r="1093" spans="6:7">
      <c r="G1093" s="2"/>
    </row>
    <row r="1094" spans="6:7">
      <c r="G1094" s="2"/>
    </row>
    <row r="1096" spans="6:7">
      <c r="G1096" s="2"/>
    </row>
    <row r="1097" spans="6:7">
      <c r="F1097" s="96"/>
    </row>
    <row r="1101" spans="6:7">
      <c r="F1101" s="96"/>
    </row>
    <row r="1102" spans="6:7">
      <c r="F1102" s="96"/>
      <c r="G1102" s="2"/>
    </row>
    <row r="1106" spans="6:7">
      <c r="G1106" s="2"/>
    </row>
    <row r="1107" spans="6:7">
      <c r="F1107" s="96"/>
      <c r="G1107" s="2"/>
    </row>
    <row r="1108" spans="6:7">
      <c r="G1108" s="2"/>
    </row>
    <row r="1109" spans="6:7">
      <c r="G1109" s="2"/>
    </row>
    <row r="1110" spans="6:7">
      <c r="G1110" s="2"/>
    </row>
    <row r="1111" spans="6:7">
      <c r="F1111" s="96"/>
      <c r="G1111" s="2"/>
    </row>
    <row r="1112" spans="6:7">
      <c r="F1112" s="96"/>
      <c r="G1112" s="2"/>
    </row>
    <row r="1113" spans="6:7">
      <c r="F1113" s="96"/>
      <c r="G1113" s="2"/>
    </row>
    <row r="1114" spans="6:7">
      <c r="F1114" s="96"/>
      <c r="G1114" s="2"/>
    </row>
    <row r="1115" spans="6:7">
      <c r="G1115" s="2"/>
    </row>
    <row r="1116" spans="6:7">
      <c r="G1116" s="2"/>
    </row>
    <row r="1117" spans="6:7">
      <c r="G1117" s="2"/>
    </row>
    <row r="1118" spans="6:7">
      <c r="G1118" s="2"/>
    </row>
    <row r="1119" spans="6:7">
      <c r="G1119" s="2"/>
    </row>
    <row r="1120" spans="6:7">
      <c r="F1120" s="96"/>
    </row>
    <row r="1121" spans="6:7">
      <c r="F1121" s="96"/>
      <c r="G1121" s="2"/>
    </row>
    <row r="1122" spans="6:7">
      <c r="G1122" s="2"/>
    </row>
    <row r="1125" spans="6:7">
      <c r="G1125" s="2"/>
    </row>
    <row r="1126" spans="6:7">
      <c r="F1126" s="96"/>
      <c r="G1126" s="2"/>
    </row>
    <row r="1127" spans="6:7">
      <c r="F1127" s="96"/>
    </row>
    <row r="1128" spans="6:7">
      <c r="G1128" s="2"/>
    </row>
    <row r="1129" spans="6:7">
      <c r="G1129" s="2"/>
    </row>
    <row r="1130" spans="6:7">
      <c r="G1130" s="2"/>
    </row>
    <row r="1131" spans="6:7">
      <c r="G1131" s="2"/>
    </row>
    <row r="1133" spans="6:7">
      <c r="F1133" s="96"/>
      <c r="G1133" s="2"/>
    </row>
    <row r="1135" spans="6:7">
      <c r="G1135" s="2"/>
    </row>
    <row r="1136" spans="6:7">
      <c r="G1136" s="2"/>
    </row>
    <row r="1137" spans="6:7">
      <c r="F1137" s="96"/>
    </row>
    <row r="1138" spans="6:7">
      <c r="F1138" s="96"/>
      <c r="G1138" s="2"/>
    </row>
    <row r="1139" spans="6:7">
      <c r="G1139" s="2"/>
    </row>
    <row r="1140" spans="6:7">
      <c r="G1140" s="2"/>
    </row>
    <row r="1141" spans="6:7">
      <c r="G1141" s="2"/>
    </row>
    <row r="1142" spans="6:7">
      <c r="G1142" s="2"/>
    </row>
    <row r="1143" spans="6:7">
      <c r="G1143" s="2"/>
    </row>
    <row r="1144" spans="6:7">
      <c r="G1144" s="2"/>
    </row>
    <row r="1145" spans="6:7">
      <c r="G1145" s="2"/>
    </row>
    <row r="1147" spans="6:7">
      <c r="F1147" s="96"/>
    </row>
    <row r="1149" spans="6:7">
      <c r="G1149" s="2"/>
    </row>
    <row r="1150" spans="6:7">
      <c r="F1150" s="96"/>
    </row>
    <row r="1152" spans="6:7">
      <c r="G1152" s="2"/>
    </row>
    <row r="1153" spans="6:7">
      <c r="F1153" s="96"/>
      <c r="G1153" s="2"/>
    </row>
    <row r="1154" spans="6:7">
      <c r="G1154" s="2"/>
    </row>
    <row r="1155" spans="6:7">
      <c r="F1155" s="96"/>
      <c r="G1155" s="2"/>
    </row>
    <row r="1156" spans="6:7">
      <c r="F1156" s="96"/>
      <c r="G1156" s="2"/>
    </row>
    <row r="1157" spans="6:7">
      <c r="F1157" s="96"/>
    </row>
    <row r="1158" spans="6:7">
      <c r="G1158" s="2"/>
    </row>
    <row r="1159" spans="6:7">
      <c r="G1159" s="2"/>
    </row>
    <row r="1160" spans="6:7">
      <c r="F1160" s="96"/>
    </row>
    <row r="1161" spans="6:7">
      <c r="G1161" s="2"/>
    </row>
    <row r="1163" spans="6:7">
      <c r="G1163" s="2"/>
    </row>
    <row r="1164" spans="6:7">
      <c r="G1164" s="2"/>
    </row>
    <row r="1166" spans="6:7">
      <c r="G1166" s="2"/>
    </row>
    <row r="1167" spans="6:7">
      <c r="F1167" s="96"/>
    </row>
    <row r="1168" spans="6:7">
      <c r="F1168" s="96"/>
      <c r="G1168" s="2"/>
    </row>
    <row r="1169" spans="6:7">
      <c r="F1169" s="96"/>
      <c r="G1169" s="2"/>
    </row>
    <row r="1170" spans="6:7">
      <c r="G1170" s="2"/>
    </row>
    <row r="1173" spans="6:7">
      <c r="G1173" s="2"/>
    </row>
    <row r="1176" spans="6:7">
      <c r="G1176" s="2"/>
    </row>
    <row r="1177" spans="6:7">
      <c r="F1177" s="96"/>
      <c r="G1177" s="2"/>
    </row>
    <row r="1178" spans="6:7">
      <c r="G1178" s="2"/>
    </row>
    <row r="1180" spans="6:7">
      <c r="G1180" s="2"/>
    </row>
    <row r="1181" spans="6:7">
      <c r="F1181" s="96"/>
    </row>
    <row r="1182" spans="6:7">
      <c r="G1182" s="2"/>
    </row>
    <row r="1183" spans="6:7">
      <c r="G1183" s="2"/>
    </row>
    <row r="1184" spans="6:7">
      <c r="G1184" s="2"/>
    </row>
    <row r="1186" spans="6:7">
      <c r="F1186" s="96"/>
      <c r="G1186" s="2"/>
    </row>
    <row r="1187" spans="6:7">
      <c r="F1187" s="96"/>
    </row>
    <row r="1188" spans="6:7">
      <c r="G1188" s="2"/>
    </row>
    <row r="1189" spans="6:7">
      <c r="F1189" s="96"/>
      <c r="G1189" s="2"/>
    </row>
    <row r="1190" spans="6:7">
      <c r="G1190" s="2"/>
    </row>
    <row r="1191" spans="6:7">
      <c r="F1191" s="96"/>
    </row>
    <row r="1196" spans="6:7">
      <c r="G1196" s="2"/>
    </row>
    <row r="1197" spans="6:7">
      <c r="G1197" s="2"/>
    </row>
    <row r="1198" spans="6:7">
      <c r="G1198" s="2"/>
    </row>
    <row r="1199" spans="6:7">
      <c r="G1199" s="2"/>
    </row>
    <row r="1200" spans="6:7">
      <c r="G1200" s="2"/>
    </row>
    <row r="1202" spans="6:7">
      <c r="F1202" s="96"/>
      <c r="G1202" s="2"/>
    </row>
    <row r="1206" spans="6:7">
      <c r="G1206" s="2"/>
    </row>
    <row r="1210" spans="6:7">
      <c r="G1210" s="2"/>
    </row>
    <row r="1211" spans="6:7">
      <c r="G1211" s="2"/>
    </row>
    <row r="1215" spans="6:7">
      <c r="G1215" s="2"/>
    </row>
    <row r="1217" spans="6:7">
      <c r="F1217" s="96"/>
      <c r="G1217" s="2"/>
    </row>
    <row r="1218" spans="6:7">
      <c r="G1218" s="2"/>
    </row>
    <row r="1219" spans="6:7">
      <c r="G1219" s="2"/>
    </row>
    <row r="1220" spans="6:7">
      <c r="F1220" s="96"/>
      <c r="G1220" s="2"/>
    </row>
    <row r="1223" spans="6:7">
      <c r="F1223" s="96"/>
      <c r="G1223" s="2"/>
    </row>
    <row r="1224" spans="6:7">
      <c r="F1224" s="96"/>
      <c r="G1224" s="2"/>
    </row>
    <row r="1225" spans="6:7">
      <c r="G1225" s="2"/>
    </row>
    <row r="1226" spans="6:7">
      <c r="F1226" s="96"/>
      <c r="G1226" s="2"/>
    </row>
    <row r="1229" spans="6:7">
      <c r="F1229" s="96"/>
    </row>
    <row r="1230" spans="6:7">
      <c r="G1230" s="2"/>
    </row>
    <row r="1231" spans="6:7">
      <c r="G1231" s="2"/>
    </row>
    <row r="1232" spans="6:7">
      <c r="F1232" s="96"/>
      <c r="G1232" s="2"/>
    </row>
    <row r="1234" spans="6:7">
      <c r="G1234" s="2"/>
    </row>
    <row r="1235" spans="6:7">
      <c r="G1235" s="2"/>
    </row>
    <row r="1239" spans="6:7">
      <c r="G1239" s="2"/>
    </row>
    <row r="1240" spans="6:7">
      <c r="G1240" s="2"/>
    </row>
    <row r="1241" spans="6:7">
      <c r="G1241" s="2"/>
    </row>
    <row r="1242" spans="6:7">
      <c r="G1242" s="2"/>
    </row>
    <row r="1243" spans="6:7">
      <c r="G1243" s="2"/>
    </row>
    <row r="1244" spans="6:7">
      <c r="G1244" s="2"/>
    </row>
    <row r="1245" spans="6:7">
      <c r="G1245" s="2"/>
    </row>
    <row r="1247" spans="6:7">
      <c r="F1247" s="96"/>
    </row>
    <row r="1249" spans="6:7">
      <c r="F1249" s="96"/>
    </row>
    <row r="1250" spans="6:7">
      <c r="F1250" s="96"/>
    </row>
    <row r="1254" spans="6:7">
      <c r="F1254" s="96"/>
      <c r="G1254" s="2"/>
    </row>
    <row r="1256" spans="6:7">
      <c r="G1256" s="2"/>
    </row>
    <row r="1257" spans="6:7">
      <c r="G1257" s="2"/>
    </row>
    <row r="1259" spans="6:7">
      <c r="F1259" s="96"/>
    </row>
    <row r="1260" spans="6:7">
      <c r="G1260" s="2"/>
    </row>
    <row r="1261" spans="6:7">
      <c r="F1261" s="96"/>
      <c r="G1261" s="2"/>
    </row>
  </sheetData>
  <autoFilter ref="A1:I833" xr:uid="{00000000-0009-0000-0000-000002000000}"/>
  <phoneticPr fontId="0" type="noConversion"/>
  <pageMargins left="0" right="0" top="0.98425196850393704" bottom="0.98425196850393704" header="0" footer="0"/>
  <pageSetup paperSize="9" scale="95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7"/>
  <dimension ref="A1:H271"/>
  <sheetViews>
    <sheetView view="pageBreakPreview" zoomScale="60" zoomScaleNormal="60" workbookViewId="0" xr3:uid="{7075697D-051A-5480-9A35-AA80E904E1A1}">
      <selection activeCell="J17" sqref="J17"/>
    </sheetView>
  </sheetViews>
  <sheetFormatPr defaultRowHeight="12.75"/>
  <cols>
    <col min="1" max="2" width="11.42578125" customWidth="1"/>
    <col min="3" max="3" width="11.5703125" bestFit="1" customWidth="1"/>
    <col min="4" max="4" width="23.140625" customWidth="1"/>
    <col min="5" max="5" width="11.42578125" customWidth="1"/>
    <col min="6" max="6" width="11.5703125" bestFit="1" customWidth="1"/>
    <col min="7" max="7" width="27.710937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VLOOKUP(G5,'12_1'!$A$12:$G$45,7,0)</f>
        <v>QUESADA, MIGUEL ANGEL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tr">
        <f>+'12_1'!$G$3</f>
        <v>Hijuela San Eduardo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VLOOKUP(G5,'12_1'!$A$12:$B$45,2,0)</f>
        <v>1250</v>
      </c>
      <c r="D7" s="76"/>
      <c r="E7" s="635" t="s">
        <v>184</v>
      </c>
      <c r="F7" s="397">
        <f>DSUM('12_1'!A$12:K$45,'12_1'!$K$12,G4:G5)</f>
        <v>0.28775162976691004</v>
      </c>
      <c r="G7" s="382"/>
      <c r="H7" s="76"/>
    </row>
    <row r="8" spans="1:8">
      <c r="A8" s="381"/>
      <c r="B8" s="635" t="s">
        <v>185</v>
      </c>
      <c r="C8" s="374" t="s">
        <v>466</v>
      </c>
      <c r="D8" s="76"/>
      <c r="E8" s="635" t="s">
        <v>186</v>
      </c>
      <c r="F8" s="368" t="str">
        <f>IF(VLOOKUP(G5,'12_1'!$A$12:$D$45,4,0)=2,"Eventual 80%","Definitivo 100%")</f>
        <v>Eventual 80%</v>
      </c>
      <c r="G8" s="382"/>
      <c r="H8" s="76"/>
    </row>
    <row r="9" spans="1:8">
      <c r="A9" s="381"/>
      <c r="B9" s="635" t="s">
        <v>187</v>
      </c>
      <c r="C9" s="375">
        <f>DSUM('12_1'!$A$12:$H$45,'12_1'!$H$12,G4:G5)</f>
        <v>18.872720000000001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DMIN('12_1'!A$12:L$45,'12_1'!$L$12,G4:G5)</f>
        <v>42975.105330038932</v>
      </c>
      <c r="E10" s="127" t="str">
        <f>IF(F10=1,"Domingo",IF(F10=2,"Lunes",IF(F10=3,"Martes",IF(F10=4,"Miercoles",IF(F10=5,"Jueves",IF(F10=6,"Viernes",IF(F10=7,"Sábado",0)))))))</f>
        <v>Lunes</v>
      </c>
      <c r="F10" s="128">
        <f>WEEKDAY(D10)</f>
        <v>2</v>
      </c>
      <c r="G10" s="385"/>
      <c r="H10" s="76"/>
    </row>
    <row r="11" spans="1:8" ht="15.75">
      <c r="A11" s="381"/>
      <c r="B11" s="76"/>
      <c r="C11" s="635" t="s">
        <v>190</v>
      </c>
      <c r="D11" s="107">
        <f>DMAX('12_1'!A$12:M$45,'12_1'!$M$12,G4:G5)</f>
        <v>42975.393081668699</v>
      </c>
      <c r="E11" s="127" t="str">
        <f>IF(F11=1,"Domingo",IF(F11=2,"Lunes",IF(F11=3,"Martes",IF(F11=4,"Miercoles",IF(F11=5,"Jueves",IF(F11=6,"Viernes",IF(F11=7,"Sábado",0)))))))</f>
        <v>Lunes</v>
      </c>
      <c r="F11" s="128">
        <f>WEEKDAY(D11)</f>
        <v>2</v>
      </c>
      <c r="G11" s="385"/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279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280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IF(DSUM('12_1'!$A$12:$Q$129,16,G4:G5)=COUNTIF('12_1'!$A$12:$A$129,G5),"","Regularice su Deuda")</f>
        <v>Regularice su Deuda</v>
      </c>
      <c r="C16" s="326"/>
      <c r="D16" s="326"/>
      <c r="E16" s="326"/>
      <c r="F16" s="326"/>
      <c r="G16" s="388"/>
      <c r="H16" s="76"/>
    </row>
    <row r="17" spans="1:8" ht="13.5" thickBot="1"/>
    <row r="18" spans="1:8">
      <c r="A18" s="378"/>
      <c r="B18" s="379"/>
      <c r="C18" s="379"/>
      <c r="D18" s="379"/>
      <c r="E18" s="379"/>
      <c r="F18" s="379"/>
      <c r="G18" s="380"/>
      <c r="H18" s="76"/>
    </row>
    <row r="19" spans="1:8">
      <c r="A19" s="381"/>
      <c r="B19" s="109" t="s">
        <v>82</v>
      </c>
      <c r="C19" s="76"/>
      <c r="D19" s="76"/>
      <c r="E19" s="76"/>
      <c r="F19" s="76"/>
      <c r="G19" s="382"/>
      <c r="H19" s="76"/>
    </row>
    <row r="20" spans="1:8">
      <c r="A20" s="381"/>
      <c r="B20" s="76"/>
      <c r="C20" s="76"/>
      <c r="D20" s="76"/>
      <c r="E20" s="76"/>
      <c r="F20" s="76"/>
      <c r="G20" s="382"/>
      <c r="H20" s="76"/>
    </row>
    <row r="21" spans="1:8">
      <c r="A21" s="381"/>
      <c r="B21" s="76" t="s">
        <v>182</v>
      </c>
      <c r="C21" s="76" t="str">
        <f>VLOOKUP(G22,'12_1'!$A$12:$G$45,7,0)</f>
        <v>AYSAM  S.A.P.E.M.</v>
      </c>
      <c r="D21" s="76"/>
      <c r="E21" s="76"/>
      <c r="F21" s="76"/>
      <c r="G21" s="383" t="s">
        <v>134</v>
      </c>
      <c r="H21" s="76"/>
    </row>
    <row r="22" spans="1:8">
      <c r="A22" s="381"/>
      <c r="B22" s="76" t="s">
        <v>91</v>
      </c>
      <c r="C22" s="76" t="str">
        <f>+'12_1'!$G$3</f>
        <v>Hijuela San Eduardo</v>
      </c>
      <c r="D22" s="76"/>
      <c r="E22" s="76"/>
      <c r="F22" s="76"/>
      <c r="G22" s="383">
        <v>2</v>
      </c>
      <c r="H22" s="76"/>
    </row>
    <row r="23" spans="1:8">
      <c r="A23" s="381"/>
      <c r="B23" s="76"/>
      <c r="C23" s="76"/>
      <c r="D23" s="76"/>
      <c r="E23" s="76"/>
      <c r="F23" s="76"/>
      <c r="G23" s="382"/>
      <c r="H23" s="76"/>
    </row>
    <row r="24" spans="1:8">
      <c r="A24" s="381"/>
      <c r="B24" s="635" t="s">
        <v>183</v>
      </c>
      <c r="C24" s="331">
        <f>VLOOKUP(G22,'12_1'!$A$12:$B$45,2,0)</f>
        <v>1250</v>
      </c>
      <c r="D24" s="76"/>
      <c r="E24" s="635" t="s">
        <v>184</v>
      </c>
      <c r="F24" s="397">
        <f>DSUM('12_1'!A$12:K$45,'12_1'!$K$12,G21:G22)</f>
        <v>0.30751779027953474</v>
      </c>
      <c r="G24" s="382"/>
      <c r="H24" s="76"/>
    </row>
    <row r="25" spans="1:8">
      <c r="A25" s="381"/>
      <c r="B25" s="635" t="s">
        <v>185</v>
      </c>
      <c r="C25" s="374">
        <v>2</v>
      </c>
      <c r="D25" s="76"/>
      <c r="E25" s="635" t="s">
        <v>186</v>
      </c>
      <c r="F25" s="368" t="str">
        <f>IF(VLOOKUP(G22,'12_1'!$A$12:$D$45,4,0)=2,"Eventual 80%","Definitivo 100%")</f>
        <v>Eventual 80%</v>
      </c>
      <c r="G25" s="382"/>
      <c r="H25" s="76"/>
    </row>
    <row r="26" spans="1:8">
      <c r="A26" s="381"/>
      <c r="B26" s="635" t="s">
        <v>187</v>
      </c>
      <c r="C26" s="375">
        <f>DSUM('12_1'!$A$12:$H$45,'12_1'!$H$12,G21:G22)</f>
        <v>20.169120000000003</v>
      </c>
      <c r="D26" s="76"/>
      <c r="E26" s="635" t="s">
        <v>188</v>
      </c>
      <c r="F26" s="369" t="str">
        <f>+Hijuelas!$G$5</f>
        <v>fracción</v>
      </c>
      <c r="G26" s="384"/>
      <c r="H26" s="76"/>
    </row>
    <row r="27" spans="1:8" ht="15.75">
      <c r="A27" s="381"/>
      <c r="B27" s="76"/>
      <c r="C27" s="635" t="s">
        <v>189</v>
      </c>
      <c r="D27" s="107">
        <f>DMIN('12_1'!A$12:L$45,'12_1'!$L$12,G21:G22)</f>
        <v>42974.797812248653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385"/>
      <c r="H27" s="76"/>
    </row>
    <row r="28" spans="1:8" ht="15.75">
      <c r="A28" s="381"/>
      <c r="B28" s="76"/>
      <c r="C28" s="635" t="s">
        <v>190</v>
      </c>
      <c r="D28" s="107">
        <f>DMAX('12_1'!A$12:M$45,'12_1'!$M$12,G21:G22)</f>
        <v>42975.105330038932</v>
      </c>
      <c r="E28" s="127" t="str">
        <f>IF(F28=1,"Domingo",IF(F28=2,"Lunes",IF(F28=3,"Martes",IF(F28=4,"Miercoles",IF(F28=5,"Jueves",IF(F28=6,"Viernes",IF(F28=7,"Sábado",0)))))))</f>
        <v>Lunes</v>
      </c>
      <c r="F28" s="128">
        <f>WEEKDAY(D28)</f>
        <v>2</v>
      </c>
      <c r="G28" s="385"/>
      <c r="H28" s="76"/>
    </row>
    <row r="29" spans="1:8">
      <c r="A29" s="381"/>
      <c r="B29" s="76"/>
      <c r="C29" s="76"/>
      <c r="D29" s="76"/>
      <c r="E29" s="76"/>
      <c r="F29" s="106"/>
      <c r="G29" s="384"/>
      <c r="H29" s="76"/>
    </row>
    <row r="30" spans="1:8">
      <c r="A30" s="381"/>
      <c r="B30" s="108" t="str">
        <f>+Mensajes!$B$7</f>
        <v>PARA CUALQUIER MODIFICACION EN EL CUADRO DE TURNO COMUNIQUESE CON SU TOMERO</v>
      </c>
      <c r="C30" s="279"/>
      <c r="D30" s="76"/>
      <c r="E30" s="76"/>
      <c r="F30" s="76"/>
      <c r="G30" s="382"/>
      <c r="H30" s="76"/>
    </row>
    <row r="31" spans="1:8">
      <c r="A31" s="381"/>
      <c r="B31" s="108" t="str">
        <f>+Mensajes!$B$12</f>
        <v>Recuerde que con 1 (una) cuotas vigentes impagas se restringirá el servicio.</v>
      </c>
      <c r="C31" s="280"/>
      <c r="D31" s="76"/>
      <c r="E31" s="76"/>
      <c r="F31" s="76"/>
      <c r="G31" s="382"/>
      <c r="H31" s="76"/>
    </row>
    <row r="32" spans="1:8">
      <c r="A32" s="381"/>
      <c r="B32" s="108"/>
      <c r="C32" s="76"/>
      <c r="D32" s="76"/>
      <c r="E32" s="76"/>
      <c r="F32" s="76"/>
      <c r="G32" s="382"/>
      <c r="H32" s="76"/>
    </row>
    <row r="33" spans="1:8" ht="13.5" thickBot="1">
      <c r="A33" s="386"/>
      <c r="B33" s="387" t="str">
        <f>IF(DSUM('12_1'!$A$12:$Q$129,16,G21:G22)=COUNTIF('12_1'!$A$12:$A$129,G22),"","Regularice su Deuda")</f>
        <v>Regularice su Deuda</v>
      </c>
      <c r="C33" s="326"/>
      <c r="D33" s="326"/>
      <c r="E33" s="326"/>
      <c r="F33" s="326"/>
      <c r="G33" s="388"/>
      <c r="H33" s="76"/>
    </row>
    <row r="34" spans="1:8" ht="13.5" thickBot="1"/>
    <row r="35" spans="1:8">
      <c r="A35" s="378"/>
      <c r="B35" s="379"/>
      <c r="C35" s="379"/>
      <c r="D35" s="379"/>
      <c r="E35" s="379"/>
      <c r="F35" s="379"/>
      <c r="G35" s="380"/>
      <c r="H35" s="76"/>
    </row>
    <row r="36" spans="1:8">
      <c r="A36" s="381"/>
      <c r="B36" s="109" t="s">
        <v>82</v>
      </c>
      <c r="C36" s="76"/>
      <c r="D36" s="76"/>
      <c r="E36" s="76"/>
      <c r="F36" s="76"/>
      <c r="G36" s="382"/>
      <c r="H36" s="76"/>
    </row>
    <row r="37" spans="1:8">
      <c r="A37" s="381"/>
      <c r="B37" s="76"/>
      <c r="C37" s="76"/>
      <c r="D37" s="76"/>
      <c r="E37" s="76"/>
      <c r="F37" s="76"/>
      <c r="G37" s="382"/>
      <c r="H37" s="76"/>
    </row>
    <row r="38" spans="1:8">
      <c r="A38" s="381"/>
      <c r="B38" s="76" t="s">
        <v>182</v>
      </c>
      <c r="C38" s="76" t="str">
        <f>VLOOKUP(G39,'12_1'!$A$12:$G$45,7,0)</f>
        <v>MASSACCESI, JORGE EUGENIO</v>
      </c>
      <c r="D38" s="76"/>
      <c r="E38" s="76"/>
      <c r="F38" s="76"/>
      <c r="G38" s="383" t="s">
        <v>134</v>
      </c>
      <c r="H38" s="76"/>
    </row>
    <row r="39" spans="1:8">
      <c r="A39" s="381"/>
      <c r="B39" s="76" t="s">
        <v>91</v>
      </c>
      <c r="C39" s="76" t="str">
        <f>+'12_1'!$G$3</f>
        <v>Hijuela San Eduardo</v>
      </c>
      <c r="D39" s="76"/>
      <c r="E39" s="76"/>
      <c r="F39" s="76"/>
      <c r="G39" s="383">
        <v>3</v>
      </c>
      <c r="H39" s="76"/>
    </row>
    <row r="40" spans="1:8">
      <c r="A40" s="381"/>
      <c r="B40" s="76"/>
      <c r="C40" s="76"/>
      <c r="D40" s="76"/>
      <c r="E40" s="76"/>
      <c r="F40" s="76"/>
      <c r="G40" s="382"/>
      <c r="H40" s="76"/>
    </row>
    <row r="41" spans="1:8">
      <c r="A41" s="381"/>
      <c r="B41" s="635" t="s">
        <v>183</v>
      </c>
      <c r="C41" s="331">
        <f>VLOOKUP(G39,'12_1'!$A$12:$B$45,2,0)</f>
        <v>1250</v>
      </c>
      <c r="D41" s="76"/>
      <c r="E41" s="635" t="s">
        <v>184</v>
      </c>
      <c r="F41" s="397">
        <f>DSUM('12_1'!A$12:K$45,'12_1'!$K$12,G38:G39)</f>
        <v>0.57979192478296471</v>
      </c>
      <c r="G41" s="382"/>
      <c r="H41" s="76"/>
    </row>
    <row r="42" spans="1:8">
      <c r="A42" s="381"/>
      <c r="B42" s="635" t="s">
        <v>185</v>
      </c>
      <c r="C42" s="374" t="s">
        <v>467</v>
      </c>
      <c r="D42" s="76"/>
      <c r="E42" s="635" t="s">
        <v>186</v>
      </c>
      <c r="F42" s="368" t="str">
        <f>IF(VLOOKUP(G39,'12_1'!$A$12:$D$45,4,0)=2,"Eventual 80%","Definitivo 100%")</f>
        <v>Eventual 80%</v>
      </c>
      <c r="G42" s="382"/>
      <c r="H42" s="76"/>
    </row>
    <row r="43" spans="1:8">
      <c r="A43" s="381"/>
      <c r="B43" s="635" t="s">
        <v>187</v>
      </c>
      <c r="C43" s="375">
        <f>DSUM('12_1'!$A$12:$H$45,'12_1'!$H$12,G38:G39)</f>
        <v>38.026720000000005</v>
      </c>
      <c r="D43" s="76"/>
      <c r="E43" s="635" t="s">
        <v>188</v>
      </c>
      <c r="F43" s="369" t="str">
        <f>+Hijuelas!$G$5</f>
        <v>fracción</v>
      </c>
      <c r="G43" s="384"/>
      <c r="H43" s="76"/>
    </row>
    <row r="44" spans="1:8" ht="15.75">
      <c r="A44" s="381"/>
      <c r="B44" s="76"/>
      <c r="C44" s="635" t="s">
        <v>189</v>
      </c>
      <c r="D44" s="107">
        <f>DMIN('12_1'!A$12:L$45,'12_1'!$L$12,G38:G39)</f>
        <v>42974.218020323875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385"/>
      <c r="H44" s="76"/>
    </row>
    <row r="45" spans="1:8" ht="15.75">
      <c r="A45" s="381"/>
      <c r="B45" s="76"/>
      <c r="C45" s="635" t="s">
        <v>190</v>
      </c>
      <c r="D45" s="107">
        <f>DMAX('12_1'!A$12:M$45,'12_1'!$M$12,G38:G39)</f>
        <v>42974.797812248653</v>
      </c>
      <c r="E45" s="127" t="str">
        <f>IF(F45=1,"Domingo",IF(F45=2,"Lunes",IF(F45=3,"Martes",IF(F45=4,"Miercoles",IF(F45=5,"Jueves",IF(F45=6,"Viernes",IF(F45=7,"Sábado",0)))))))</f>
        <v>Domingo</v>
      </c>
      <c r="F45" s="128">
        <f>WEEKDAY(D45)</f>
        <v>1</v>
      </c>
      <c r="G45" s="385"/>
      <c r="H45" s="76"/>
    </row>
    <row r="46" spans="1:8">
      <c r="A46" s="381"/>
      <c r="B46" s="76"/>
      <c r="C46" s="76"/>
      <c r="D46" s="76"/>
      <c r="E46" s="76"/>
      <c r="F46" s="106"/>
      <c r="G46" s="384"/>
      <c r="H46" s="76"/>
    </row>
    <row r="47" spans="1:8">
      <c r="A47" s="381"/>
      <c r="B47" s="108" t="str">
        <f>+Mensajes!$B$7</f>
        <v>PARA CUALQUIER MODIFICACION EN EL CUADRO DE TURNO COMUNIQUESE CON SU TOMERO</v>
      </c>
      <c r="C47" s="279"/>
      <c r="D47" s="76"/>
      <c r="E47" s="76"/>
      <c r="F47" s="76"/>
      <c r="G47" s="382"/>
      <c r="H47" s="76"/>
    </row>
    <row r="48" spans="1:8">
      <c r="A48" s="381"/>
      <c r="B48" s="108" t="str">
        <f>+Mensajes!$B$12</f>
        <v>Recuerde que con 1 (una) cuotas vigentes impagas se restringirá el servicio.</v>
      </c>
      <c r="C48" s="280"/>
      <c r="D48" s="76"/>
      <c r="E48" s="76"/>
      <c r="F48" s="76"/>
      <c r="G48" s="382"/>
      <c r="H48" s="76"/>
    </row>
    <row r="49" spans="1:8">
      <c r="A49" s="381"/>
      <c r="B49" s="108"/>
      <c r="C49" s="76"/>
      <c r="D49" s="76"/>
      <c r="E49" s="76"/>
      <c r="F49" s="76"/>
      <c r="G49" s="382"/>
      <c r="H49" s="76"/>
    </row>
    <row r="50" spans="1:8" ht="13.5" thickBot="1">
      <c r="A50" s="386"/>
      <c r="B50" s="387" t="str">
        <f>IF(DSUM('12_1'!$A$12:$Q$129,16,G38:G39)=COUNTIF('12_1'!$A$12:$A$129,G39),"","Regularice su Deuda")</f>
        <v>Regularice su Deuda</v>
      </c>
      <c r="C50" s="326"/>
      <c r="D50" s="326"/>
      <c r="E50" s="326"/>
      <c r="F50" s="326"/>
      <c r="G50" s="388"/>
      <c r="H50" s="76"/>
    </row>
    <row r="51" spans="1:8" ht="13.5" thickBot="1"/>
    <row r="52" spans="1:8">
      <c r="A52" s="378"/>
      <c r="B52" s="379"/>
      <c r="C52" s="379"/>
      <c r="D52" s="379"/>
      <c r="E52" s="379"/>
      <c r="F52" s="379"/>
      <c r="G52" s="380"/>
      <c r="H52" s="76"/>
    </row>
    <row r="53" spans="1:8">
      <c r="A53" s="381"/>
      <c r="B53" s="109" t="s">
        <v>82</v>
      </c>
      <c r="C53" s="76"/>
      <c r="D53" s="76"/>
      <c r="E53" s="76"/>
      <c r="F53" s="76"/>
      <c r="G53" s="382"/>
      <c r="H53" s="76"/>
    </row>
    <row r="54" spans="1:8">
      <c r="A54" s="381"/>
      <c r="B54" s="76"/>
      <c r="C54" s="76"/>
      <c r="D54" s="76"/>
      <c r="E54" s="76"/>
      <c r="F54" s="76"/>
      <c r="G54" s="382"/>
      <c r="H54" s="76"/>
    </row>
    <row r="55" spans="1:8">
      <c r="A55" s="381"/>
      <c r="B55" s="76" t="s">
        <v>182</v>
      </c>
      <c r="C55" s="76" t="e">
        <f>VLOOKUP(G56,'12_1'!$A$12:$G$45,7,0)</f>
        <v>#N/A</v>
      </c>
      <c r="D55" s="76"/>
      <c r="E55" s="76"/>
      <c r="F55" s="76"/>
      <c r="G55" s="383" t="s">
        <v>134</v>
      </c>
      <c r="H55" s="76"/>
    </row>
    <row r="56" spans="1:8">
      <c r="A56" s="381"/>
      <c r="B56" s="76" t="s">
        <v>91</v>
      </c>
      <c r="C56" s="76" t="str">
        <f>+'12_1'!$G$3</f>
        <v>Hijuela San Eduardo</v>
      </c>
      <c r="D56" s="76"/>
      <c r="E56" s="76"/>
      <c r="F56" s="76"/>
      <c r="G56" s="383">
        <v>4</v>
      </c>
      <c r="H56" s="76"/>
    </row>
    <row r="57" spans="1:8">
      <c r="A57" s="381"/>
      <c r="B57" s="76"/>
      <c r="C57" s="76"/>
      <c r="D57" s="76"/>
      <c r="E57" s="76"/>
      <c r="F57" s="76"/>
      <c r="G57" s="382"/>
      <c r="H57" s="76"/>
    </row>
    <row r="58" spans="1:8">
      <c r="A58" s="381"/>
      <c r="B58" s="635" t="s">
        <v>183</v>
      </c>
      <c r="C58" s="331" t="e">
        <f>VLOOKUP(G56,'12_1'!$A$12:$B$45,2,0)</f>
        <v>#N/A</v>
      </c>
      <c r="D58" s="76"/>
      <c r="E58" s="635" t="s">
        <v>184</v>
      </c>
      <c r="F58" s="397">
        <f>DSUM('12_1'!A$12:K$45,'12_1'!$K$12,G55:G56)</f>
        <v>0</v>
      </c>
      <c r="G58" s="382"/>
      <c r="H58" s="76"/>
    </row>
    <row r="59" spans="1:8">
      <c r="A59" s="381"/>
      <c r="B59" s="635" t="s">
        <v>185</v>
      </c>
      <c r="C59" s="374" t="s">
        <v>468</v>
      </c>
      <c r="D59" s="76"/>
      <c r="E59" s="635" t="s">
        <v>186</v>
      </c>
      <c r="F59" s="368" t="e">
        <f>IF(VLOOKUP(G56,'12_1'!$A$12:$D$45,4,0)=2,"Eventual 80%","Definitivo 100%")</f>
        <v>#N/A</v>
      </c>
      <c r="G59" s="382"/>
      <c r="H59" s="76"/>
    </row>
    <row r="60" spans="1:8">
      <c r="A60" s="381"/>
      <c r="B60" s="635" t="s">
        <v>187</v>
      </c>
      <c r="C60" s="375">
        <f>DSUM('12_1'!$A$12:$H$45,'12_1'!$H$12,G55:G56)</f>
        <v>0</v>
      </c>
      <c r="D60" s="76"/>
      <c r="E60" s="635" t="s">
        <v>188</v>
      </c>
      <c r="F60" s="369" t="str">
        <f>+Hijuelas!$G$5</f>
        <v>fracción</v>
      </c>
      <c r="G60" s="384"/>
      <c r="H60" s="76"/>
    </row>
    <row r="61" spans="1:8" ht="15.75">
      <c r="A61" s="381"/>
      <c r="B61" s="76"/>
      <c r="C61" s="635" t="s">
        <v>189</v>
      </c>
      <c r="D61" s="107">
        <f>DMIN('12_1'!A$12:L$45,'12_1'!$L$12,G55:G56)</f>
        <v>0</v>
      </c>
      <c r="E61" s="127" t="str">
        <f>IF(F61=1,"Domingo",IF(F61=2,"Lunes",IF(F61=3,"Martes",IF(F61=4,"Miercoles",IF(F61=5,"Jueves",IF(F61=6,"Viernes",IF(F61=7,"Sábado",0)))))))</f>
        <v>Sábado</v>
      </c>
      <c r="F61" s="128">
        <f>WEEKDAY(D61)</f>
        <v>7</v>
      </c>
      <c r="G61" s="385"/>
      <c r="H61" s="76"/>
    </row>
    <row r="62" spans="1:8" ht="15.75">
      <c r="A62" s="381"/>
      <c r="B62" s="76"/>
      <c r="C62" s="635" t="s">
        <v>190</v>
      </c>
      <c r="D62" s="107">
        <f>DMAX('12_1'!A$12:M$45,'12_1'!$M$12,G55:G56)</f>
        <v>0</v>
      </c>
      <c r="E62" s="127" t="str">
        <f>IF(F62=1,"Domingo",IF(F62=2,"Lunes",IF(F62=3,"Martes",IF(F62=4,"Miercoles",IF(F62=5,"Jueves",IF(F62=6,"Viernes",IF(F62=7,"Sábado",0)))))))</f>
        <v>Sábado</v>
      </c>
      <c r="F62" s="128">
        <f>WEEKDAY(D62)</f>
        <v>7</v>
      </c>
      <c r="G62" s="385"/>
      <c r="H62" s="76"/>
    </row>
    <row r="63" spans="1:8">
      <c r="A63" s="381"/>
      <c r="B63" s="76"/>
      <c r="C63" s="76"/>
      <c r="D63" s="76"/>
      <c r="E63" s="76"/>
      <c r="F63" s="106"/>
      <c r="G63" s="384"/>
      <c r="H63" s="76"/>
    </row>
    <row r="64" spans="1:8">
      <c r="A64" s="381"/>
      <c r="B64" s="108" t="str">
        <f>+Mensajes!$B$7</f>
        <v>PARA CUALQUIER MODIFICACION EN EL CUADRO DE TURNO COMUNIQUESE CON SU TOMERO</v>
      </c>
      <c r="C64" s="279"/>
      <c r="D64" s="76"/>
      <c r="E64" s="76"/>
      <c r="F64" s="76"/>
      <c r="G64" s="382"/>
      <c r="H64" s="76"/>
    </row>
    <row r="65" spans="1:8">
      <c r="A65" s="381"/>
      <c r="B65" s="108" t="str">
        <f>+Mensajes!$B$12</f>
        <v>Recuerde que con 1 (una) cuotas vigentes impagas se restringirá el servicio.</v>
      </c>
      <c r="C65" s="280"/>
      <c r="D65" s="76"/>
      <c r="E65" s="76"/>
      <c r="F65" s="76"/>
      <c r="G65" s="382"/>
      <c r="H65" s="76"/>
    </row>
    <row r="66" spans="1:8">
      <c r="A66" s="381"/>
      <c r="B66" s="108"/>
      <c r="C66" s="76"/>
      <c r="D66" s="76"/>
      <c r="E66" s="76"/>
      <c r="F66" s="76"/>
      <c r="G66" s="382"/>
      <c r="H66" s="76"/>
    </row>
    <row r="67" spans="1:8" ht="13.5" thickBot="1">
      <c r="A67" s="386"/>
      <c r="B67" s="387" t="str">
        <f>IF(DSUM('12_1'!$A$12:$Q$129,16,G55:G56)=COUNTIF('12_1'!$A$12:$A$129,G56),"","Regularice su Deuda")</f>
        <v/>
      </c>
      <c r="C67" s="326"/>
      <c r="D67" s="326"/>
      <c r="E67" s="326"/>
      <c r="F67" s="326"/>
      <c r="G67" s="388"/>
      <c r="H67" s="76"/>
    </row>
    <row r="68" spans="1:8" ht="13.5" thickBot="1"/>
    <row r="69" spans="1:8">
      <c r="A69" s="378"/>
      <c r="B69" s="379"/>
      <c r="C69" s="379"/>
      <c r="D69" s="379"/>
      <c r="E69" s="379"/>
      <c r="F69" s="379"/>
      <c r="G69" s="380"/>
      <c r="H69" s="76"/>
    </row>
    <row r="70" spans="1:8">
      <c r="A70" s="381"/>
      <c r="B70" s="109" t="s">
        <v>82</v>
      </c>
      <c r="C70" s="76"/>
      <c r="D70" s="76"/>
      <c r="E70" s="76"/>
      <c r="F70" s="76"/>
      <c r="G70" s="382"/>
      <c r="H70" s="76"/>
    </row>
    <row r="71" spans="1:8">
      <c r="A71" s="381"/>
      <c r="B71" s="76"/>
      <c r="C71" s="76"/>
      <c r="D71" s="76"/>
      <c r="E71" s="76"/>
      <c r="F71" s="76"/>
      <c r="G71" s="382"/>
      <c r="H71" s="76"/>
    </row>
    <row r="72" spans="1:8">
      <c r="A72" s="381"/>
      <c r="B72" s="76" t="s">
        <v>182</v>
      </c>
      <c r="C72" s="76" t="e">
        <f>VLOOKUP(G73,'12_1'!$A$12:$G$45,7,0)</f>
        <v>#N/A</v>
      </c>
      <c r="D72" s="76"/>
      <c r="E72" s="76"/>
      <c r="F72" s="76"/>
      <c r="G72" s="383" t="s">
        <v>134</v>
      </c>
      <c r="H72" s="76"/>
    </row>
    <row r="73" spans="1:8">
      <c r="A73" s="381"/>
      <c r="B73" s="76" t="s">
        <v>91</v>
      </c>
      <c r="C73" s="76" t="str">
        <f>+'12_1'!$G$3</f>
        <v>Hijuela San Eduardo</v>
      </c>
      <c r="D73" s="76"/>
      <c r="E73" s="76"/>
      <c r="F73" s="76"/>
      <c r="G73" s="383">
        <v>5</v>
      </c>
      <c r="H73" s="76"/>
    </row>
    <row r="74" spans="1:8">
      <c r="A74" s="381"/>
      <c r="B74" s="76"/>
      <c r="C74" s="76"/>
      <c r="D74" s="76"/>
      <c r="E74" s="76"/>
      <c r="F74" s="76"/>
      <c r="G74" s="382"/>
      <c r="H74" s="76"/>
    </row>
    <row r="75" spans="1:8">
      <c r="A75" s="381"/>
      <c r="B75" s="635" t="s">
        <v>183</v>
      </c>
      <c r="C75" s="331" t="e">
        <f>VLOOKUP(G73,'12_1'!$A$12:$B$45,2,0)</f>
        <v>#N/A</v>
      </c>
      <c r="D75" s="76"/>
      <c r="E75" s="635" t="s">
        <v>184</v>
      </c>
      <c r="F75" s="397">
        <f>DSUM('12_1'!A$12:K$45,'12_1'!$K$12,G72:G73)</f>
        <v>0</v>
      </c>
      <c r="G75" s="382"/>
      <c r="H75" s="76"/>
    </row>
    <row r="76" spans="1:8">
      <c r="A76" s="381"/>
      <c r="B76" s="635" t="s">
        <v>185</v>
      </c>
      <c r="C76" s="374">
        <v>38</v>
      </c>
      <c r="D76" s="76"/>
      <c r="E76" s="635" t="s">
        <v>186</v>
      </c>
      <c r="F76" s="368" t="e">
        <f>IF(VLOOKUP(G73,'12_1'!$A$12:$D$45,4,0)=2,"Eventual 80%","Definitivo 100%")</f>
        <v>#N/A</v>
      </c>
      <c r="G76" s="382"/>
      <c r="H76" s="76"/>
    </row>
    <row r="77" spans="1:8">
      <c r="A77" s="381"/>
      <c r="B77" s="635" t="s">
        <v>187</v>
      </c>
      <c r="C77" s="375">
        <f>DSUM('12_1'!$A$12:$H$45,'12_1'!$H$12,G72:G73)</f>
        <v>0</v>
      </c>
      <c r="D77" s="76"/>
      <c r="E77" s="635" t="s">
        <v>188</v>
      </c>
      <c r="F77" s="369" t="str">
        <f>+Hijuelas!$G$5</f>
        <v>fracción</v>
      </c>
      <c r="G77" s="384"/>
      <c r="H77" s="76"/>
    </row>
    <row r="78" spans="1:8" ht="15.75">
      <c r="A78" s="381"/>
      <c r="B78" s="76"/>
      <c r="C78" s="635" t="s">
        <v>189</v>
      </c>
      <c r="D78" s="107">
        <f>DMIN('12_1'!A$12:L$45,'12_1'!$L$12,G72:G73)</f>
        <v>0</v>
      </c>
      <c r="E78" s="127" t="str">
        <f>IF(F78=1,"Domingo",IF(F78=2,"Lunes",IF(F78=3,"Martes",IF(F78=4,"Miercoles",IF(F78=5,"Jueves",IF(F78=6,"Viernes",IF(F78=7,"Sábado",0)))))))</f>
        <v>Sábado</v>
      </c>
      <c r="F78" s="128">
        <f>WEEKDAY(D78)</f>
        <v>7</v>
      </c>
      <c r="G78" s="385"/>
      <c r="H78" s="76"/>
    </row>
    <row r="79" spans="1:8" ht="15.75">
      <c r="A79" s="381"/>
      <c r="B79" s="76"/>
      <c r="C79" s="635" t="s">
        <v>190</v>
      </c>
      <c r="D79" s="107">
        <f>DMAX('12_1'!A$12:M$45,'12_1'!$M$12,G72:G73)</f>
        <v>0</v>
      </c>
      <c r="E79" s="127" t="str">
        <f>IF(F79=1,"Domingo",IF(F79=2,"Lunes",IF(F79=3,"Martes",IF(F79=4,"Miercoles",IF(F79=5,"Jueves",IF(F79=6,"Viernes",IF(F79=7,"Sábado",0)))))))</f>
        <v>Sábado</v>
      </c>
      <c r="F79" s="128">
        <f>WEEKDAY(D79)</f>
        <v>7</v>
      </c>
      <c r="G79" s="385"/>
      <c r="H79" s="76"/>
    </row>
    <row r="80" spans="1:8">
      <c r="A80" s="381"/>
      <c r="B80" s="76"/>
      <c r="C80" s="76"/>
      <c r="D80" s="76"/>
      <c r="E80" s="76"/>
      <c r="F80" s="106"/>
      <c r="G80" s="384"/>
      <c r="H80" s="76"/>
    </row>
    <row r="81" spans="1:8">
      <c r="A81" s="381"/>
      <c r="B81" s="108" t="str">
        <f>+Mensajes!$B$7</f>
        <v>PARA CUALQUIER MODIFICACION EN EL CUADRO DE TURNO COMUNIQUESE CON SU TOMERO</v>
      </c>
      <c r="C81" s="279"/>
      <c r="D81" s="76"/>
      <c r="E81" s="76"/>
      <c r="F81" s="76"/>
      <c r="G81" s="382"/>
      <c r="H81" s="76"/>
    </row>
    <row r="82" spans="1:8">
      <c r="A82" s="381"/>
      <c r="B82" s="108" t="str">
        <f>+Mensajes!$B$12</f>
        <v>Recuerde que con 1 (una) cuotas vigentes impagas se restringirá el servicio.</v>
      </c>
      <c r="C82" s="280"/>
      <c r="D82" s="76"/>
      <c r="E82" s="76"/>
      <c r="F82" s="76"/>
      <c r="G82" s="382"/>
      <c r="H82" s="76"/>
    </row>
    <row r="83" spans="1:8">
      <c r="A83" s="381"/>
      <c r="B83" s="108"/>
      <c r="C83" s="76"/>
      <c r="D83" s="76"/>
      <c r="E83" s="76"/>
      <c r="F83" s="76"/>
      <c r="G83" s="382"/>
      <c r="H83" s="76"/>
    </row>
    <row r="84" spans="1:8" ht="13.5" thickBot="1">
      <c r="A84" s="386"/>
      <c r="B84" s="387" t="str">
        <f>IF(DSUM('12_1'!$A$12:$Q$129,16,G72:G73)=COUNTIF('12_1'!$A$12:$A$129,G73),"","Regularice su Deuda")</f>
        <v/>
      </c>
      <c r="C84" s="326"/>
      <c r="D84" s="326"/>
      <c r="E84" s="326"/>
      <c r="F84" s="326"/>
      <c r="G84" s="388"/>
      <c r="H84" s="76"/>
    </row>
    <row r="85" spans="1:8" ht="13.5" thickBot="1"/>
    <row r="86" spans="1:8">
      <c r="A86" s="378"/>
      <c r="B86" s="379"/>
      <c r="C86" s="379"/>
      <c r="D86" s="379"/>
      <c r="E86" s="379"/>
      <c r="F86" s="379"/>
      <c r="G86" s="380"/>
      <c r="H86" s="76"/>
    </row>
    <row r="87" spans="1:8">
      <c r="A87" s="381"/>
      <c r="B87" s="109" t="s">
        <v>82</v>
      </c>
      <c r="C87" s="76"/>
      <c r="D87" s="76"/>
      <c r="E87" s="76"/>
      <c r="F87" s="76"/>
      <c r="G87" s="382"/>
      <c r="H87" s="76"/>
    </row>
    <row r="88" spans="1:8">
      <c r="A88" s="381"/>
      <c r="B88" s="76"/>
      <c r="C88" s="76"/>
      <c r="D88" s="76"/>
      <c r="E88" s="76"/>
      <c r="F88" s="76"/>
      <c r="G88" s="382"/>
      <c r="H88" s="76"/>
    </row>
    <row r="89" spans="1:8">
      <c r="A89" s="381"/>
      <c r="B89" s="76" t="s">
        <v>182</v>
      </c>
      <c r="C89" s="76" t="str">
        <f>VLOOKUP(G90,'12_1'!$A$12:$G$45,7,0)</f>
        <v>QUIROGA, CINTIA C.</v>
      </c>
      <c r="D89" s="76"/>
      <c r="E89" s="76"/>
      <c r="F89" s="76"/>
      <c r="G89" s="383" t="s">
        <v>134</v>
      </c>
      <c r="H89" s="76"/>
    </row>
    <row r="90" spans="1:8">
      <c r="A90" s="381"/>
      <c r="B90" s="76" t="s">
        <v>91</v>
      </c>
      <c r="C90" s="76" t="str">
        <f>+'12_1'!$G$3</f>
        <v>Hijuela San Eduardo</v>
      </c>
      <c r="D90" s="76"/>
      <c r="E90" s="76"/>
      <c r="F90" s="76"/>
      <c r="G90" s="383">
        <v>6</v>
      </c>
      <c r="H90" s="76"/>
    </row>
    <row r="91" spans="1:8">
      <c r="A91" s="381"/>
      <c r="B91" s="76"/>
      <c r="C91" s="76"/>
      <c r="D91" s="76"/>
      <c r="E91" s="76"/>
      <c r="F91" s="76"/>
      <c r="G91" s="382"/>
      <c r="H91" s="76"/>
    </row>
    <row r="92" spans="1:8">
      <c r="A92" s="381"/>
      <c r="B92" s="635" t="s">
        <v>183</v>
      </c>
      <c r="C92" s="331">
        <f>VLOOKUP(G90,'12_1'!$A$12:$B$45,2,0)</f>
        <v>1250</v>
      </c>
      <c r="D92" s="76"/>
      <c r="E92" s="635" t="s">
        <v>184</v>
      </c>
      <c r="F92" s="397">
        <f>DSUM('12_1'!A$12:K$45,'12_1'!$K$12,G89:G90)</f>
        <v>5.7776224930669154E-2</v>
      </c>
      <c r="G92" s="382"/>
      <c r="H92" s="76"/>
    </row>
    <row r="93" spans="1:8">
      <c r="A93" s="381"/>
      <c r="B93" s="635" t="s">
        <v>185</v>
      </c>
      <c r="C93" s="374" t="s">
        <v>469</v>
      </c>
      <c r="D93" s="76"/>
      <c r="E93" s="635" t="s">
        <v>186</v>
      </c>
      <c r="F93" s="368" t="str">
        <f>IF(VLOOKUP(G90,'12_1'!$A$12:$D$45,4,0)=2,"Eventual 80%","Definitivo 100%")</f>
        <v>Eventual 80%</v>
      </c>
      <c r="G93" s="382"/>
      <c r="H93" s="76"/>
    </row>
    <row r="94" spans="1:8">
      <c r="A94" s="381"/>
      <c r="B94" s="635" t="s">
        <v>187</v>
      </c>
      <c r="C94" s="375">
        <f>DSUM('12_1'!$A$12:$H$45,'12_1'!$H$12,G89:G90)</f>
        <v>3.7893600000000003</v>
      </c>
      <c r="D94" s="76"/>
      <c r="E94" s="635" t="s">
        <v>188</v>
      </c>
      <c r="F94" s="369" t="str">
        <f>+Hijuelas!$G$5</f>
        <v>fracción</v>
      </c>
      <c r="G94" s="384"/>
      <c r="H94" s="76"/>
    </row>
    <row r="95" spans="1:8" ht="15.75">
      <c r="A95" s="381"/>
      <c r="B95" s="76"/>
      <c r="C95" s="635" t="s">
        <v>189</v>
      </c>
      <c r="D95" s="107">
        <f>DMIN('12_1'!A$12:L$45,'12_1'!$L$12,G89:G90)</f>
        <v>42976.298412430224</v>
      </c>
      <c r="E95" s="127" t="str">
        <f>IF(F95=1,"Domingo",IF(F95=2,"Lunes",IF(F95=3,"Martes",IF(F95=4,"Miercoles",IF(F95=5,"Jueves",IF(F95=6,"Viernes",IF(F95=7,"Sábado",0)))))))</f>
        <v>Martes</v>
      </c>
      <c r="F95" s="128">
        <f>WEEKDAY(D95)</f>
        <v>3</v>
      </c>
      <c r="G95" s="385"/>
      <c r="H95" s="76"/>
    </row>
    <row r="96" spans="1:8" ht="15.75">
      <c r="A96" s="381"/>
      <c r="B96" s="76"/>
      <c r="C96" s="635" t="s">
        <v>190</v>
      </c>
      <c r="D96" s="107">
        <f>DMAX('12_1'!A$12:M$45,'12_1'!$M$12,G89:G90)</f>
        <v>42976.356188655154</v>
      </c>
      <c r="E96" s="127" t="str">
        <f>IF(F96=1,"Domingo",IF(F96=2,"Lunes",IF(F96=3,"Martes",IF(F96=4,"Miercoles",IF(F96=5,"Jueves",IF(F96=6,"Viernes",IF(F96=7,"Sábado",0)))))))</f>
        <v>Martes</v>
      </c>
      <c r="F96" s="128">
        <f>WEEKDAY(D96)</f>
        <v>3</v>
      </c>
      <c r="G96" s="385"/>
      <c r="H96" s="76"/>
    </row>
    <row r="97" spans="1:8">
      <c r="A97" s="381"/>
      <c r="B97" s="76"/>
      <c r="C97" s="76"/>
      <c r="D97" s="76"/>
      <c r="E97" s="76"/>
      <c r="F97" s="106"/>
      <c r="G97" s="384"/>
      <c r="H97" s="76"/>
    </row>
    <row r="98" spans="1:8">
      <c r="A98" s="381"/>
      <c r="B98" s="108" t="str">
        <f>+Mensajes!$B$7</f>
        <v>PARA CUALQUIER MODIFICACION EN EL CUADRO DE TURNO COMUNIQUESE CON SU TOMERO</v>
      </c>
      <c r="C98" s="279"/>
      <c r="D98" s="76"/>
      <c r="E98" s="76"/>
      <c r="F98" s="76"/>
      <c r="G98" s="382"/>
      <c r="H98" s="76"/>
    </row>
    <row r="99" spans="1:8">
      <c r="A99" s="381"/>
      <c r="B99" s="108" t="str">
        <f>+Mensajes!$B$12</f>
        <v>Recuerde que con 1 (una) cuotas vigentes impagas se restringirá el servicio.</v>
      </c>
      <c r="C99" s="280"/>
      <c r="D99" s="76"/>
      <c r="E99" s="76"/>
      <c r="F99" s="76"/>
      <c r="G99" s="382"/>
      <c r="H99" s="76"/>
    </row>
    <row r="100" spans="1:8">
      <c r="A100" s="381"/>
      <c r="B100" s="108"/>
      <c r="C100" s="76"/>
      <c r="D100" s="76"/>
      <c r="E100" s="76"/>
      <c r="F100" s="76"/>
      <c r="G100" s="382"/>
      <c r="H100" s="76"/>
    </row>
    <row r="101" spans="1:8" ht="13.5" thickBot="1">
      <c r="A101" s="386"/>
      <c r="B101" s="387" t="str">
        <f>IF(DSUM('12_1'!$A$12:$Q$129,16,G89:G90)=COUNTIF('12_1'!$A$12:$A$129,G90),"","Regularice su Deuda")</f>
        <v>Regularice su Deuda</v>
      </c>
      <c r="C101" s="326"/>
      <c r="D101" s="326"/>
      <c r="E101" s="326"/>
      <c r="F101" s="326"/>
      <c r="G101" s="388"/>
      <c r="H101" s="76"/>
    </row>
    <row r="102" spans="1:8" ht="13.5" thickBot="1"/>
    <row r="103" spans="1:8">
      <c r="A103" s="378"/>
      <c r="B103" s="379"/>
      <c r="C103" s="379"/>
      <c r="D103" s="379"/>
      <c r="E103" s="379"/>
      <c r="F103" s="379"/>
      <c r="G103" s="380"/>
      <c r="H103" s="76"/>
    </row>
    <row r="104" spans="1:8">
      <c r="A104" s="381"/>
      <c r="B104" s="109" t="s">
        <v>82</v>
      </c>
      <c r="C104" s="76"/>
      <c r="D104" s="76"/>
      <c r="E104" s="76"/>
      <c r="F104" s="76"/>
      <c r="G104" s="382"/>
      <c r="H104" s="76"/>
    </row>
    <row r="105" spans="1:8">
      <c r="A105" s="381"/>
      <c r="B105" s="76"/>
      <c r="C105" s="76"/>
      <c r="D105" s="76"/>
      <c r="E105" s="76"/>
      <c r="F105" s="76"/>
      <c r="G105" s="382"/>
      <c r="H105" s="76"/>
    </row>
    <row r="106" spans="1:8">
      <c r="A106" s="381"/>
      <c r="B106" s="76" t="s">
        <v>182</v>
      </c>
      <c r="C106" s="76" t="str">
        <f>VLOOKUP(G107,'12_1'!$A$12:$G$45,7,0)</f>
        <v>QUIROGA, TOMAS VALENCIO Y QUIROGA, PEDRO</v>
      </c>
      <c r="D106" s="76"/>
      <c r="E106" s="76"/>
      <c r="F106" s="76"/>
      <c r="G106" s="383" t="s">
        <v>134</v>
      </c>
      <c r="H106" s="76"/>
    </row>
    <row r="107" spans="1:8">
      <c r="A107" s="381"/>
      <c r="B107" s="76" t="s">
        <v>91</v>
      </c>
      <c r="C107" s="76" t="str">
        <f>+'12_1'!$G$3</f>
        <v>Hijuela San Eduardo</v>
      </c>
      <c r="D107" s="76"/>
      <c r="E107" s="76"/>
      <c r="F107" s="76"/>
      <c r="G107" s="383">
        <v>7</v>
      </c>
      <c r="H107" s="76"/>
    </row>
    <row r="108" spans="1:8">
      <c r="A108" s="381"/>
      <c r="B108" s="76"/>
      <c r="C108" s="76"/>
      <c r="D108" s="76"/>
      <c r="E108" s="76"/>
      <c r="F108" s="76"/>
      <c r="G108" s="382"/>
      <c r="H108" s="76"/>
    </row>
    <row r="109" spans="1:8">
      <c r="A109" s="381"/>
      <c r="B109" s="635" t="s">
        <v>183</v>
      </c>
      <c r="C109" s="331">
        <f>VLOOKUP(G107,'12_1'!$A$12:$B$45,2,0)</f>
        <v>1250</v>
      </c>
      <c r="D109" s="76"/>
      <c r="E109" s="635" t="s">
        <v>184</v>
      </c>
      <c r="F109" s="397">
        <f>DSUM('12_1'!A$12:K$45,'12_1'!$K$12,G106:G107)</f>
        <v>5.7585942854768528E-2</v>
      </c>
      <c r="G109" s="382"/>
      <c r="H109" s="76"/>
    </row>
    <row r="110" spans="1:8">
      <c r="A110" s="381"/>
      <c r="B110" s="635" t="s">
        <v>185</v>
      </c>
      <c r="C110" s="374">
        <v>24</v>
      </c>
      <c r="D110" s="76"/>
      <c r="E110" s="635" t="s">
        <v>186</v>
      </c>
      <c r="F110" s="368" t="str">
        <f>IF(VLOOKUP(G107,'12_1'!$A$12:$D$45,4,0)=2,"Eventual 80%","Definitivo 100%")</f>
        <v>Eventual 80%</v>
      </c>
      <c r="G110" s="382"/>
      <c r="H110" s="76"/>
    </row>
    <row r="111" spans="1:8">
      <c r="A111" s="381"/>
      <c r="B111" s="635" t="s">
        <v>187</v>
      </c>
      <c r="C111" s="375">
        <f>DSUM('12_1'!$A$12:$H$45,'12_1'!$H$12,G106:G107)</f>
        <v>3.7768800000000002</v>
      </c>
      <c r="D111" s="76"/>
      <c r="E111" s="635" t="s">
        <v>188</v>
      </c>
      <c r="F111" s="369" t="str">
        <f>+Hijuelas!$G$5</f>
        <v>fracción</v>
      </c>
      <c r="G111" s="384"/>
      <c r="H111" s="76"/>
    </row>
    <row r="112" spans="1:8" ht="15.75">
      <c r="A112" s="381"/>
      <c r="B112" s="76"/>
      <c r="C112" s="635" t="s">
        <v>189</v>
      </c>
      <c r="D112" s="107">
        <f>DMIN('12_1'!A$12:L$45,'12_1'!$L$12,G106:G107)</f>
        <v>42976.240826487367</v>
      </c>
      <c r="E112" s="127" t="str">
        <f>IF(F112=1,"Domingo",IF(F112=2,"Lunes",IF(F112=3,"Martes",IF(F112=4,"Miercoles",IF(F112=5,"Jueves",IF(F112=6,"Viernes",IF(F112=7,"Sábado",0)))))))</f>
        <v>Martes</v>
      </c>
      <c r="F112" s="128">
        <f>WEEKDAY(D112)</f>
        <v>3</v>
      </c>
      <c r="G112" s="385"/>
      <c r="H112" s="76"/>
    </row>
    <row r="113" spans="1:8" ht="15.75">
      <c r="A113" s="381"/>
      <c r="B113" s="76"/>
      <c r="C113" s="635" t="s">
        <v>190</v>
      </c>
      <c r="D113" s="107">
        <f>DMAX('12_1'!A$12:M$45,'12_1'!$M$12,G106:G107)</f>
        <v>42976.298412430224</v>
      </c>
      <c r="E113" s="127" t="str">
        <f>IF(F113=1,"Domingo",IF(F113=2,"Lunes",IF(F113=3,"Martes",IF(F113=4,"Miercoles",IF(F113=5,"Jueves",IF(F113=6,"Viernes",IF(F113=7,"Sábado",0)))))))</f>
        <v>Martes</v>
      </c>
      <c r="F113" s="128">
        <f>WEEKDAY(D113)</f>
        <v>3</v>
      </c>
      <c r="G113" s="385"/>
      <c r="H113" s="76"/>
    </row>
    <row r="114" spans="1:8">
      <c r="A114" s="381"/>
      <c r="B114" s="76"/>
      <c r="C114" s="76"/>
      <c r="D114" s="76"/>
      <c r="E114" s="76"/>
      <c r="F114" s="106"/>
      <c r="G114" s="384"/>
      <c r="H114" s="76"/>
    </row>
    <row r="115" spans="1:8">
      <c r="A115" s="381"/>
      <c r="B115" s="108" t="str">
        <f>+Mensajes!$B$7</f>
        <v>PARA CUALQUIER MODIFICACION EN EL CUADRO DE TURNO COMUNIQUESE CON SU TOMERO</v>
      </c>
      <c r="C115" s="279"/>
      <c r="D115" s="76"/>
      <c r="E115" s="76"/>
      <c r="F115" s="76"/>
      <c r="G115" s="382"/>
      <c r="H115" s="76"/>
    </row>
    <row r="116" spans="1:8">
      <c r="A116" s="381"/>
      <c r="B116" s="108" t="str">
        <f>+Mensajes!$B$12</f>
        <v>Recuerde que con 1 (una) cuotas vigentes impagas se restringirá el servicio.</v>
      </c>
      <c r="C116" s="280"/>
      <c r="D116" s="76"/>
      <c r="E116" s="76"/>
      <c r="F116" s="76"/>
      <c r="G116" s="382"/>
      <c r="H116" s="76"/>
    </row>
    <row r="117" spans="1:8">
      <c r="A117" s="381"/>
      <c r="B117" s="108"/>
      <c r="C117" s="76"/>
      <c r="D117" s="76"/>
      <c r="E117" s="76"/>
      <c r="F117" s="76"/>
      <c r="G117" s="382"/>
      <c r="H117" s="76"/>
    </row>
    <row r="118" spans="1:8" ht="13.5" thickBot="1">
      <c r="A118" s="386"/>
      <c r="B118" s="387" t="str">
        <f>IF(DSUM('12_1'!$A$12:$Q$129,16,G106:G107)=COUNTIF('12_1'!$A$12:$A$129,G107),"","Regularice su Deuda")</f>
        <v>Regularice su Deuda</v>
      </c>
      <c r="C118" s="326"/>
      <c r="D118" s="326"/>
      <c r="E118" s="326"/>
      <c r="F118" s="326"/>
      <c r="G118" s="388"/>
      <c r="H118" s="76"/>
    </row>
    <row r="119" spans="1:8" ht="13.5" thickBot="1"/>
    <row r="120" spans="1:8">
      <c r="A120" s="378"/>
      <c r="B120" s="379"/>
      <c r="C120" s="379"/>
      <c r="D120" s="379"/>
      <c r="E120" s="379"/>
      <c r="F120" s="379"/>
      <c r="G120" s="380"/>
      <c r="H120" s="76"/>
    </row>
    <row r="121" spans="1:8">
      <c r="A121" s="381"/>
      <c r="B121" s="109" t="s">
        <v>82</v>
      </c>
      <c r="C121" s="76"/>
      <c r="D121" s="76"/>
      <c r="E121" s="76"/>
      <c r="F121" s="76"/>
      <c r="G121" s="382"/>
      <c r="H121" s="76"/>
    </row>
    <row r="122" spans="1:8">
      <c r="A122" s="381"/>
      <c r="B122" s="76"/>
      <c r="C122" s="76"/>
      <c r="D122" s="76"/>
      <c r="E122" s="76"/>
      <c r="F122" s="76"/>
      <c r="G122" s="382"/>
      <c r="H122" s="76"/>
    </row>
    <row r="123" spans="1:8">
      <c r="A123" s="381"/>
      <c r="B123" s="76" t="s">
        <v>182</v>
      </c>
      <c r="C123" s="76" t="str">
        <f>VLOOKUP(G124,'12_1'!$A$12:$G$45,7,0)</f>
        <v>BORGO±A S.A.</v>
      </c>
      <c r="D123" s="76"/>
      <c r="E123" s="76"/>
      <c r="F123" s="76"/>
      <c r="G123" s="383" t="s">
        <v>134</v>
      </c>
      <c r="H123" s="76"/>
    </row>
    <row r="124" spans="1:8">
      <c r="A124" s="381"/>
      <c r="B124" s="76" t="s">
        <v>91</v>
      </c>
      <c r="C124" s="76" t="str">
        <f>+'12_1'!$G$3</f>
        <v>Hijuela San Eduardo</v>
      </c>
      <c r="D124" s="76"/>
      <c r="E124" s="76"/>
      <c r="F124" s="76"/>
      <c r="G124" s="383">
        <v>8</v>
      </c>
      <c r="H124" s="76"/>
    </row>
    <row r="125" spans="1:8">
      <c r="A125" s="381"/>
      <c r="B125" s="76"/>
      <c r="C125" s="76"/>
      <c r="D125" s="76"/>
      <c r="E125" s="76"/>
      <c r="F125" s="76"/>
      <c r="G125" s="382"/>
      <c r="H125" s="76"/>
    </row>
    <row r="126" spans="1:8">
      <c r="A126" s="381"/>
      <c r="B126" s="635" t="s">
        <v>183</v>
      </c>
      <c r="C126" s="331">
        <f>VLOOKUP(G124,'12_1'!$A$12:$B$45,2,0)</f>
        <v>1250</v>
      </c>
      <c r="D126" s="76"/>
      <c r="E126" s="635" t="s">
        <v>184</v>
      </c>
      <c r="F126" s="397">
        <f>DSUM('12_1'!A$12:K$45,'12_1'!$K$12,G123:G124)</f>
        <v>0.46502743787695844</v>
      </c>
      <c r="G126" s="382"/>
      <c r="H126" s="76"/>
    </row>
    <row r="127" spans="1:8">
      <c r="A127" s="381"/>
      <c r="B127" s="635" t="s">
        <v>185</v>
      </c>
      <c r="C127" s="374" t="s">
        <v>470</v>
      </c>
      <c r="D127" s="76"/>
      <c r="E127" s="635" t="s">
        <v>186</v>
      </c>
      <c r="F127" s="368" t="str">
        <f>IF(VLOOKUP(G124,'12_1'!$A$12:$D$45,4,0)=2,"Eventual 80%","Definitivo 100%")</f>
        <v>Eventual 80%</v>
      </c>
      <c r="G127" s="382"/>
      <c r="H127" s="76"/>
    </row>
    <row r="128" spans="1:8">
      <c r="A128" s="381"/>
      <c r="B128" s="635" t="s">
        <v>187</v>
      </c>
      <c r="C128" s="375">
        <f>DSUM('12_1'!$A$12:$H$45,'12_1'!$H$12,G123:G124)</f>
        <v>30.499680000000005</v>
      </c>
      <c r="D128" s="76"/>
      <c r="E128" s="635" t="s">
        <v>188</v>
      </c>
      <c r="F128" s="369" t="str">
        <f>+Hijuelas!$G$5</f>
        <v>fracción</v>
      </c>
      <c r="G128" s="384"/>
      <c r="H128" s="76"/>
    </row>
    <row r="129" spans="1:8" ht="15.75">
      <c r="A129" s="381"/>
      <c r="B129" s="76"/>
      <c r="C129" s="635" t="s">
        <v>189</v>
      </c>
      <c r="D129" s="107">
        <f>DMIN('12_1'!A$12:L$45,'12_1'!$L$12,G123:G124)</f>
        <v>42975.775799049494</v>
      </c>
      <c r="E129" s="127" t="str">
        <f>IF(F129=1,"Domingo",IF(F129=2,"Lunes",IF(F129=3,"Martes",IF(F129=4,"Miercoles",IF(F129=5,"Jueves",IF(F129=6,"Viernes",IF(F129=7,"Sábado",0)))))))</f>
        <v>Lunes</v>
      </c>
      <c r="F129" s="128">
        <f>WEEKDAY(D129)</f>
        <v>2</v>
      </c>
      <c r="G129" s="385"/>
      <c r="H129" s="76"/>
    </row>
    <row r="130" spans="1:8" ht="15.75">
      <c r="A130" s="381"/>
      <c r="B130" s="76"/>
      <c r="C130" s="635" t="s">
        <v>190</v>
      </c>
      <c r="D130" s="107">
        <f>DMAX('12_1'!A$12:M$45,'12_1'!$M$12,G123:G124)</f>
        <v>42976.240826487367</v>
      </c>
      <c r="E130" s="127" t="str">
        <f>IF(F130=1,"Domingo",IF(F130=2,"Lunes",IF(F130=3,"Martes",IF(F130=4,"Miercoles",IF(F130=5,"Jueves",IF(F130=6,"Viernes",IF(F130=7,"Sábado",0)))))))</f>
        <v>Martes</v>
      </c>
      <c r="F130" s="128">
        <f>WEEKDAY(D130)</f>
        <v>3</v>
      </c>
      <c r="G130" s="385"/>
      <c r="H130" s="76"/>
    </row>
    <row r="131" spans="1:8">
      <c r="A131" s="381"/>
      <c r="B131" s="76"/>
      <c r="C131" s="76"/>
      <c r="D131" s="76"/>
      <c r="E131" s="76"/>
      <c r="F131" s="106"/>
      <c r="G131" s="384"/>
      <c r="H131" s="76"/>
    </row>
    <row r="132" spans="1:8">
      <c r="A132" s="381"/>
      <c r="B132" s="108" t="str">
        <f>+Mensajes!$B$7</f>
        <v>PARA CUALQUIER MODIFICACION EN EL CUADRO DE TURNO COMUNIQUESE CON SU TOMERO</v>
      </c>
      <c r="C132" s="279"/>
      <c r="D132" s="76"/>
      <c r="E132" s="76"/>
      <c r="F132" s="76"/>
      <c r="G132" s="382"/>
      <c r="H132" s="76"/>
    </row>
    <row r="133" spans="1:8">
      <c r="A133" s="381"/>
      <c r="B133" s="108" t="str">
        <f>+Mensajes!$B$12</f>
        <v>Recuerde que con 1 (una) cuotas vigentes impagas se restringirá el servicio.</v>
      </c>
      <c r="C133" s="280"/>
      <c r="D133" s="76"/>
      <c r="E133" s="76"/>
      <c r="F133" s="76"/>
      <c r="G133" s="382"/>
      <c r="H133" s="76"/>
    </row>
    <row r="134" spans="1:8">
      <c r="A134" s="381"/>
      <c r="B134" s="108"/>
      <c r="C134" s="76"/>
      <c r="D134" s="76"/>
      <c r="E134" s="76"/>
      <c r="F134" s="76"/>
      <c r="G134" s="382"/>
      <c r="H134" s="76"/>
    </row>
    <row r="135" spans="1:8" ht="13.5" thickBot="1">
      <c r="A135" s="386"/>
      <c r="B135" s="387" t="str">
        <f>IF(DSUM('12_1'!$A$12:$Q$129,16,G123:G124)=COUNTIF('12_1'!$A$12:$A$129,G124),"","Regularice su Deuda")</f>
        <v>Regularice su Deuda</v>
      </c>
      <c r="C135" s="326"/>
      <c r="D135" s="326"/>
      <c r="E135" s="326"/>
      <c r="F135" s="326"/>
      <c r="G135" s="388"/>
      <c r="H135" s="76"/>
    </row>
    <row r="136" spans="1:8" ht="13.5" thickBot="1"/>
    <row r="137" spans="1:8">
      <c r="A137" s="378"/>
      <c r="B137" s="379"/>
      <c r="C137" s="379"/>
      <c r="D137" s="379"/>
      <c r="E137" s="379"/>
      <c r="F137" s="379"/>
      <c r="G137" s="380"/>
      <c r="H137" s="76"/>
    </row>
    <row r="138" spans="1:8">
      <c r="A138" s="381"/>
      <c r="B138" s="109" t="s">
        <v>82</v>
      </c>
      <c r="C138" s="76"/>
      <c r="D138" s="76"/>
      <c r="E138" s="76"/>
      <c r="F138" s="76"/>
      <c r="G138" s="382"/>
      <c r="H138" s="76"/>
    </row>
    <row r="139" spans="1:8">
      <c r="A139" s="381"/>
      <c r="B139" s="76"/>
      <c r="C139" s="76"/>
      <c r="D139" s="76"/>
      <c r="E139" s="76"/>
      <c r="F139" s="76"/>
      <c r="G139" s="382"/>
      <c r="H139" s="76"/>
    </row>
    <row r="140" spans="1:8">
      <c r="A140" s="381"/>
      <c r="B140" s="76" t="s">
        <v>182</v>
      </c>
      <c r="C140" s="76" t="str">
        <f>VLOOKUP(G141,'12_1'!$A$12:$G$45,7,0)</f>
        <v>TONELLI, CARLOS ANTONIO Y BERTOLINO DE TONELLI, OLGA EDITH</v>
      </c>
      <c r="D140" s="76"/>
      <c r="E140" s="76"/>
      <c r="F140" s="76"/>
      <c r="G140" s="383" t="s">
        <v>134</v>
      </c>
      <c r="H140" s="76"/>
    </row>
    <row r="141" spans="1:8">
      <c r="A141" s="381"/>
      <c r="B141" s="76" t="s">
        <v>91</v>
      </c>
      <c r="C141" s="76" t="str">
        <f>+'12_1'!$G$3</f>
        <v>Hijuela San Eduardo</v>
      </c>
      <c r="D141" s="76"/>
      <c r="E141" s="76"/>
      <c r="F141" s="76"/>
      <c r="G141" s="383">
        <v>9</v>
      </c>
      <c r="H141" s="76"/>
    </row>
    <row r="142" spans="1:8">
      <c r="A142" s="381"/>
      <c r="B142" s="76"/>
      <c r="C142" s="76"/>
      <c r="D142" s="76"/>
      <c r="E142" s="76"/>
      <c r="F142" s="76"/>
      <c r="G142" s="382"/>
      <c r="H142" s="76"/>
    </row>
    <row r="143" spans="1:8">
      <c r="A143" s="381"/>
      <c r="B143" s="635" t="s">
        <v>183</v>
      </c>
      <c r="C143" s="331">
        <f>VLOOKUP(G141,'12_1'!$A$12:$B$45,2,0)</f>
        <v>1250</v>
      </c>
      <c r="D143" s="76"/>
      <c r="E143" s="635" t="s">
        <v>184</v>
      </c>
      <c r="F143" s="397">
        <f>DSUM('12_1'!A$12:K$45,'12_1'!$K$12,G140:G141)</f>
        <v>1.2197568967988082</v>
      </c>
      <c r="G143" s="382"/>
      <c r="H143" s="76"/>
    </row>
    <row r="144" spans="1:8">
      <c r="A144" s="381"/>
      <c r="B144" s="635" t="s">
        <v>185</v>
      </c>
      <c r="C144" s="374" t="s">
        <v>471</v>
      </c>
      <c r="D144" s="76"/>
      <c r="E144" s="635" t="s">
        <v>186</v>
      </c>
      <c r="F144" s="368" t="str">
        <f>IF(VLOOKUP(G141,'12_1'!$A$12:$D$45,4,0)=2,"Eventual 80%","Definitivo 100%")</f>
        <v>Eventual 80%</v>
      </c>
      <c r="G144" s="382"/>
      <c r="H144" s="76"/>
    </row>
    <row r="145" spans="1:8">
      <c r="A145" s="381"/>
      <c r="B145" s="635" t="s">
        <v>187</v>
      </c>
      <c r="C145" s="375">
        <f>DSUM('12_1'!$A$12:$H$45,'12_1'!$H$12,G140:G141)</f>
        <v>80</v>
      </c>
      <c r="D145" s="76"/>
      <c r="E145" s="635" t="s">
        <v>188</v>
      </c>
      <c r="F145" s="369" t="str">
        <f>+Hijuelas!$G$5</f>
        <v>fracción</v>
      </c>
      <c r="G145" s="384"/>
      <c r="H145" s="76"/>
    </row>
    <row r="146" spans="1:8" ht="15.75">
      <c r="A146" s="381"/>
      <c r="B146" s="76"/>
      <c r="C146" s="635" t="s">
        <v>189</v>
      </c>
      <c r="D146" s="107">
        <f>DMIN('12_1'!A$12:L$45,'12_1'!$L$12,G140:G141)</f>
        <v>42974.556042152697</v>
      </c>
      <c r="E146" s="127" t="str">
        <f>IF(F146=1,"Domingo",IF(F146=2,"Lunes",IF(F146=3,"Martes",IF(F146=4,"Miercoles",IF(F146=5,"Jueves",IF(F146=6,"Viernes",IF(F146=7,"Sábado",0)))))))</f>
        <v>Domingo</v>
      </c>
      <c r="F146" s="128">
        <f>WEEKDAY(D146)</f>
        <v>1</v>
      </c>
      <c r="G146" s="385"/>
      <c r="H146" s="76"/>
    </row>
    <row r="147" spans="1:8" ht="15.75">
      <c r="A147" s="381"/>
      <c r="B147" s="76"/>
      <c r="C147" s="635" t="s">
        <v>190</v>
      </c>
      <c r="D147" s="107">
        <f>DMAX('12_1'!A$12:M$45,'12_1'!$M$12,G140:G141)</f>
        <v>42975.775799049494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385"/>
      <c r="H147" s="76"/>
    </row>
    <row r="148" spans="1:8">
      <c r="A148" s="381"/>
      <c r="B148" s="76"/>
      <c r="C148" s="76"/>
      <c r="D148" s="76"/>
      <c r="E148" s="76"/>
      <c r="F148" s="106"/>
      <c r="G148" s="384"/>
      <c r="H148" s="76"/>
    </row>
    <row r="149" spans="1:8">
      <c r="A149" s="381"/>
      <c r="B149" s="108" t="str">
        <f>+Mensajes!$B$7</f>
        <v>PARA CUALQUIER MODIFICACION EN EL CUADRO DE TURNO COMUNIQUESE CON SU TOMERO</v>
      </c>
      <c r="C149" s="279"/>
      <c r="D149" s="76"/>
      <c r="E149" s="76"/>
      <c r="F149" s="76"/>
      <c r="G149" s="382"/>
      <c r="H149" s="76"/>
    </row>
    <row r="150" spans="1:8">
      <c r="A150" s="381"/>
      <c r="B150" s="108" t="str">
        <f>+Mensajes!$B$12</f>
        <v>Recuerde que con 1 (una) cuotas vigentes impagas se restringirá el servicio.</v>
      </c>
      <c r="C150" s="280"/>
      <c r="D150" s="76"/>
      <c r="E150" s="76"/>
      <c r="F150" s="76"/>
      <c r="G150" s="382"/>
      <c r="H150" s="76"/>
    </row>
    <row r="151" spans="1:8">
      <c r="A151" s="381"/>
      <c r="B151" s="108"/>
      <c r="C151" s="76"/>
      <c r="D151" s="76"/>
      <c r="E151" s="76"/>
      <c r="F151" s="76"/>
      <c r="G151" s="382"/>
      <c r="H151" s="76"/>
    </row>
    <row r="152" spans="1:8" ht="13.5" thickBot="1">
      <c r="A152" s="386"/>
      <c r="B152" s="387" t="str">
        <f>IF(DSUM('12_1'!$A$12:$Q$129,16,G140:G141)=COUNTIF('12_1'!$A$12:$A$129,G141),"","Regularice su Deuda")</f>
        <v>Regularice su Deuda</v>
      </c>
      <c r="C152" s="326"/>
      <c r="D152" s="326"/>
      <c r="E152" s="326"/>
      <c r="F152" s="326"/>
      <c r="G152" s="388"/>
      <c r="H152" s="76"/>
    </row>
    <row r="153" spans="1:8" ht="13.5" thickBot="1"/>
    <row r="154" spans="1:8">
      <c r="A154" s="378"/>
      <c r="B154" s="379"/>
      <c r="C154" s="379"/>
      <c r="D154" s="379"/>
      <c r="E154" s="379"/>
      <c r="F154" s="379"/>
      <c r="G154" s="380"/>
      <c r="H154" s="76"/>
    </row>
    <row r="155" spans="1:8">
      <c r="A155" s="381"/>
      <c r="B155" s="109" t="s">
        <v>82</v>
      </c>
      <c r="C155" s="76"/>
      <c r="D155" s="76"/>
      <c r="E155" s="76"/>
      <c r="F155" s="76"/>
      <c r="G155" s="382"/>
      <c r="H155" s="76"/>
    </row>
    <row r="156" spans="1:8">
      <c r="A156" s="381"/>
      <c r="B156" s="76"/>
      <c r="C156" s="76"/>
      <c r="D156" s="76"/>
      <c r="E156" s="76"/>
      <c r="F156" s="76"/>
      <c r="G156" s="382"/>
      <c r="H156" s="76"/>
    </row>
    <row r="157" spans="1:8">
      <c r="A157" s="381"/>
      <c r="B157" s="76" t="s">
        <v>182</v>
      </c>
      <c r="C157" s="76" t="str">
        <f>VLOOKUP(G158,'12_1'!$A$12:$G$45,7,0)</f>
        <v>TORRES, ALBERTO</v>
      </c>
      <c r="D157" s="76"/>
      <c r="E157" s="76"/>
      <c r="F157" s="76"/>
      <c r="G157" s="383" t="s">
        <v>134</v>
      </c>
      <c r="H157" s="76"/>
    </row>
    <row r="158" spans="1:8">
      <c r="A158" s="381"/>
      <c r="B158" s="76" t="s">
        <v>91</v>
      </c>
      <c r="C158" s="76" t="str">
        <f>+'12_1'!$G$3</f>
        <v>Hijuela San Eduardo</v>
      </c>
      <c r="D158" s="76"/>
      <c r="E158" s="76"/>
      <c r="F158" s="76"/>
      <c r="G158" s="383">
        <v>10</v>
      </c>
      <c r="H158" s="76"/>
    </row>
    <row r="159" spans="1:8">
      <c r="A159" s="381"/>
      <c r="B159" s="76"/>
      <c r="C159" s="76"/>
      <c r="D159" s="76"/>
      <c r="E159" s="76"/>
      <c r="F159" s="76"/>
      <c r="G159" s="382"/>
      <c r="H159" s="76"/>
    </row>
    <row r="160" spans="1:8">
      <c r="A160" s="381"/>
      <c r="B160" s="635" t="s">
        <v>183</v>
      </c>
      <c r="C160" s="331">
        <f>VLOOKUP(G158,'12_1'!$A$12:$B$45,2,0)</f>
        <v>1250</v>
      </c>
      <c r="D160" s="76"/>
      <c r="E160" s="635" t="s">
        <v>184</v>
      </c>
      <c r="F160" s="397">
        <f>DSUM('12_1'!A$12:K$45,'12_1'!$K$12,G157:G158)</f>
        <v>0.10538547118729602</v>
      </c>
      <c r="G160" s="382"/>
      <c r="H160" s="76"/>
    </row>
    <row r="161" spans="1:8">
      <c r="A161" s="381"/>
      <c r="B161" s="635" t="s">
        <v>185</v>
      </c>
      <c r="C161" s="374" t="s">
        <v>472</v>
      </c>
      <c r="D161" s="76"/>
      <c r="E161" s="635" t="s">
        <v>186</v>
      </c>
      <c r="F161" s="368" t="str">
        <f>IF(VLOOKUP(G158,'12_1'!$A$12:$D$45,4,0)=2,"Eventual 80%","Definitivo 100%")</f>
        <v>Eventual 80%</v>
      </c>
      <c r="G161" s="382"/>
      <c r="H161" s="76"/>
    </row>
    <row r="162" spans="1:8">
      <c r="A162" s="381"/>
      <c r="B162" s="635" t="s">
        <v>187</v>
      </c>
      <c r="C162" s="375">
        <f>DSUM('12_1'!$A$12:$H$45,'12_1'!$H$12,G157:G158)</f>
        <v>6.9119000000000002</v>
      </c>
      <c r="D162" s="76"/>
      <c r="E162" s="635" t="s">
        <v>188</v>
      </c>
      <c r="F162" s="369" t="str">
        <f>+Hijuelas!$G$5</f>
        <v>fracción</v>
      </c>
      <c r="G162" s="384"/>
      <c r="H162" s="76"/>
    </row>
    <row r="163" spans="1:8" ht="15.75">
      <c r="A163" s="381"/>
      <c r="B163" s="76"/>
      <c r="C163" s="635" t="s">
        <v>189</v>
      </c>
      <c r="D163" s="107">
        <f>DMIN('12_1'!A$12:L$45,'12_1'!$L$12,G157:G158)</f>
        <v>42974.408990014854</v>
      </c>
      <c r="E163" s="127" t="str">
        <f>IF(F163=1,"Domingo",IF(F163=2,"Lunes",IF(F163=3,"Martes",IF(F163=4,"Miercoles",IF(F163=5,"Jueves",IF(F163=6,"Viernes",IF(F163=7,"Sábado",0)))))))</f>
        <v>Domingo</v>
      </c>
      <c r="F163" s="128">
        <f>WEEKDAY(D163)</f>
        <v>1</v>
      </c>
      <c r="G163" s="385"/>
      <c r="H163" s="76"/>
    </row>
    <row r="164" spans="1:8" ht="15.75">
      <c r="A164" s="381"/>
      <c r="B164" s="76"/>
      <c r="C164" s="635" t="s">
        <v>190</v>
      </c>
      <c r="D164" s="107">
        <f>DMAX('12_1'!A$12:M$45,'12_1'!$M$12,G157:G158)</f>
        <v>42974.556042152697</v>
      </c>
      <c r="E164" s="127" t="str">
        <f>IF(F164=1,"Domingo",IF(F164=2,"Lunes",IF(F164=3,"Martes",IF(F164=4,"Miercoles",IF(F164=5,"Jueves",IF(F164=6,"Viernes",IF(F164=7,"Sábado",0)))))))</f>
        <v>Domingo</v>
      </c>
      <c r="F164" s="128">
        <f>WEEKDAY(D164)</f>
        <v>1</v>
      </c>
      <c r="G164" s="385"/>
      <c r="H164" s="76"/>
    </row>
    <row r="165" spans="1:8">
      <c r="A165" s="381"/>
      <c r="B165" s="76"/>
      <c r="C165" s="76"/>
      <c r="D165" s="76"/>
      <c r="E165" s="76"/>
      <c r="F165" s="106"/>
      <c r="G165" s="384"/>
      <c r="H165" s="76"/>
    </row>
    <row r="166" spans="1:8">
      <c r="A166" s="381"/>
      <c r="B166" s="108" t="str">
        <f>+Mensajes!$B$7</f>
        <v>PARA CUALQUIER MODIFICACION EN EL CUADRO DE TURNO COMUNIQUESE CON SU TOMERO</v>
      </c>
      <c r="C166" s="279"/>
      <c r="D166" s="76"/>
      <c r="E166" s="76"/>
      <c r="F166" s="76"/>
      <c r="G166" s="382"/>
      <c r="H166" s="76"/>
    </row>
    <row r="167" spans="1:8">
      <c r="A167" s="381"/>
      <c r="B167" s="108" t="str">
        <f>+Mensajes!$B$12</f>
        <v>Recuerde que con 1 (una) cuotas vigentes impagas se restringirá el servicio.</v>
      </c>
      <c r="C167" s="280"/>
      <c r="D167" s="76"/>
      <c r="E167" s="76"/>
      <c r="F167" s="76"/>
      <c r="G167" s="382"/>
      <c r="H167" s="76"/>
    </row>
    <row r="168" spans="1:8">
      <c r="A168" s="381"/>
      <c r="B168" s="108"/>
      <c r="C168" s="76"/>
      <c r="D168" s="76"/>
      <c r="E168" s="76"/>
      <c r="F168" s="76"/>
      <c r="G168" s="382"/>
      <c r="H168" s="76"/>
    </row>
    <row r="169" spans="1:8" ht="13.5" thickBot="1">
      <c r="A169" s="386"/>
      <c r="B169" s="387" t="str">
        <f>IF(DSUM('12_1'!$A$12:$Q$129,16,G157:G158)=COUNTIF('12_1'!$A$12:$A$129,G158),"","Regularice su Deuda")</f>
        <v>Regularice su Deuda</v>
      </c>
      <c r="C169" s="326"/>
      <c r="D169" s="326"/>
      <c r="E169" s="326"/>
      <c r="F169" s="326"/>
      <c r="G169" s="388"/>
      <c r="H169" s="76"/>
    </row>
    <row r="170" spans="1:8" ht="13.5" thickBot="1"/>
    <row r="171" spans="1:8">
      <c r="A171" s="378"/>
      <c r="B171" s="379"/>
      <c r="C171" s="379"/>
      <c r="D171" s="379"/>
      <c r="E171" s="379"/>
      <c r="F171" s="379"/>
      <c r="G171" s="380"/>
      <c r="H171" s="76"/>
    </row>
    <row r="172" spans="1:8">
      <c r="A172" s="381"/>
      <c r="B172" s="109" t="s">
        <v>82</v>
      </c>
      <c r="C172" s="76"/>
      <c r="D172" s="76"/>
      <c r="E172" s="76"/>
      <c r="F172" s="76"/>
      <c r="G172" s="382"/>
      <c r="H172" s="76"/>
    </row>
    <row r="173" spans="1:8">
      <c r="A173" s="381"/>
      <c r="B173" s="76"/>
      <c r="C173" s="76"/>
      <c r="D173" s="76"/>
      <c r="E173" s="76"/>
      <c r="F173" s="76"/>
      <c r="G173" s="382"/>
      <c r="H173" s="76"/>
    </row>
    <row r="174" spans="1:8">
      <c r="A174" s="381"/>
      <c r="B174" s="76" t="s">
        <v>182</v>
      </c>
      <c r="C174" s="76" t="str">
        <f>VLOOKUP(G175,'12_1'!$A$12:$G$45,7,0)</f>
        <v>TORRE, HORACIO</v>
      </c>
      <c r="D174" s="76"/>
      <c r="E174" s="76"/>
      <c r="F174" s="76"/>
      <c r="G174" s="383" t="s">
        <v>134</v>
      </c>
      <c r="H174" s="76"/>
    </row>
    <row r="175" spans="1:8">
      <c r="A175" s="381"/>
      <c r="B175" s="76" t="s">
        <v>91</v>
      </c>
      <c r="C175" s="76" t="str">
        <f>+'12_1'!$G$3</f>
        <v>Hijuela San Eduardo</v>
      </c>
      <c r="D175" s="76"/>
      <c r="E175" s="76"/>
      <c r="F175" s="76"/>
      <c r="G175" s="383">
        <v>11</v>
      </c>
      <c r="H175" s="76"/>
    </row>
    <row r="176" spans="1:8">
      <c r="A176" s="381"/>
      <c r="B176" s="76"/>
      <c r="C176" s="76"/>
      <c r="D176" s="76"/>
      <c r="E176" s="76"/>
      <c r="F176" s="76"/>
      <c r="G176" s="382"/>
      <c r="H176" s="76"/>
    </row>
    <row r="177" spans="1:8">
      <c r="A177" s="381"/>
      <c r="B177" s="635" t="s">
        <v>183</v>
      </c>
      <c r="C177" s="331">
        <f>VLOOKUP(G175,'12_1'!$A$12:$B$45,2,0)</f>
        <v>1250</v>
      </c>
      <c r="D177" s="76"/>
      <c r="E177" s="635" t="s">
        <v>184</v>
      </c>
      <c r="F177" s="397">
        <f>DSUM('12_1'!A$12:K$45,'12_1'!$K$12,G174:G175)</f>
        <v>0.1099199174511456</v>
      </c>
      <c r="G177" s="382"/>
      <c r="H177" s="76"/>
    </row>
    <row r="178" spans="1:8">
      <c r="A178" s="381"/>
      <c r="B178" s="635" t="s">
        <v>185</v>
      </c>
      <c r="C178" s="374" t="s">
        <v>473</v>
      </c>
      <c r="D178" s="76"/>
      <c r="E178" s="635" t="s">
        <v>186</v>
      </c>
      <c r="F178" s="368" t="str">
        <f>IF(VLOOKUP(G175,'12_1'!$A$12:$D$45,4,0)=2,"Eventual 80%","Definitivo 100%")</f>
        <v>Eventual 80%</v>
      </c>
      <c r="G178" s="382"/>
      <c r="H178" s="76"/>
    </row>
    <row r="179" spans="1:8">
      <c r="A179" s="381"/>
      <c r="B179" s="635" t="s">
        <v>187</v>
      </c>
      <c r="C179" s="375">
        <f>DSUM('12_1'!$A$12:$H$45,'12_1'!$H$12,G174:G175)</f>
        <v>7.2093000000000007</v>
      </c>
      <c r="D179" s="76"/>
      <c r="E179" s="635" t="s">
        <v>188</v>
      </c>
      <c r="F179" s="369" t="str">
        <f>+Hijuelas!$G$5</f>
        <v>fracción</v>
      </c>
      <c r="G179" s="384"/>
      <c r="H179" s="76"/>
    </row>
    <row r="180" spans="1:8" ht="15.75">
      <c r="A180" s="381"/>
      <c r="B180" s="76"/>
      <c r="C180" s="635" t="s">
        <v>189</v>
      </c>
      <c r="D180" s="107">
        <f>DMIN('12_1'!A$12:L$45,'12_1'!$L$12,G174:G175)</f>
        <v>42974.299070097411</v>
      </c>
      <c r="E180" s="127" t="str">
        <f>IF(F180=1,"Domingo",IF(F180=2,"Lunes",IF(F180=3,"Martes",IF(F180=4,"Miercoles",IF(F180=5,"Jueves",IF(F180=6,"Viernes",IF(F180=7,"Sábado",0)))))))</f>
        <v>Domingo</v>
      </c>
      <c r="F180" s="128">
        <f>WEEKDAY(D180)</f>
        <v>1</v>
      </c>
      <c r="G180" s="385"/>
      <c r="H180" s="76"/>
    </row>
    <row r="181" spans="1:8" ht="15.75">
      <c r="A181" s="381"/>
      <c r="B181" s="76"/>
      <c r="C181" s="635" t="s">
        <v>190</v>
      </c>
      <c r="D181" s="107">
        <f>DMAX('12_1'!A$12:M$45,'12_1'!$M$12,G174:G175)</f>
        <v>42974.408990014854</v>
      </c>
      <c r="E181" s="127" t="str">
        <f>IF(F181=1,"Domingo",IF(F181=2,"Lunes",IF(F181=3,"Martes",IF(F181=4,"Miercoles",IF(F181=5,"Jueves",IF(F181=6,"Viernes",IF(F181=7,"Sábado",0)))))))</f>
        <v>Domingo</v>
      </c>
      <c r="F181" s="128">
        <f>WEEKDAY(D181)</f>
        <v>1</v>
      </c>
      <c r="G181" s="385"/>
      <c r="H181" s="76"/>
    </row>
    <row r="182" spans="1:8">
      <c r="A182" s="381"/>
      <c r="B182" s="76"/>
      <c r="C182" s="76"/>
      <c r="D182" s="76"/>
      <c r="E182" s="76"/>
      <c r="F182" s="106"/>
      <c r="G182" s="384"/>
      <c r="H182" s="76"/>
    </row>
    <row r="183" spans="1:8">
      <c r="A183" s="381"/>
      <c r="B183" s="108" t="str">
        <f>+Mensajes!$B$7</f>
        <v>PARA CUALQUIER MODIFICACION EN EL CUADRO DE TURNO COMUNIQUESE CON SU TOMERO</v>
      </c>
      <c r="C183" s="279"/>
      <c r="D183" s="76"/>
      <c r="E183" s="76"/>
      <c r="F183" s="76"/>
      <c r="G183" s="382"/>
      <c r="H183" s="76"/>
    </row>
    <row r="184" spans="1:8">
      <c r="A184" s="381"/>
      <c r="B184" s="108" t="str">
        <f>+Mensajes!$B$12</f>
        <v>Recuerde que con 1 (una) cuotas vigentes impagas se restringirá el servicio.</v>
      </c>
      <c r="C184" s="280"/>
      <c r="D184" s="76"/>
      <c r="E184" s="76"/>
      <c r="F184" s="76"/>
      <c r="G184" s="382"/>
      <c r="H184" s="76"/>
    </row>
    <row r="185" spans="1:8">
      <c r="A185" s="381"/>
      <c r="B185" s="108"/>
      <c r="C185" s="76"/>
      <c r="D185" s="76"/>
      <c r="E185" s="76"/>
      <c r="F185" s="76"/>
      <c r="G185" s="382"/>
      <c r="H185" s="76"/>
    </row>
    <row r="186" spans="1:8" ht="13.5" thickBot="1">
      <c r="A186" s="386"/>
      <c r="B186" s="387" t="str">
        <f>IF(DSUM('12_1'!$A$12:$Q$129,16,G174:G175)=COUNTIF('12_1'!$A$12:$A$129,G175),"","Regularice su Deuda")</f>
        <v>Regularice su Deuda</v>
      </c>
      <c r="C186" s="326"/>
      <c r="D186" s="326"/>
      <c r="E186" s="326"/>
      <c r="F186" s="326"/>
      <c r="G186" s="388"/>
      <c r="H186" s="76"/>
    </row>
    <row r="187" spans="1:8" ht="13.5" thickBot="1"/>
    <row r="188" spans="1:8">
      <c r="A188" s="378"/>
      <c r="B188" s="379"/>
      <c r="C188" s="379"/>
      <c r="D188" s="379"/>
      <c r="E188" s="379"/>
      <c r="F188" s="379"/>
      <c r="G188" s="380"/>
      <c r="H188" s="76"/>
    </row>
    <row r="189" spans="1:8">
      <c r="A189" s="381"/>
      <c r="B189" s="109" t="s">
        <v>82</v>
      </c>
      <c r="C189" s="76"/>
      <c r="D189" s="76"/>
      <c r="E189" s="76"/>
      <c r="F189" s="76"/>
      <c r="G189" s="382"/>
      <c r="H189" s="76"/>
    </row>
    <row r="190" spans="1:8">
      <c r="A190" s="381"/>
      <c r="B190" s="76"/>
      <c r="C190" s="76"/>
      <c r="D190" s="76"/>
      <c r="E190" s="76"/>
      <c r="F190" s="76"/>
      <c r="G190" s="382"/>
      <c r="H190" s="76"/>
    </row>
    <row r="191" spans="1:8">
      <c r="A191" s="381"/>
      <c r="B191" s="76" t="s">
        <v>182</v>
      </c>
      <c r="C191" s="76" t="str">
        <f>VLOOKUP(G192,'12_1'!$A$12:$G$45,7,0)</f>
        <v>CAVAGNARO, VICTOR</v>
      </c>
      <c r="D191" s="76"/>
      <c r="E191" s="76"/>
      <c r="F191" s="76"/>
      <c r="G191" s="383" t="s">
        <v>134</v>
      </c>
      <c r="H191" s="76"/>
    </row>
    <row r="192" spans="1:8">
      <c r="A192" s="381"/>
      <c r="B192" s="76" t="s">
        <v>91</v>
      </c>
      <c r="C192" s="76" t="str">
        <f>+'12_1'!$G$3</f>
        <v>Hijuela San Eduardo</v>
      </c>
      <c r="D192" s="76"/>
      <c r="E192" s="76"/>
      <c r="F192" s="76"/>
      <c r="G192" s="383">
        <v>12</v>
      </c>
      <c r="H192" s="76"/>
    </row>
    <row r="193" spans="1:8">
      <c r="A193" s="381"/>
      <c r="B193" s="76"/>
      <c r="C193" s="76"/>
      <c r="D193" s="76"/>
      <c r="E193" s="76"/>
      <c r="F193" s="76"/>
      <c r="G193" s="382"/>
      <c r="H193" s="76"/>
    </row>
    <row r="194" spans="1:8">
      <c r="A194" s="381"/>
      <c r="B194" s="635" t="s">
        <v>183</v>
      </c>
      <c r="C194" s="331">
        <f>VLOOKUP(G192,'12_1'!$A$12:$B$45,2,0)</f>
        <v>1250</v>
      </c>
      <c r="D194" s="76"/>
      <c r="E194" s="635" t="s">
        <v>184</v>
      </c>
      <c r="F194" s="397">
        <f>DSUM('12_1'!A$12:K$45,'12_1'!$K$12,G191:G192)</f>
        <v>0</v>
      </c>
      <c r="G194" s="382"/>
      <c r="H194" s="76"/>
    </row>
    <row r="195" spans="1:8">
      <c r="A195" s="381"/>
      <c r="B195" s="635" t="s">
        <v>185</v>
      </c>
      <c r="C195" s="374">
        <v>12</v>
      </c>
      <c r="D195" s="76"/>
      <c r="E195" s="635" t="s">
        <v>186</v>
      </c>
      <c r="F195" s="368" t="str">
        <f>IF(VLOOKUP(G192,'12_1'!$A$12:$D$45,4,0)=2,"Eventual 80%","Definitivo 100%")</f>
        <v>Eventual 80%</v>
      </c>
      <c r="G195" s="382"/>
      <c r="H195" s="76"/>
    </row>
    <row r="196" spans="1:8">
      <c r="A196" s="381"/>
      <c r="B196" s="635" t="s">
        <v>187</v>
      </c>
      <c r="C196" s="375">
        <f>DSUM('12_1'!$A$12:$H$45,'12_1'!$H$12,G191:G192)</f>
        <v>0</v>
      </c>
      <c r="D196" s="76"/>
      <c r="E196" s="635" t="s">
        <v>188</v>
      </c>
      <c r="F196" s="369" t="str">
        <f>+Hijuelas!$G$5</f>
        <v>fracción</v>
      </c>
      <c r="G196" s="384"/>
      <c r="H196" s="76"/>
    </row>
    <row r="197" spans="1:8" ht="15.75">
      <c r="A197" s="381"/>
      <c r="B197" s="76"/>
      <c r="C197" s="635" t="s">
        <v>189</v>
      </c>
      <c r="D197" s="107">
        <f>DMIN('12_1'!A$12:L$45,'12_1'!$L$12,G191:G192)</f>
        <v>42974.257403430747</v>
      </c>
      <c r="E197" s="127" t="str">
        <f>IF(F197=1,"Domingo",IF(F197=2,"Lunes",IF(F197=3,"Martes",IF(F197=4,"Miercoles",IF(F197=5,"Jueves",IF(F197=6,"Viernes",IF(F197=7,"Sábado",0)))))))</f>
        <v>Domingo</v>
      </c>
      <c r="F197" s="128">
        <f>WEEKDAY(D197)</f>
        <v>1</v>
      </c>
      <c r="G197" s="385"/>
      <c r="H197" s="76"/>
    </row>
    <row r="198" spans="1:8" ht="15.75">
      <c r="A198" s="381"/>
      <c r="B198" s="76"/>
      <c r="C198" s="635" t="s">
        <v>190</v>
      </c>
      <c r="D198" s="107">
        <f>DMAX('12_1'!A$12:M$45,'12_1'!$M$12,G191:G192)</f>
        <v>42974.299070097411</v>
      </c>
      <c r="E198" s="127" t="str">
        <f>IF(F198=1,"Domingo",IF(F198=2,"Lunes",IF(F198=3,"Martes",IF(F198=4,"Miercoles",IF(F198=5,"Jueves",IF(F198=6,"Viernes",IF(F198=7,"Sábado",0)))))))</f>
        <v>Domingo</v>
      </c>
      <c r="F198" s="128">
        <f>WEEKDAY(D198)</f>
        <v>1</v>
      </c>
      <c r="G198" s="385"/>
      <c r="H198" s="76"/>
    </row>
    <row r="199" spans="1:8">
      <c r="A199" s="381"/>
      <c r="B199" s="76"/>
      <c r="C199" s="76"/>
      <c r="D199" s="76"/>
      <c r="E199" s="76"/>
      <c r="F199" s="106"/>
      <c r="G199" s="384"/>
      <c r="H199" s="76"/>
    </row>
    <row r="200" spans="1:8">
      <c r="A200" s="381"/>
      <c r="B200" s="108" t="str">
        <f>+Mensajes!$B$7</f>
        <v>PARA CUALQUIER MODIFICACION EN EL CUADRO DE TURNO COMUNIQUESE CON SU TOMERO</v>
      </c>
      <c r="C200" s="279"/>
      <c r="D200" s="76"/>
      <c r="E200" s="76"/>
      <c r="F200" s="76"/>
      <c r="G200" s="382"/>
      <c r="H200" s="76"/>
    </row>
    <row r="201" spans="1:8">
      <c r="A201" s="381"/>
      <c r="B201" s="108" t="str">
        <f>+Mensajes!$B$12</f>
        <v>Recuerde que con 1 (una) cuotas vigentes impagas se restringirá el servicio.</v>
      </c>
      <c r="C201" s="280"/>
      <c r="D201" s="76"/>
      <c r="E201" s="76"/>
      <c r="F201" s="76"/>
      <c r="G201" s="382"/>
      <c r="H201" s="76"/>
    </row>
    <row r="202" spans="1:8">
      <c r="A202" s="381"/>
      <c r="B202" s="108"/>
      <c r="C202" s="76"/>
      <c r="D202" s="76"/>
      <c r="E202" s="76"/>
      <c r="F202" s="76"/>
      <c r="G202" s="382"/>
      <c r="H202" s="76"/>
    </row>
    <row r="203" spans="1:8" ht="13.5" thickBot="1">
      <c r="A203" s="386"/>
      <c r="B203" s="387" t="str">
        <f>IF(DSUM('12_1'!$A$12:$Q$129,16,G191:G192)=COUNTIF('12_1'!$A$12:$A$129,G192),"","Regularice su Deuda")</f>
        <v>Regularice su Deuda</v>
      </c>
      <c r="C203" s="326"/>
      <c r="D203" s="326"/>
      <c r="E203" s="326"/>
      <c r="F203" s="326"/>
      <c r="G203" s="388"/>
      <c r="H203" s="76"/>
    </row>
    <row r="204" spans="1:8" ht="13.5" thickBot="1"/>
    <row r="205" spans="1:8">
      <c r="A205" s="378"/>
      <c r="B205" s="379"/>
      <c r="C205" s="379"/>
      <c r="D205" s="379"/>
      <c r="E205" s="379"/>
      <c r="F205" s="379"/>
      <c r="G205" s="380"/>
      <c r="H205" s="76"/>
    </row>
    <row r="206" spans="1:8">
      <c r="A206" s="381"/>
      <c r="B206" s="109" t="s">
        <v>82</v>
      </c>
      <c r="C206" s="76"/>
      <c r="D206" s="76"/>
      <c r="E206" s="76"/>
      <c r="F206" s="76"/>
      <c r="G206" s="382"/>
      <c r="H206" s="76"/>
    </row>
    <row r="207" spans="1:8">
      <c r="A207" s="381"/>
      <c r="B207" s="76"/>
      <c r="C207" s="76"/>
      <c r="D207" s="76"/>
      <c r="E207" s="76"/>
      <c r="F207" s="76"/>
      <c r="G207" s="382"/>
      <c r="H207" s="76"/>
    </row>
    <row r="208" spans="1:8">
      <c r="A208" s="381"/>
      <c r="B208" s="76" t="s">
        <v>182</v>
      </c>
      <c r="C208" s="76" t="str">
        <f>VLOOKUP(G209,'12_1'!$A$12:$G$45,7,0)</f>
        <v>RIGHI, ANGEL VICENTE</v>
      </c>
      <c r="D208" s="76"/>
      <c r="E208" s="76"/>
      <c r="F208" s="76"/>
      <c r="G208" s="383" t="s">
        <v>134</v>
      </c>
      <c r="H208" s="76"/>
    </row>
    <row r="209" spans="1:8">
      <c r="A209" s="381"/>
      <c r="B209" s="76" t="s">
        <v>91</v>
      </c>
      <c r="C209" s="76" t="str">
        <f>+'12_1'!$G$3</f>
        <v>Hijuela San Eduardo</v>
      </c>
      <c r="D209" s="76"/>
      <c r="E209" s="76"/>
      <c r="F209" s="76"/>
      <c r="G209" s="383">
        <v>13</v>
      </c>
      <c r="H209" s="76"/>
    </row>
    <row r="210" spans="1:8">
      <c r="A210" s="381"/>
      <c r="B210" s="76"/>
      <c r="C210" s="76"/>
      <c r="D210" s="76"/>
      <c r="E210" s="76"/>
      <c r="F210" s="76"/>
      <c r="G210" s="382"/>
      <c r="H210" s="76"/>
    </row>
    <row r="211" spans="1:8">
      <c r="A211" s="381"/>
      <c r="B211" s="635" t="s">
        <v>183</v>
      </c>
      <c r="C211" s="331">
        <f>VLOOKUP(G209,'12_1'!$A$12:$B$45,2,0)</f>
        <v>1250</v>
      </c>
      <c r="D211" s="76"/>
      <c r="E211" s="635" t="s">
        <v>184</v>
      </c>
      <c r="F211" s="397">
        <f>DSUM('12_1'!A$12:K$45,'12_1'!$K$12,G208:G209)</f>
        <v>0.14528890324839644</v>
      </c>
      <c r="G211" s="382"/>
      <c r="H211" s="76"/>
    </row>
    <row r="212" spans="1:8">
      <c r="A212" s="381"/>
      <c r="B212" s="635" t="s">
        <v>185</v>
      </c>
      <c r="C212" s="374">
        <v>9</v>
      </c>
      <c r="D212" s="76"/>
      <c r="E212" s="635" t="s">
        <v>186</v>
      </c>
      <c r="F212" s="368" t="str">
        <f>IF(VLOOKUP(G209,'12_1'!$A$12:$D$45,4,0)=2,"Eventual 80%","Definitivo 100%")</f>
        <v>Eventual 80%</v>
      </c>
      <c r="G212" s="382"/>
      <c r="H212" s="76"/>
    </row>
    <row r="213" spans="1:8">
      <c r="A213" s="381"/>
      <c r="B213" s="635" t="s">
        <v>187</v>
      </c>
      <c r="C213" s="375">
        <f>DSUM('12_1'!$A$12:$H$45,'12_1'!$H$12,G208:G209)</f>
        <v>9.5290400000000002</v>
      </c>
      <c r="D213" s="76"/>
      <c r="E213" s="635" t="s">
        <v>188</v>
      </c>
      <c r="F213" s="369" t="str">
        <f>+Hijuelas!$G$5</f>
        <v>fracción</v>
      </c>
      <c r="G213" s="384"/>
      <c r="H213" s="76"/>
    </row>
    <row r="214" spans="1:8" ht="15.75">
      <c r="A214" s="381"/>
      <c r="B214" s="76"/>
      <c r="C214" s="635" t="s">
        <v>189</v>
      </c>
      <c r="D214" s="107">
        <f>DMIN('12_1'!A$12:L$45,'12_1'!$L$12,G208:G209)</f>
        <v>42974.02878119416</v>
      </c>
      <c r="E214" s="127" t="str">
        <f>IF(F214=1,"Domingo",IF(F214=2,"Lunes",IF(F214=3,"Martes",IF(F214=4,"Miercoles",IF(F214=5,"Jueves",IF(F214=6,"Viernes",IF(F214=7,"Sábado",0)))))))</f>
        <v>Domingo</v>
      </c>
      <c r="F214" s="128">
        <f>WEEKDAY(D214)</f>
        <v>1</v>
      </c>
      <c r="G214" s="385"/>
      <c r="H214" s="76"/>
    </row>
    <row r="215" spans="1:8" ht="15.75">
      <c r="A215" s="381"/>
      <c r="B215" s="76"/>
      <c r="C215" s="635" t="s">
        <v>190</v>
      </c>
      <c r="D215" s="107">
        <f>DMAX('12_1'!A$12:M$45,'12_1'!$M$12,G208:G209)</f>
        <v>42974.257403430747</v>
      </c>
      <c r="E215" s="127" t="str">
        <f>IF(F215=1,"Domingo",IF(F215=2,"Lunes",IF(F215=3,"Martes",IF(F215=4,"Miercoles",IF(F215=5,"Jueves",IF(F215=6,"Viernes",IF(F215=7,"Sábado",0)))))))</f>
        <v>Domingo</v>
      </c>
      <c r="F215" s="128">
        <f>WEEKDAY(D215)</f>
        <v>1</v>
      </c>
      <c r="G215" s="385"/>
      <c r="H215" s="76"/>
    </row>
    <row r="216" spans="1:8">
      <c r="A216" s="381"/>
      <c r="B216" s="76"/>
      <c r="C216" s="76"/>
      <c r="D216" s="76"/>
      <c r="E216" s="76"/>
      <c r="F216" s="106"/>
      <c r="G216" s="384"/>
      <c r="H216" s="76"/>
    </row>
    <row r="217" spans="1:8">
      <c r="A217" s="381"/>
      <c r="B217" s="108" t="str">
        <f>+Mensajes!$B$7</f>
        <v>PARA CUALQUIER MODIFICACION EN EL CUADRO DE TURNO COMUNIQUESE CON SU TOMERO</v>
      </c>
      <c r="C217" s="279"/>
      <c r="D217" s="76"/>
      <c r="E217" s="76"/>
      <c r="F217" s="76"/>
      <c r="G217" s="382"/>
      <c r="H217" s="76"/>
    </row>
    <row r="218" spans="1:8">
      <c r="A218" s="381"/>
      <c r="B218" s="108" t="str">
        <f>+Mensajes!$B$12</f>
        <v>Recuerde que con 1 (una) cuotas vigentes impagas se restringirá el servicio.</v>
      </c>
      <c r="C218" s="280"/>
      <c r="D218" s="76"/>
      <c r="E218" s="76"/>
      <c r="F218" s="76"/>
      <c r="G218" s="382"/>
      <c r="H218" s="76"/>
    </row>
    <row r="219" spans="1:8">
      <c r="A219" s="381"/>
      <c r="B219" s="108"/>
      <c r="C219" s="76"/>
      <c r="D219" s="76"/>
      <c r="E219" s="76"/>
      <c r="F219" s="76"/>
      <c r="G219" s="382"/>
      <c r="H219" s="76"/>
    </row>
    <row r="220" spans="1:8" ht="13.5" thickBot="1">
      <c r="A220" s="386"/>
      <c r="B220" s="387" t="str">
        <f>IF(DSUM('12_1'!$A$12:$Q$129,16,G208:G209)=COUNTIF('12_1'!$A$12:$A$129,G209),"","Regularice su Deuda")</f>
        <v>Regularice su Deuda</v>
      </c>
      <c r="C220" s="326"/>
      <c r="D220" s="326"/>
      <c r="E220" s="326"/>
      <c r="F220" s="326"/>
      <c r="G220" s="388"/>
      <c r="H220" s="76"/>
    </row>
    <row r="221" spans="1:8" ht="13.5" thickBot="1"/>
    <row r="222" spans="1:8">
      <c r="A222" s="378"/>
      <c r="B222" s="379"/>
      <c r="C222" s="379"/>
      <c r="D222" s="379"/>
      <c r="E222" s="379"/>
      <c r="F222" s="379"/>
      <c r="G222" s="380"/>
      <c r="H222" s="76"/>
    </row>
    <row r="223" spans="1:8">
      <c r="A223" s="381"/>
      <c r="B223" s="109" t="s">
        <v>82</v>
      </c>
      <c r="C223" s="76"/>
      <c r="D223" s="76"/>
      <c r="E223" s="76"/>
      <c r="F223" s="76"/>
      <c r="G223" s="382"/>
      <c r="H223" s="76"/>
    </row>
    <row r="224" spans="1:8">
      <c r="A224" s="381"/>
      <c r="B224" s="76"/>
      <c r="C224" s="76"/>
      <c r="D224" s="76"/>
      <c r="E224" s="76"/>
      <c r="F224" s="76"/>
      <c r="G224" s="382"/>
      <c r="H224" s="76"/>
    </row>
    <row r="225" spans="1:8">
      <c r="A225" s="381"/>
      <c r="B225" s="76" t="s">
        <v>182</v>
      </c>
      <c r="C225" s="76" t="str">
        <f>VLOOKUP(G226,'12_1'!$A$12:$G$45,7,0)</f>
        <v>RIGHI, ANGEL VICENTE</v>
      </c>
      <c r="D225" s="76"/>
      <c r="E225" s="76"/>
      <c r="F225" s="76"/>
      <c r="G225" s="383" t="s">
        <v>134</v>
      </c>
      <c r="H225" s="76"/>
    </row>
    <row r="226" spans="1:8">
      <c r="A226" s="381"/>
      <c r="B226" s="76" t="s">
        <v>91</v>
      </c>
      <c r="C226" s="76" t="str">
        <f>+'12_1'!$G$3</f>
        <v>Hijuela San Eduardo</v>
      </c>
      <c r="D226" s="76"/>
      <c r="E226" s="76"/>
      <c r="F226" s="76"/>
      <c r="G226" s="383">
        <v>14</v>
      </c>
      <c r="H226" s="76"/>
    </row>
    <row r="227" spans="1:8">
      <c r="A227" s="381"/>
      <c r="B227" s="76"/>
      <c r="C227" s="76"/>
      <c r="D227" s="76"/>
      <c r="E227" s="76"/>
      <c r="F227" s="76"/>
      <c r="G227" s="382"/>
      <c r="H227" s="76"/>
    </row>
    <row r="228" spans="1:8">
      <c r="A228" s="381"/>
      <c r="B228" s="635" t="s">
        <v>183</v>
      </c>
      <c r="C228" s="331">
        <f>VLOOKUP(G226,'12_1'!$A$12:$B$45,2,0)</f>
        <v>1250</v>
      </c>
      <c r="D228" s="76"/>
      <c r="E228" s="635" t="s">
        <v>184</v>
      </c>
      <c r="F228" s="397">
        <f>DSUM('12_1'!A$12:K$45,'12_1'!$K$12,G225:G226)</f>
        <v>9.8137980645741696E-2</v>
      </c>
      <c r="G228" s="382"/>
      <c r="H228" s="76"/>
    </row>
    <row r="229" spans="1:8">
      <c r="A229" s="381"/>
      <c r="B229" s="635" t="s">
        <v>185</v>
      </c>
      <c r="C229" s="374">
        <v>18</v>
      </c>
      <c r="D229" s="76"/>
      <c r="E229" s="635" t="s">
        <v>186</v>
      </c>
      <c r="F229" s="368" t="str">
        <f>IF(VLOOKUP(G226,'12_1'!$A$12:$D$45,4,0)=2,"Eventual 80%","Definitivo 100%")</f>
        <v>Eventual 80%</v>
      </c>
      <c r="G229" s="382"/>
      <c r="H229" s="76"/>
    </row>
    <row r="230" spans="1:8">
      <c r="A230" s="381"/>
      <c r="B230" s="635" t="s">
        <v>187</v>
      </c>
      <c r="C230" s="375">
        <f>DSUM('12_1'!$A$12:$H$45,'12_1'!$H$12,G225:G226)</f>
        <v>6.4365600000000001</v>
      </c>
      <c r="D230" s="76"/>
      <c r="E230" s="635" t="s">
        <v>188</v>
      </c>
      <c r="F230" s="369" t="str">
        <f>+Hijuelas!$G$5</f>
        <v>fracción</v>
      </c>
      <c r="G230" s="384"/>
      <c r="H230" s="76"/>
    </row>
    <row r="231" spans="1:8" ht="15.75">
      <c r="A231" s="381"/>
      <c r="B231" s="76"/>
      <c r="C231" s="635" t="s">
        <v>189</v>
      </c>
      <c r="D231" s="107">
        <f>DMIN('12_1'!A$12:L$45,'12_1'!$L$12,G225:G226)</f>
        <v>42973.847309880177</v>
      </c>
      <c r="E231" s="127" t="str">
        <f>IF(F231=1,"Domingo",IF(F231=2,"Lunes",IF(F231=3,"Martes",IF(F231=4,"Miercoles",IF(F231=5,"Jueves",IF(F231=6,"Viernes",IF(F231=7,"Sábado",0)))))))</f>
        <v>Sábado</v>
      </c>
      <c r="F231" s="128">
        <f>WEEKDAY(D231)</f>
        <v>7</v>
      </c>
      <c r="G231" s="385"/>
      <c r="H231" s="76"/>
    </row>
    <row r="232" spans="1:8" ht="15.75">
      <c r="A232" s="381"/>
      <c r="B232" s="76"/>
      <c r="C232" s="635" t="s">
        <v>190</v>
      </c>
      <c r="D232" s="107">
        <f>DMAX('12_1'!A$12:M$45,'12_1'!$M$12,G225:G226)</f>
        <v>42974.02878119416</v>
      </c>
      <c r="E232" s="127" t="str">
        <f>IF(F232=1,"Domingo",IF(F232=2,"Lunes",IF(F232=3,"Martes",IF(F232=4,"Miercoles",IF(F232=5,"Jueves",IF(F232=6,"Viernes",IF(F232=7,"Sábado",0)))))))</f>
        <v>Domingo</v>
      </c>
      <c r="F232" s="128">
        <f>WEEKDAY(D232)</f>
        <v>1</v>
      </c>
      <c r="G232" s="385"/>
      <c r="H232" s="76"/>
    </row>
    <row r="233" spans="1:8">
      <c r="A233" s="381"/>
      <c r="B233" s="76"/>
      <c r="C233" s="76"/>
      <c r="D233" s="76"/>
      <c r="E233" s="76"/>
      <c r="F233" s="106"/>
      <c r="G233" s="384"/>
      <c r="H233" s="76"/>
    </row>
    <row r="234" spans="1:8">
      <c r="A234" s="381"/>
      <c r="B234" s="108" t="str">
        <f>+Mensajes!$B$7</f>
        <v>PARA CUALQUIER MODIFICACION EN EL CUADRO DE TURNO COMUNIQUESE CON SU TOMERO</v>
      </c>
      <c r="C234" s="279"/>
      <c r="D234" s="76"/>
      <c r="E234" s="76"/>
      <c r="F234" s="76"/>
      <c r="G234" s="382"/>
      <c r="H234" s="76"/>
    </row>
    <row r="235" spans="1:8">
      <c r="A235" s="381"/>
      <c r="B235" s="108" t="str">
        <f>+Mensajes!$B$12</f>
        <v>Recuerde que con 1 (una) cuotas vigentes impagas se restringirá el servicio.</v>
      </c>
      <c r="C235" s="280"/>
      <c r="D235" s="76"/>
      <c r="E235" s="76"/>
      <c r="F235" s="76"/>
      <c r="G235" s="382"/>
      <c r="H235" s="76"/>
    </row>
    <row r="236" spans="1:8">
      <c r="A236" s="381"/>
      <c r="B236" s="108"/>
      <c r="C236" s="76"/>
      <c r="D236" s="76"/>
      <c r="E236" s="76"/>
      <c r="F236" s="76"/>
      <c r="G236" s="382"/>
      <c r="H236" s="76"/>
    </row>
    <row r="237" spans="1:8" ht="13.5" thickBot="1">
      <c r="A237" s="386"/>
      <c r="B237" s="387" t="str">
        <f>IF(DSUM('12_1'!$A$12:$Q$129,16,G225:G226)=COUNTIF('12_1'!$A$12:$A$129,G226),"","Regularice su Deuda")</f>
        <v>Regularice su Deuda</v>
      </c>
      <c r="C237" s="326"/>
      <c r="D237" s="326"/>
      <c r="E237" s="326"/>
      <c r="F237" s="326"/>
      <c r="G237" s="388"/>
      <c r="H237" s="76"/>
    </row>
    <row r="238" spans="1:8" ht="13.5" thickBot="1"/>
    <row r="239" spans="1:8">
      <c r="A239" s="378"/>
      <c r="B239" s="379"/>
      <c r="C239" s="379"/>
      <c r="D239" s="379"/>
      <c r="E239" s="379"/>
      <c r="F239" s="379"/>
      <c r="G239" s="380"/>
      <c r="H239" s="76"/>
    </row>
    <row r="240" spans="1:8">
      <c r="A240" s="381"/>
      <c r="B240" s="109" t="s">
        <v>82</v>
      </c>
      <c r="C240" s="76"/>
      <c r="D240" s="76"/>
      <c r="E240" s="76"/>
      <c r="F240" s="76"/>
      <c r="G240" s="382"/>
      <c r="H240" s="76"/>
    </row>
    <row r="241" spans="1:8">
      <c r="A241" s="381"/>
      <c r="B241" s="76"/>
      <c r="C241" s="76"/>
      <c r="D241" s="76"/>
      <c r="E241" s="76"/>
      <c r="F241" s="76"/>
      <c r="G241" s="382"/>
      <c r="H241" s="76"/>
    </row>
    <row r="242" spans="1:8">
      <c r="A242" s="381"/>
      <c r="B242" s="76" t="s">
        <v>182</v>
      </c>
      <c r="C242" s="76" t="str">
        <f>VLOOKUP(G243,'12_1'!$A$12:$G$45,7,0)</f>
        <v>PANELLA, NAZARENO</v>
      </c>
      <c r="D242" s="76"/>
      <c r="E242" s="76"/>
      <c r="F242" s="76"/>
      <c r="G242" s="383" t="s">
        <v>134</v>
      </c>
      <c r="H242" s="76"/>
    </row>
    <row r="243" spans="1:8">
      <c r="A243" s="381"/>
      <c r="B243" s="76" t="s">
        <v>91</v>
      </c>
      <c r="C243" s="76" t="str">
        <f>+'12_1'!$G$3</f>
        <v>Hijuela San Eduardo</v>
      </c>
      <c r="D243" s="76"/>
      <c r="E243" s="76"/>
      <c r="F243" s="76"/>
      <c r="G243" s="383">
        <v>15</v>
      </c>
      <c r="H243" s="76"/>
    </row>
    <row r="244" spans="1:8">
      <c r="A244" s="381"/>
      <c r="B244" s="76"/>
      <c r="C244" s="76"/>
      <c r="D244" s="76"/>
      <c r="E244" s="76"/>
      <c r="F244" s="76"/>
      <c r="G244" s="382"/>
      <c r="H244" s="76"/>
    </row>
    <row r="245" spans="1:8">
      <c r="A245" s="381"/>
      <c r="B245" s="635" t="s">
        <v>183</v>
      </c>
      <c r="C245" s="331">
        <f>VLOOKUP(G243,'12_1'!$A$12:$B$45,2,0)</f>
        <v>1250</v>
      </c>
      <c r="D245" s="76"/>
      <c r="E245" s="635" t="s">
        <v>184</v>
      </c>
      <c r="F245" s="397">
        <f>DSUM('12_1'!A$12:K$45,'12_1'!$K$12,G242:G243)</f>
        <v>0</v>
      </c>
      <c r="G245" s="382"/>
      <c r="H245" s="76"/>
    </row>
    <row r="246" spans="1:8">
      <c r="A246" s="381"/>
      <c r="B246" s="635" t="s">
        <v>185</v>
      </c>
      <c r="C246" s="374">
        <v>11</v>
      </c>
      <c r="D246" s="76"/>
      <c r="E246" s="635" t="s">
        <v>186</v>
      </c>
      <c r="F246" s="368" t="str">
        <f>IF(VLOOKUP(G243,'12_1'!$A$12:$D$45,4,0)=2,"Eventual 80%","Definitivo 100%")</f>
        <v>Eventual 80%</v>
      </c>
      <c r="G246" s="382"/>
      <c r="H246" s="76"/>
    </row>
    <row r="247" spans="1:8">
      <c r="A247" s="381"/>
      <c r="B247" s="635" t="s">
        <v>187</v>
      </c>
      <c r="C247" s="375">
        <f>DSUM('12_1'!$A$12:$H$45,'12_1'!$H$12,G242:G243)</f>
        <v>0</v>
      </c>
      <c r="D247" s="76"/>
      <c r="E247" s="635" t="s">
        <v>188</v>
      </c>
      <c r="F247" s="369" t="str">
        <f>+Hijuelas!$G$5</f>
        <v>fracción</v>
      </c>
      <c r="G247" s="384"/>
      <c r="H247" s="76"/>
    </row>
    <row r="248" spans="1:8" ht="15.75">
      <c r="A248" s="381"/>
      <c r="B248" s="76"/>
      <c r="C248" s="635" t="s">
        <v>189</v>
      </c>
      <c r="D248" s="107">
        <f>DMIN('12_1'!A$12:L$45,'12_1'!$L$12,G242:G243)</f>
        <v>42973.826476546841</v>
      </c>
      <c r="E248" s="127" t="str">
        <f>IF(F248=1,"Domingo",IF(F248=2,"Lunes",IF(F248=3,"Martes",IF(F248=4,"Miercoles",IF(F248=5,"Jueves",IF(F248=6,"Viernes",IF(F248=7,"Sábado",0)))))))</f>
        <v>Sábado</v>
      </c>
      <c r="F248" s="128">
        <f>WEEKDAY(D248)</f>
        <v>7</v>
      </c>
      <c r="G248" s="385"/>
      <c r="H248" s="76"/>
    </row>
    <row r="249" spans="1:8" ht="15.75">
      <c r="A249" s="381"/>
      <c r="B249" s="76"/>
      <c r="C249" s="635" t="s">
        <v>190</v>
      </c>
      <c r="D249" s="107">
        <f>DMAX('12_1'!A$12:M$45,'12_1'!$M$12,G242:G243)</f>
        <v>42973.847309880177</v>
      </c>
      <c r="E249" s="127" t="str">
        <f>IF(F249=1,"Domingo",IF(F249=2,"Lunes",IF(F249=3,"Martes",IF(F249=4,"Miercoles",IF(F249=5,"Jueves",IF(F249=6,"Viernes",IF(F249=7,"Sábado",0)))))))</f>
        <v>Sábado</v>
      </c>
      <c r="F249" s="128">
        <f>WEEKDAY(D249)</f>
        <v>7</v>
      </c>
      <c r="G249" s="385"/>
      <c r="H249" s="76"/>
    </row>
    <row r="250" spans="1:8">
      <c r="A250" s="381"/>
      <c r="B250" s="76"/>
      <c r="C250" s="76"/>
      <c r="D250" s="76"/>
      <c r="E250" s="76"/>
      <c r="F250" s="106"/>
      <c r="G250" s="384"/>
      <c r="H250" s="76"/>
    </row>
    <row r="251" spans="1:8">
      <c r="A251" s="381"/>
      <c r="B251" s="108" t="str">
        <f>+Mensajes!$B$7</f>
        <v>PARA CUALQUIER MODIFICACION EN EL CUADRO DE TURNO COMUNIQUESE CON SU TOMERO</v>
      </c>
      <c r="C251" s="279"/>
      <c r="D251" s="76"/>
      <c r="E251" s="76"/>
      <c r="F251" s="76"/>
      <c r="G251" s="382"/>
      <c r="H251" s="76"/>
    </row>
    <row r="252" spans="1:8">
      <c r="A252" s="381"/>
      <c r="B252" s="108" t="str">
        <f>+Mensajes!$B$12</f>
        <v>Recuerde que con 1 (una) cuotas vigentes impagas se restringirá el servicio.</v>
      </c>
      <c r="C252" s="280"/>
      <c r="D252" s="76"/>
      <c r="E252" s="76"/>
      <c r="F252" s="76"/>
      <c r="G252" s="382"/>
      <c r="H252" s="76"/>
    </row>
    <row r="253" spans="1:8">
      <c r="A253" s="381"/>
      <c r="B253" s="108"/>
      <c r="C253" s="76"/>
      <c r="D253" s="76"/>
      <c r="E253" s="76"/>
      <c r="F253" s="76"/>
      <c r="G253" s="382"/>
      <c r="H253" s="76"/>
    </row>
    <row r="254" spans="1:8" ht="13.5" thickBot="1">
      <c r="A254" s="386"/>
      <c r="B254" s="387" t="str">
        <f>IF(DSUM('12_1'!$A$12:$Q$129,16,G242:G243)=COUNTIF('12_1'!$A$12:$A$129,G243),"","Regularice su Deuda")</f>
        <v>Regularice su Deuda</v>
      </c>
      <c r="C254" s="326"/>
      <c r="D254" s="326"/>
      <c r="E254" s="326"/>
      <c r="F254" s="326"/>
      <c r="G254" s="388"/>
      <c r="H254" s="76"/>
    </row>
    <row r="255" spans="1:8" ht="13.5" thickBot="1"/>
    <row r="256" spans="1:8">
      <c r="A256" s="378"/>
      <c r="B256" s="379"/>
      <c r="C256" s="379"/>
      <c r="D256" s="379"/>
      <c r="E256" s="379"/>
      <c r="F256" s="379"/>
      <c r="G256" s="380"/>
      <c r="H256" s="76"/>
    </row>
    <row r="257" spans="1:8">
      <c r="A257" s="381"/>
      <c r="B257" s="109" t="s">
        <v>82</v>
      </c>
      <c r="C257" s="76"/>
      <c r="D257" s="76"/>
      <c r="E257" s="76"/>
      <c r="F257" s="76"/>
      <c r="G257" s="382"/>
      <c r="H257" s="76"/>
    </row>
    <row r="258" spans="1:8">
      <c r="A258" s="381"/>
      <c r="B258" s="76"/>
      <c r="C258" s="76"/>
      <c r="D258" s="76"/>
      <c r="E258" s="76"/>
      <c r="F258" s="76"/>
      <c r="G258" s="382"/>
      <c r="H258" s="76"/>
    </row>
    <row r="259" spans="1:8">
      <c r="A259" s="381"/>
      <c r="B259" s="76" t="s">
        <v>182</v>
      </c>
      <c r="C259" s="76" t="str">
        <f>VLOOKUP(G260,'12_1'!$A$12:$G$45,7,0)</f>
        <v>PANELLA DE CICARELLI, CONCEPCION</v>
      </c>
      <c r="D259" s="76"/>
      <c r="E259" s="76"/>
      <c r="F259" s="76"/>
      <c r="G259" s="383" t="s">
        <v>134</v>
      </c>
      <c r="H259" s="76"/>
    </row>
    <row r="260" spans="1:8">
      <c r="A260" s="381"/>
      <c r="B260" s="76" t="s">
        <v>91</v>
      </c>
      <c r="C260" s="76" t="str">
        <f>+'12_1'!$G$3</f>
        <v>Hijuela San Eduardo</v>
      </c>
      <c r="D260" s="76"/>
      <c r="E260" s="76"/>
      <c r="F260" s="76"/>
      <c r="G260" s="383">
        <v>16</v>
      </c>
      <c r="H260" s="76"/>
    </row>
    <row r="261" spans="1:8">
      <c r="A261" s="381"/>
      <c r="B261" s="76"/>
      <c r="C261" s="76"/>
      <c r="D261" s="76"/>
      <c r="E261" s="76"/>
      <c r="F261" s="76"/>
      <c r="G261" s="382"/>
      <c r="H261" s="76"/>
    </row>
    <row r="262" spans="1:8">
      <c r="A262" s="381"/>
      <c r="B262" s="635" t="s">
        <v>183</v>
      </c>
      <c r="C262" s="331">
        <f>VLOOKUP(G260,'12_1'!$A$12:$B$45,2,0)</f>
        <v>1250</v>
      </c>
      <c r="D262" s="76"/>
      <c r="E262" s="635" t="s">
        <v>184</v>
      </c>
      <c r="F262" s="397">
        <f>DSUM('12_1'!A$12:K$45,'12_1'!$K$12,G259:G260)</f>
        <v>0.11814321351013897</v>
      </c>
      <c r="G262" s="382"/>
      <c r="H262" s="76"/>
    </row>
    <row r="263" spans="1:8">
      <c r="A263" s="381"/>
      <c r="B263" s="635" t="s">
        <v>185</v>
      </c>
      <c r="C263" s="374">
        <v>34</v>
      </c>
      <c r="D263" s="76"/>
      <c r="E263" s="635" t="s">
        <v>186</v>
      </c>
      <c r="F263" s="368" t="str">
        <f>IF(VLOOKUP(G260,'12_1'!$A$12:$D$45,4,0)=2,"Eventual 80%","Definitivo 100%")</f>
        <v>Eventual 80%</v>
      </c>
      <c r="G263" s="382"/>
      <c r="H263" s="76"/>
    </row>
    <row r="264" spans="1:8">
      <c r="A264" s="381"/>
      <c r="B264" s="635" t="s">
        <v>187</v>
      </c>
      <c r="C264" s="375">
        <f>DSUM('12_1'!$A$12:$H$45,'12_1'!$H$12,G259:G260)</f>
        <v>7.7486400000000009</v>
      </c>
      <c r="D264" s="76"/>
      <c r="E264" s="635" t="s">
        <v>188</v>
      </c>
      <c r="F264" s="369" t="str">
        <f>+Hijuelas!$G$5</f>
        <v>fracción</v>
      </c>
      <c r="G264" s="384"/>
      <c r="H264" s="76"/>
    </row>
    <row r="265" spans="1:8" ht="15.75">
      <c r="A265" s="381"/>
      <c r="B265" s="76"/>
      <c r="C265" s="635" t="s">
        <v>189</v>
      </c>
      <c r="D265" s="107">
        <f>DMIN('12_1'!A$12:L$45,'12_1'!$L$12,G259:G260)</f>
        <v>42973.708333333328</v>
      </c>
      <c r="E265" s="127" t="str">
        <f>IF(F265=1,"Domingo",IF(F265=2,"Lunes",IF(F265=3,"Martes",IF(F265=4,"Miercoles",IF(F265=5,"Jueves",IF(F265=6,"Viernes",IF(F265=7,"Sábado",0)))))))</f>
        <v>Sábado</v>
      </c>
      <c r="F265" s="128">
        <f>WEEKDAY(D265)</f>
        <v>7</v>
      </c>
      <c r="G265" s="385"/>
      <c r="H265" s="76"/>
    </row>
    <row r="266" spans="1:8" ht="15.75">
      <c r="A266" s="381"/>
      <c r="B266" s="76"/>
      <c r="C266" s="635" t="s">
        <v>190</v>
      </c>
      <c r="D266" s="107">
        <f>DMAX('12_1'!A$12:M$45,'12_1'!$M$12,G259:G260)</f>
        <v>42973.826476546841</v>
      </c>
      <c r="E266" s="127" t="str">
        <f>IF(F266=1,"Domingo",IF(F266=2,"Lunes",IF(F266=3,"Martes",IF(F266=4,"Miercoles",IF(F266=5,"Jueves",IF(F266=6,"Viernes",IF(F266=7,"Sábado",0)))))))</f>
        <v>Sábado</v>
      </c>
      <c r="F266" s="128">
        <f>WEEKDAY(D266)</f>
        <v>7</v>
      </c>
      <c r="G266" s="385"/>
      <c r="H266" s="76"/>
    </row>
    <row r="267" spans="1:8">
      <c r="A267" s="381"/>
      <c r="B267" s="76"/>
      <c r="C267" s="76"/>
      <c r="D267" s="76"/>
      <c r="E267" s="76"/>
      <c r="F267" s="106"/>
      <c r="G267" s="384"/>
      <c r="H267" s="76"/>
    </row>
    <row r="268" spans="1:8">
      <c r="A268" s="381"/>
      <c r="B268" s="108" t="str">
        <f>+Mensajes!$B$7</f>
        <v>PARA CUALQUIER MODIFICACION EN EL CUADRO DE TURNO COMUNIQUESE CON SU TOMERO</v>
      </c>
      <c r="C268" s="279"/>
      <c r="D268" s="76"/>
      <c r="E268" s="76"/>
      <c r="F268" s="76"/>
      <c r="G268" s="382"/>
      <c r="H268" s="76"/>
    </row>
    <row r="269" spans="1:8">
      <c r="A269" s="381"/>
      <c r="B269" s="108" t="str">
        <f>+Mensajes!$B$12</f>
        <v>Recuerde que con 1 (una) cuotas vigentes impagas se restringirá el servicio.</v>
      </c>
      <c r="C269" s="280"/>
      <c r="D269" s="76"/>
      <c r="E269" s="76"/>
      <c r="F269" s="76"/>
      <c r="G269" s="382"/>
      <c r="H269" s="76"/>
    </row>
    <row r="270" spans="1:8">
      <c r="A270" s="381"/>
      <c r="B270" s="108"/>
      <c r="C270" s="76"/>
      <c r="D270" s="76"/>
      <c r="E270" s="76"/>
      <c r="F270" s="76"/>
      <c r="G270" s="382"/>
      <c r="H270" s="76"/>
    </row>
    <row r="271" spans="1:8" ht="13.5" thickBot="1">
      <c r="A271" s="386"/>
      <c r="B271" s="387" t="str">
        <f>IF(DSUM('12_1'!$A$12:$Q$129,16,G259:G260)=COUNTIF('12_1'!$A$12:$A$129,G260),"","Regularice su Deuda")</f>
        <v>Regularice su Deuda</v>
      </c>
      <c r="C271" s="326"/>
      <c r="D271" s="326"/>
      <c r="E271" s="326"/>
      <c r="F271" s="326"/>
      <c r="G271" s="388"/>
      <c r="H271" s="76"/>
    </row>
  </sheetData>
  <phoneticPr fontId="0" type="noConversion"/>
  <pageMargins left="0.59055118110236227" right="0.39370078740157483" top="0.15748031496062992" bottom="0.19685039370078741" header="0" footer="0"/>
  <pageSetup paperSize="9" scale="70" orientation="portrait" r:id="rId1"/>
  <headerFooter alignWithMargins="0"/>
  <rowBreaks count="3" manualBreakCount="3">
    <brk id="85" max="7" man="1"/>
    <brk id="170" max="7" man="1"/>
    <brk id="255" max="7" man="1"/>
  </rowBreaks>
  <colBreaks count="1" manualBreakCount="1">
    <brk id="8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3"/>
  <sheetViews>
    <sheetView topLeftCell="A5" workbookViewId="0" xr3:uid="{C7A11F4D-6E51-5B1A-9CF2-8FFD2B06F078}">
      <selection activeCell="G27" sqref="G27"/>
    </sheetView>
  </sheetViews>
  <sheetFormatPr defaultRowHeight="12.75"/>
  <cols>
    <col min="1" max="2" width="11.42578125" customWidth="1"/>
    <col min="3" max="3" width="11.5703125" bestFit="1" customWidth="1"/>
    <col min="4" max="4" width="23.140625" customWidth="1"/>
    <col min="5" max="5" width="11.42578125" customWidth="1"/>
    <col min="6" max="6" width="11.5703125" bestFit="1" customWidth="1"/>
    <col min="7" max="7" width="27.7109375" customWidth="1"/>
    <col min="8" max="256" width="11.42578125" customWidth="1"/>
  </cols>
  <sheetData>
    <row r="1" spans="1:8">
      <c r="A1" s="378"/>
      <c r="B1" s="379"/>
      <c r="C1" s="379"/>
      <c r="D1" s="379"/>
      <c r="E1" s="379"/>
      <c r="F1" s="379"/>
      <c r="G1" s="380"/>
      <c r="H1" s="76"/>
    </row>
    <row r="2" spans="1:8">
      <c r="A2" s="381"/>
      <c r="B2" s="109" t="s">
        <v>82</v>
      </c>
      <c r="C2" s="76"/>
      <c r="D2" s="76"/>
      <c r="E2" s="76"/>
      <c r="F2" s="76"/>
      <c r="G2" s="382"/>
      <c r="H2" s="76"/>
    </row>
    <row r="3" spans="1:8">
      <c r="A3" s="381"/>
      <c r="B3" s="76"/>
      <c r="C3" s="76"/>
      <c r="D3" s="76"/>
      <c r="E3" s="76"/>
      <c r="F3" s="76"/>
      <c r="G3" s="382"/>
      <c r="H3" s="76"/>
    </row>
    <row r="4" spans="1:8">
      <c r="A4" s="381"/>
      <c r="B4" s="76" t="s">
        <v>182</v>
      </c>
      <c r="C4" s="76" t="str">
        <f>VLOOKUP(G5,'12_1'!$A$82:$G$90,7,0)</f>
        <v>FERA VICTOR DOMINGO</v>
      </c>
      <c r="D4" s="76"/>
      <c r="E4" s="76"/>
      <c r="F4" s="76"/>
      <c r="G4" s="383" t="s">
        <v>134</v>
      </c>
      <c r="H4" s="76"/>
    </row>
    <row r="5" spans="1:8">
      <c r="A5" s="381"/>
      <c r="B5" s="76" t="s">
        <v>91</v>
      </c>
      <c r="C5" s="76" t="s">
        <v>474</v>
      </c>
      <c r="D5" s="76"/>
      <c r="E5" s="76"/>
      <c r="F5" s="76"/>
      <c r="G5" s="383">
        <v>1</v>
      </c>
      <c r="H5" s="76"/>
    </row>
    <row r="6" spans="1:8">
      <c r="A6" s="381"/>
      <c r="B6" s="76"/>
      <c r="C6" s="76"/>
      <c r="D6" s="76"/>
      <c r="E6" s="76"/>
      <c r="F6" s="76"/>
      <c r="G6" s="382"/>
      <c r="H6" s="76"/>
    </row>
    <row r="7" spans="1:8">
      <c r="A7" s="381"/>
      <c r="B7" s="635" t="s">
        <v>183</v>
      </c>
      <c r="C7" s="331">
        <f>VLOOKUP(G5,'12_1'!$A$82:$B$90,2,0)</f>
        <v>1247</v>
      </c>
      <c r="D7" s="76"/>
      <c r="E7" s="635" t="s">
        <v>184</v>
      </c>
      <c r="F7" s="397">
        <f>DSUM('12_1'!A$82:K$90,'12_1'!$K$82,G4:G5)</f>
        <v>3.4391132112762786</v>
      </c>
      <c r="G7" s="382"/>
      <c r="H7" s="76"/>
    </row>
    <row r="8" spans="1:8">
      <c r="A8" s="381"/>
      <c r="B8" s="635" t="s">
        <v>185</v>
      </c>
      <c r="C8" s="374" t="s">
        <v>466</v>
      </c>
      <c r="D8" s="76"/>
      <c r="E8" s="635" t="s">
        <v>186</v>
      </c>
      <c r="F8" s="368" t="str">
        <f>IF(VLOOKUP(G5,'12_1'!$A$82:$D$90,4,0)=2,"Eventual 80%","Definitivo 100%")</f>
        <v>Definitivo 100%</v>
      </c>
      <c r="G8" s="382"/>
      <c r="H8" s="76"/>
    </row>
    <row r="9" spans="1:8">
      <c r="A9" s="381"/>
      <c r="B9" s="635" t="s">
        <v>187</v>
      </c>
      <c r="C9" s="375">
        <f>DSUM('12_1'!$A$82:$H$90,'12_1'!$H$12,G4:G5)</f>
        <v>395.96159999999998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8" ht="15.75">
      <c r="A10" s="381"/>
      <c r="B10" s="76"/>
      <c r="C10" s="635" t="s">
        <v>189</v>
      </c>
      <c r="D10" s="107">
        <f>DMIN('12_1'!A$82:L$90,'12_1'!$L$82,G4:G5)</f>
        <v>42973.770833333328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385"/>
      <c r="H10" s="76"/>
    </row>
    <row r="11" spans="1:8" ht="15.75">
      <c r="A11" s="381"/>
      <c r="B11" s="76"/>
      <c r="C11" s="635" t="s">
        <v>190</v>
      </c>
      <c r="D11" s="107">
        <f>DMAX('12_1'!A$82:M$90,'12_1'!$M$82,G4:G5)</f>
        <v>42977.251613211272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/>
      <c r="H11" s="76"/>
    </row>
    <row r="12" spans="1:8">
      <c r="A12" s="381"/>
      <c r="B12" s="76"/>
      <c r="C12" s="76"/>
      <c r="D12" s="76"/>
      <c r="E12" s="76"/>
      <c r="F12" s="106"/>
      <c r="G12" s="384"/>
      <c r="H12" s="76"/>
    </row>
    <row r="13" spans="1:8">
      <c r="A13" s="381"/>
      <c r="B13" s="108" t="str">
        <f>+Mensajes!$B$7</f>
        <v>PARA CUALQUIER MODIFICACION EN EL CUADRO DE TURNO COMUNIQUESE CON SU TOMERO</v>
      </c>
      <c r="C13" s="279"/>
      <c r="D13" s="76"/>
      <c r="E13" s="76"/>
      <c r="F13" s="76"/>
      <c r="G13" s="382"/>
      <c r="H13" s="76"/>
    </row>
    <row r="14" spans="1:8">
      <c r="A14" s="381"/>
      <c r="B14" s="108" t="str">
        <f>+Mensajes!$B$12</f>
        <v>Recuerde que con 1 (una) cuotas vigentes impagas se restringirá el servicio.</v>
      </c>
      <c r="C14" s="280"/>
      <c r="D14" s="76"/>
      <c r="E14" s="76"/>
      <c r="F14" s="76"/>
      <c r="G14" s="382"/>
      <c r="H14" s="76"/>
    </row>
    <row r="15" spans="1:8">
      <c r="A15" s="381"/>
      <c r="B15" s="108"/>
      <c r="C15" s="76"/>
      <c r="D15" s="76"/>
      <c r="E15" s="76"/>
      <c r="F15" s="76"/>
      <c r="G15" s="382"/>
      <c r="H15" s="76"/>
    </row>
    <row r="16" spans="1:8" ht="13.5" thickBot="1">
      <c r="A16" s="386"/>
      <c r="B16" s="387" t="str">
        <f>IF(DSUM('12_1'!$A$12:$Q$129,16,G4:G5)=COUNTIF('12_1'!$A$12:$A$129,G5),"","Regularice su Deuda")</f>
        <v>Regularice su Deuda</v>
      </c>
      <c r="C16" s="326"/>
      <c r="D16" s="326"/>
      <c r="E16" s="326"/>
      <c r="F16" s="326"/>
      <c r="G16" s="388"/>
      <c r="H16" s="76"/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VLOOKUP(G22,'12_1'!$A$82:$G$90,7,0)</f>
        <v>VANRELL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">
        <v>474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VLOOKUP(G22,'12_1'!$A$82:$B$90,2,0)</f>
        <v>1247</v>
      </c>
      <c r="D24" s="76"/>
      <c r="E24" s="635" t="s">
        <v>184</v>
      </c>
      <c r="F24" s="397">
        <f>DSUM('12_1'!A$82:K$90,'12_1'!$K$82,G21:G22)</f>
        <v>0.21713678872372214</v>
      </c>
      <c r="G24" s="382"/>
    </row>
    <row r="25" spans="1:7">
      <c r="A25" s="381"/>
      <c r="B25" s="635" t="s">
        <v>185</v>
      </c>
      <c r="C25" s="374" t="s">
        <v>475</v>
      </c>
      <c r="D25" s="76"/>
      <c r="E25" s="635" t="s">
        <v>186</v>
      </c>
      <c r="F25" s="368" t="str">
        <f>IF(VLOOKUP(G22,'12_1'!$A$82:$D$90,4,0)=2,"Eventual 80%","Definitivo 100%")</f>
        <v>Definitivo 100%</v>
      </c>
      <c r="G25" s="382"/>
    </row>
    <row r="26" spans="1:7">
      <c r="A26" s="381"/>
      <c r="B26" s="635" t="s">
        <v>187</v>
      </c>
      <c r="C26" s="375">
        <f>DSUM('12_1'!$A$82:$H$90,'12_1'!$H$12,G21:G22)</f>
        <v>25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DMIN('12_1'!A$82:L$90,'12_1'!$L$82,G21:G22)</f>
        <v>42977.251613211272</v>
      </c>
      <c r="E27" s="127" t="str">
        <f>IF(F27=1,"Domingo",IF(F27=2,"Lunes",IF(F27=3,"Martes",IF(F27=4,"Miercoles",IF(F27=5,"Jueves",IF(F27=6,"Viernes",IF(F27=7,"Sábado",0)))))))</f>
        <v>Miercoles</v>
      </c>
      <c r="F27" s="128">
        <f>WEEKDAY(D27)</f>
        <v>4</v>
      </c>
      <c r="G27" s="385"/>
    </row>
    <row r="28" spans="1:7" ht="15.75">
      <c r="A28" s="381"/>
      <c r="B28" s="76"/>
      <c r="C28" s="635" t="s">
        <v>190</v>
      </c>
      <c r="D28" s="107">
        <f>DMAX('12_1'!A$82:M$90,'12_1'!$M$82,G21:G22)</f>
        <v>42977.531249999993</v>
      </c>
      <c r="E28" s="127" t="str">
        <f>IF(F28=1,"Domingo",IF(F28=2,"Lunes",IF(F28=3,"Martes",IF(F28=4,"Miercoles",IF(F28=5,"Jueves",IF(F28=6,"Viernes",IF(F28=7,"Sábado",0)))))))</f>
        <v>Miercoles</v>
      </c>
      <c r="F28" s="128">
        <f>WEEKDAY(D28)</f>
        <v>4</v>
      </c>
      <c r="G28" s="385"/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381"/>
      <c r="B30" s="108" t="str">
        <f>+Mensajes!$B$7</f>
        <v>PARA CUALQUIER MODIFICACION EN EL CUADRO DE TURNO COMUNIQUESE CON SU TOMERO</v>
      </c>
      <c r="C30" s="279"/>
      <c r="D30" s="76"/>
      <c r="E30" s="76"/>
      <c r="F30" s="76"/>
      <c r="G30" s="382"/>
    </row>
    <row r="31" spans="1:7">
      <c r="A31" s="381"/>
      <c r="B31" s="108" t="str">
        <f>+Mensajes!$B$12</f>
        <v>Recuerde que con 1 (una) cuotas vigentes impagas se restringirá el servicio.</v>
      </c>
      <c r="C31" s="280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IF(DSUM('12_1'!$A$12:$Q$129,16,G21:G22)=COUNTIF('12_1'!$A$12:$A$129,G22),"","Regularice su Deuda")</f>
        <v>Regularice su Deuda</v>
      </c>
      <c r="C33" s="326"/>
      <c r="D33" s="326"/>
      <c r="E33" s="326"/>
      <c r="F33" s="326"/>
      <c r="G33" s="388"/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8"/>
  <dimension ref="A1:DQ43"/>
  <sheetViews>
    <sheetView topLeftCell="A21" zoomScale="75" zoomScaleNormal="100" zoomScaleSheetLayoutView="100" workbookViewId="0" xr3:uid="{D979DC6D-665A-5B40-B235-9A07D260EAB6}">
      <selection activeCell="G16" sqref="G16"/>
    </sheetView>
  </sheetViews>
  <sheetFormatPr defaultRowHeight="12.75"/>
  <cols>
    <col min="1" max="1" width="5.7109375" style="506" customWidth="1"/>
    <col min="2" max="2" width="5.140625" customWidth="1"/>
    <col min="3" max="3" width="8.28515625" customWidth="1"/>
    <col min="4" max="4" width="5.42578125" bestFit="1" customWidth="1"/>
    <col min="5" max="5" width="11" bestFit="1" customWidth="1"/>
    <col min="6" max="6" width="12.85546875" customWidth="1"/>
    <col min="7" max="7" width="24.7109375" customWidth="1"/>
    <col min="8" max="8" width="12.140625" bestFit="1" customWidth="1"/>
    <col min="9" max="9" width="9.42578125" bestFit="1" customWidth="1"/>
    <col min="10" max="10" width="11.7109375" customWidth="1"/>
    <col min="11" max="11" width="15.28515625" customWidth="1"/>
    <col min="12" max="12" width="15.5703125" customWidth="1"/>
    <col min="13" max="13" width="34" customWidth="1"/>
    <col min="14" max="14" width="26" customWidth="1"/>
    <col min="15" max="256" width="11.42578125" customWidth="1"/>
  </cols>
  <sheetData>
    <row r="1" spans="1:121">
      <c r="A1" s="504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21" ht="15">
      <c r="A2" s="504"/>
      <c r="B2" s="671" t="s">
        <v>463</v>
      </c>
      <c r="C2" s="671"/>
      <c r="D2" s="671"/>
      <c r="E2" s="671"/>
      <c r="F2" s="671"/>
      <c r="G2" s="671"/>
      <c r="H2" s="515" t="s">
        <v>476</v>
      </c>
      <c r="I2" s="99"/>
      <c r="J2" s="99"/>
      <c r="K2" s="99"/>
      <c r="L2" s="99"/>
      <c r="M2" s="99"/>
    </row>
    <row r="3" spans="1:121">
      <c r="A3" s="504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21" ht="13.5" thickBot="1">
      <c r="A4" s="504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21">
      <c r="A5" s="662" t="s">
        <v>124</v>
      </c>
      <c r="B5" s="663"/>
      <c r="C5" s="659">
        <f>+Hijuelas!D22</f>
        <v>42973.541666666664</v>
      </c>
      <c r="D5" s="667"/>
      <c r="E5" s="660"/>
      <c r="F5" s="305"/>
      <c r="G5" s="306" t="s">
        <v>125</v>
      </c>
      <c r="H5" s="520">
        <f>+Hijuelas!G4</f>
        <v>3.9895833333333335</v>
      </c>
      <c r="I5" s="99"/>
      <c r="J5" s="99"/>
      <c r="K5" s="99"/>
      <c r="L5" s="99"/>
      <c r="M5" s="99"/>
    </row>
    <row r="6" spans="1:121" ht="13.5" thickBot="1">
      <c r="A6" s="664" t="s">
        <v>126</v>
      </c>
      <c r="B6" s="665"/>
      <c r="C6" s="668">
        <f>+L38</f>
        <v>42977.531249999985</v>
      </c>
      <c r="D6" s="669"/>
      <c r="E6" s="670"/>
      <c r="F6" s="305"/>
      <c r="G6" s="265" t="s">
        <v>127</v>
      </c>
      <c r="H6" s="308">
        <v>0.29166666666666669</v>
      </c>
      <c r="I6" s="305"/>
      <c r="J6" s="99"/>
      <c r="K6" s="309"/>
      <c r="L6" s="99"/>
      <c r="M6" s="99"/>
    </row>
    <row r="7" spans="1:121">
      <c r="A7" s="518"/>
      <c r="B7" s="416"/>
      <c r="C7" s="323" t="s">
        <v>477</v>
      </c>
      <c r="D7" s="323"/>
      <c r="E7" s="312">
        <f>+C6-C5</f>
        <v>3.9895833333212067</v>
      </c>
      <c r="F7" s="305"/>
      <c r="G7" s="265" t="s">
        <v>128</v>
      </c>
      <c r="H7" s="308">
        <v>0</v>
      </c>
      <c r="I7" s="305"/>
      <c r="J7" s="99"/>
      <c r="K7" s="309"/>
      <c r="L7" s="99"/>
      <c r="M7" s="99"/>
    </row>
    <row r="8" spans="1:121" ht="13.5" thickBot="1">
      <c r="A8" s="504"/>
      <c r="B8" s="99"/>
      <c r="C8" s="99"/>
      <c r="D8" s="99"/>
      <c r="E8" s="99"/>
      <c r="F8" s="99"/>
      <c r="G8" s="310" t="s">
        <v>340</v>
      </c>
      <c r="H8" s="517">
        <v>4.1666666666666664E-2</v>
      </c>
      <c r="I8" s="99"/>
      <c r="J8" s="99"/>
      <c r="K8" s="99"/>
      <c r="L8" s="99"/>
      <c r="M8" s="99"/>
    </row>
    <row r="9" spans="1:121">
      <c r="A9" s="504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  <row r="10" spans="1:121">
      <c r="A10" s="666" t="s">
        <v>129</v>
      </c>
      <c r="B10" s="666"/>
      <c r="C10" s="312">
        <f>H5-(H6+H7+H8)</f>
        <v>3.65625</v>
      </c>
      <c r="D10" s="312"/>
      <c r="E10" s="636" t="s">
        <v>130</v>
      </c>
      <c r="F10" s="313">
        <f>+C10*60</f>
        <v>219.375</v>
      </c>
      <c r="G10" s="636" t="s">
        <v>131</v>
      </c>
      <c r="H10" s="401">
        <f>+H39</f>
        <v>373.38680000000005</v>
      </c>
      <c r="I10" s="636" t="s">
        <v>132</v>
      </c>
      <c r="J10" s="314">
        <f>+F10/H10</f>
        <v>0.58752746481664586</v>
      </c>
      <c r="K10" s="99"/>
      <c r="L10" s="99"/>
      <c r="M10" s="99"/>
    </row>
    <row r="11" spans="1:121" ht="13.5" thickBot="1">
      <c r="A11" s="504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121" ht="13.5" thickBot="1">
      <c r="A12" s="505" t="s">
        <v>134</v>
      </c>
      <c r="B12" s="297" t="s">
        <v>135</v>
      </c>
      <c r="C12" s="295" t="s">
        <v>136</v>
      </c>
      <c r="D12" s="292" t="s">
        <v>408</v>
      </c>
      <c r="E12" s="292" t="s">
        <v>138</v>
      </c>
      <c r="F12" s="292" t="s">
        <v>192</v>
      </c>
      <c r="G12" s="296" t="s">
        <v>140</v>
      </c>
      <c r="H12" s="292" t="s">
        <v>342</v>
      </c>
      <c r="I12" s="292" t="s">
        <v>478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2" t="s">
        <v>204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121" s="587" customFormat="1" ht="27" customHeight="1" thickTop="1">
      <c r="A13" s="534">
        <v>1</v>
      </c>
      <c r="B13" s="402">
        <v>1248</v>
      </c>
      <c r="C13" s="618">
        <v>55</v>
      </c>
      <c r="D13" s="363">
        <v>2</v>
      </c>
      <c r="E13" s="398">
        <v>63.008000000000003</v>
      </c>
      <c r="F13" s="573" t="s">
        <v>90</v>
      </c>
      <c r="G13" s="399" t="s">
        <v>479</v>
      </c>
      <c r="H13" s="575">
        <f>IF(Hijuelas!$G$5="fracción",IF(F13="NO",0,IF(Hijuelas!$G$6="si",IF(D13=1,E13,E13*0.8),E13)),IF(F13="NO",0,IF(Hijuelas!$G$6="si",IF(D13=1,ROUNDUP(E13,0),ROUNDUP(E13*0.8,0)),ROUNDUP(E13,0))))</f>
        <v>50.406400000000005</v>
      </c>
      <c r="I13" s="581"/>
      <c r="J13" s="528">
        <f t="shared" ref="J13:J38" si="0">+$J$10/60*H13</f>
        <v>0.49358574004222971</v>
      </c>
      <c r="K13" s="341">
        <f>+C5+H6</f>
        <v>42973.833333333328</v>
      </c>
      <c r="L13" s="341">
        <f>+K13+J13</f>
        <v>42974.32691907337</v>
      </c>
      <c r="M13" s="402"/>
      <c r="N13" s="402"/>
      <c r="O13" s="71" t="str">
        <f t="shared" ref="O13:O23" si="1">+CONCATENATE(B13,C13)</f>
        <v>124855</v>
      </c>
      <c r="P13" s="259">
        <f>VLOOKUP(O13,deuda!A$1:K$551,4,0)</f>
        <v>0</v>
      </c>
      <c r="Q13" s="131">
        <f>VLOOKUP(O13,deuda!A$1:H$551,5,0)</f>
        <v>3</v>
      </c>
      <c r="R13" s="131" t="str">
        <f>IF(VLOOKUP(O13,deuda!A$1:H$551,6,0)=0,"",VLOOKUP(O13,deuda!A$1:H$551,6,0))</f>
        <v/>
      </c>
      <c r="S13" s="531" t="str">
        <f>IF((VLOOKUP(O13,deuda!A$1:H$551,7,0))=0,"",VLOOKUP(O13,deuda!A$1:H$551,7,0))</f>
        <v/>
      </c>
      <c r="T13" s="586" t="str">
        <f>IF((VLOOKUP(O13,deuda!A$1:H$551,8,0))=0,"",VLOOKUP(O13,deuda!A$1:H$551,8,0))</f>
        <v/>
      </c>
    </row>
    <row r="14" spans="1:121" s="620" customFormat="1" ht="27" customHeight="1">
      <c r="A14" s="623">
        <v>1</v>
      </c>
      <c r="B14" s="624">
        <v>1248</v>
      </c>
      <c r="C14" s="618">
        <v>52</v>
      </c>
      <c r="D14" s="625">
        <v>2</v>
      </c>
      <c r="E14" s="626">
        <v>26.422000000000001</v>
      </c>
      <c r="F14" s="634" t="str">
        <f>IF(P14=0,"NO",IF(P14=1,"SI","CONDICIONAL"))</f>
        <v>SI</v>
      </c>
      <c r="G14" s="633" t="s">
        <v>480</v>
      </c>
      <c r="H14" s="575">
        <f>IF(Hijuelas!$G$5="fracción",IF(F14="NO",0,IF(Hijuelas!$G$6="si",IF(D14=1,E14,E14*0.8),E14)),IF(F14="NO",0,IF(Hijuelas!$G$6="si",IF(D14=1,ROUNDUP(E14,0),ROUNDUP(E14*0.8,0)),ROUNDUP(E14,0))))</f>
        <v>21.137600000000003</v>
      </c>
      <c r="I14" s="621"/>
      <c r="J14" s="622">
        <f>+$J$10/60*H14</f>
        <v>0.20698200900513891</v>
      </c>
      <c r="K14" s="341">
        <f>+L13</f>
        <v>42974.32691907337</v>
      </c>
      <c r="L14" s="341">
        <f>+K14+J14+I14</f>
        <v>42974.533901082374</v>
      </c>
      <c r="M14" s="624"/>
      <c r="N14" s="624"/>
      <c r="O14" s="604" t="str">
        <f>+CONCATENATE(B14,C14)</f>
        <v>124852</v>
      </c>
      <c r="P14" s="627">
        <f>VLOOKUP(O14,deuda!A$1:K$551,4,0)</f>
        <v>1</v>
      </c>
      <c r="Q14" s="628">
        <f>VLOOKUP(O14,deuda!A$1:H$551,5,0)</f>
        <v>0</v>
      </c>
      <c r="R14" s="628" t="str">
        <f>IF(VLOOKUP(O14,deuda!A$1:H$551,6,0)=0,"",VLOOKUP(O14,deuda!A$1:H$551,6,0))</f>
        <v/>
      </c>
      <c r="S14" s="629" t="str">
        <f>IF((VLOOKUP(O14,deuda!A$1:H$551,7,0))=0,"",VLOOKUP(O14,deuda!A$1:H$551,7,0))</f>
        <v/>
      </c>
      <c r="T14" s="630" t="str">
        <f>IF((VLOOKUP(O14,deuda!A$1:H$551,8,0))=0,"",VLOOKUP(O14,deuda!A$1:H$551,8,0))</f>
        <v/>
      </c>
      <c r="U14" s="631"/>
      <c r="V14" s="631"/>
      <c r="W14" s="631"/>
      <c r="X14" s="631"/>
      <c r="Y14" s="631"/>
      <c r="Z14" s="631"/>
      <c r="AA14" s="631"/>
      <c r="AB14" s="631"/>
      <c r="AC14" s="631"/>
      <c r="AD14" s="631"/>
      <c r="AE14" s="631"/>
      <c r="AF14" s="631"/>
      <c r="AG14" s="631"/>
      <c r="AH14" s="631"/>
      <c r="AI14" s="631"/>
      <c r="AJ14" s="631"/>
      <c r="AK14" s="631"/>
      <c r="AL14" s="631"/>
      <c r="AM14" s="631"/>
      <c r="AN14" s="631"/>
      <c r="AO14" s="631"/>
      <c r="AP14" s="631"/>
      <c r="AQ14" s="631"/>
      <c r="AR14" s="631"/>
      <c r="AS14" s="631"/>
      <c r="AT14" s="631"/>
      <c r="AU14" s="631"/>
      <c r="AV14" s="631"/>
      <c r="AW14" s="631"/>
      <c r="AX14" s="631"/>
      <c r="AY14" s="631"/>
      <c r="AZ14" s="631"/>
      <c r="BA14" s="631"/>
      <c r="BB14" s="631"/>
      <c r="BC14" s="631"/>
      <c r="BD14" s="631"/>
      <c r="BE14" s="631"/>
      <c r="BF14" s="631"/>
      <c r="BG14" s="631"/>
      <c r="BH14" s="631"/>
      <c r="BI14" s="631"/>
      <c r="BJ14" s="631"/>
      <c r="BK14" s="631"/>
      <c r="BL14" s="631"/>
      <c r="BM14" s="631"/>
      <c r="BN14" s="631"/>
      <c r="BO14" s="631"/>
      <c r="BP14" s="631"/>
      <c r="BQ14" s="631"/>
      <c r="BR14" s="631"/>
      <c r="BS14" s="631"/>
      <c r="BT14" s="631"/>
      <c r="BU14" s="631"/>
      <c r="BV14" s="631"/>
      <c r="BW14" s="631"/>
      <c r="BX14" s="631"/>
      <c r="BY14" s="631"/>
      <c r="BZ14" s="631"/>
      <c r="CA14" s="631"/>
      <c r="CB14" s="631"/>
      <c r="CC14" s="631"/>
      <c r="CD14" s="631"/>
      <c r="CE14" s="631"/>
      <c r="CF14" s="631"/>
      <c r="CG14" s="631"/>
      <c r="CH14" s="631"/>
      <c r="CI14" s="631"/>
      <c r="CJ14" s="631"/>
      <c r="CK14" s="631"/>
      <c r="CL14" s="631"/>
      <c r="CM14" s="631"/>
      <c r="CN14" s="631"/>
      <c r="CO14" s="631"/>
      <c r="CP14" s="631"/>
      <c r="CQ14" s="631"/>
      <c r="CR14" s="631"/>
      <c r="CS14" s="631"/>
      <c r="CT14" s="631"/>
      <c r="CU14" s="631"/>
      <c r="CV14" s="631"/>
      <c r="CW14" s="631"/>
      <c r="CX14" s="631"/>
      <c r="CY14" s="631"/>
      <c r="CZ14" s="631"/>
      <c r="DA14" s="631"/>
      <c r="DB14" s="631"/>
      <c r="DC14" s="631"/>
      <c r="DD14" s="631"/>
      <c r="DE14" s="631"/>
      <c r="DF14" s="631"/>
      <c r="DG14" s="631"/>
      <c r="DH14" s="631"/>
      <c r="DI14" s="631"/>
      <c r="DJ14" s="631"/>
      <c r="DK14" s="631"/>
      <c r="DL14" s="631"/>
      <c r="DM14" s="631"/>
      <c r="DN14" s="631"/>
      <c r="DO14" s="631"/>
      <c r="DP14" s="631"/>
      <c r="DQ14" s="631"/>
    </row>
    <row r="15" spans="1:121" ht="27" customHeight="1">
      <c r="A15" s="259">
        <v>2</v>
      </c>
      <c r="B15" s="47">
        <v>1248</v>
      </c>
      <c r="C15" s="263">
        <v>20</v>
      </c>
      <c r="D15" s="244">
        <v>2</v>
      </c>
      <c r="E15" s="245">
        <v>28.707999999999998</v>
      </c>
      <c r="F15" s="85" t="str">
        <f t="shared" ref="F15:F38" si="2">IF(P15=0,"NO",IF(P15=1,"SI","CONDICIONAL"))</f>
        <v>SI</v>
      </c>
      <c r="G15" s="391" t="s">
        <v>481</v>
      </c>
      <c r="H15" s="575">
        <f>IF(Hijuelas!$G$5="fracción",IF(F15="NO",0,IF(Hijuelas!$G$6="si",IF(D15=1,E15,E15*0.8),E15)),IF(F15="NO",0,IF(Hijuelas!$G$6="si",IF(D15=1,ROUNDUP(E15,0),ROUNDUP(E15*0.8,0)),ROUNDUP(E15,0))))</f>
        <v>22.9664</v>
      </c>
      <c r="I15" s="123">
        <v>0</v>
      </c>
      <c r="J15" s="123">
        <f t="shared" si="0"/>
        <v>0.22488984613275026</v>
      </c>
      <c r="K15" s="341">
        <f t="shared" ref="K15:K38" si="3">+L14</f>
        <v>42974.533901082374</v>
      </c>
      <c r="L15" s="341">
        <f t="shared" ref="L15:L38" si="4">+K15+J15+I15</f>
        <v>42974.758790928507</v>
      </c>
      <c r="M15" s="47"/>
      <c r="N15" s="47"/>
      <c r="O15" s="71" t="str">
        <f t="shared" si="1"/>
        <v>124820</v>
      </c>
      <c r="P15" s="259">
        <f>VLOOKUP(O15,deuda!A$1:K$551,4,0)</f>
        <v>1</v>
      </c>
      <c r="Q15" s="131">
        <f>VLOOKUP(O15,deuda!A$1:H$551,5,0)</f>
        <v>1</v>
      </c>
      <c r="R15" s="131" t="str">
        <f>IF(VLOOKUP(O15,deuda!A$1:H$551,6,0)=0,"",VLOOKUP(O15,deuda!A$1:H$551,6,0))</f>
        <v/>
      </c>
      <c r="S15" s="531" t="str">
        <f>IF((VLOOKUP(O15,deuda!A$1:H$551,7,0))=0,"",VLOOKUP(O15,deuda!A$1:H$551,7,0))</f>
        <v/>
      </c>
      <c r="T15" s="586" t="str">
        <f>IF((VLOOKUP(O15,deuda!A$1:H$551,8,0))=0,"",VLOOKUP(O15,deuda!A$1:H$551,8,0))</f>
        <v/>
      </c>
    </row>
    <row r="16" spans="1:121" ht="27" customHeight="1">
      <c r="A16" s="131">
        <v>2</v>
      </c>
      <c r="B16" s="5">
        <v>1248</v>
      </c>
      <c r="C16" s="223">
        <v>56</v>
      </c>
      <c r="D16" s="179">
        <v>2</v>
      </c>
      <c r="E16" s="20">
        <v>14</v>
      </c>
      <c r="F16" s="85" t="str">
        <f>IF(P16=0,"NO",IF(P16=1,"SI","CONDICIONAL"))</f>
        <v>SI</v>
      </c>
      <c r="G16" s="392" t="s">
        <v>482</v>
      </c>
      <c r="H16" s="575">
        <f>IF(Hijuelas!$G$5="fracción",IF(F16="NO",0,IF(Hijuelas!$G$6="si",IF(D16=1,E16,E16*0.8),E16)),IF(F16="NO",0,IF(Hijuelas!$G$6="si",IF(D16=1,ROUNDUP(E16,0),ROUNDUP(E16*0.8,0)),ROUNDUP(E16,0))))</f>
        <v>11.200000000000001</v>
      </c>
      <c r="I16" s="121"/>
      <c r="J16" s="123">
        <f>+$J$10/60*H16</f>
        <v>0.10967179343244057</v>
      </c>
      <c r="K16" s="341">
        <f t="shared" si="3"/>
        <v>42974.758790928507</v>
      </c>
      <c r="L16" s="341">
        <f t="shared" si="4"/>
        <v>42974.868462721941</v>
      </c>
      <c r="M16" s="5"/>
      <c r="N16" s="5"/>
      <c r="O16" s="5" t="str">
        <f>+CONCATENATE(B16,C16)</f>
        <v>124856</v>
      </c>
      <c r="P16" s="112">
        <f>VLOOKUP(O16,deuda!A$1:K$551,4,0)</f>
        <v>1</v>
      </c>
      <c r="Q16" s="6">
        <f>VLOOKUP(O16,deuda!A$1:H$551,5,0)</f>
        <v>0</v>
      </c>
      <c r="R16" s="6" t="str">
        <f>IF(VLOOKUP(O16,deuda!A$1:H$551,6,0)=0,"",VLOOKUP(O16,deuda!A$1:H$551,6,0))</f>
        <v/>
      </c>
      <c r="S16" s="111" t="str">
        <f>IF((VLOOKUP(O16,deuda!A$1:H$551,7,0))=0,"",VLOOKUP(O16,deuda!A$1:H$551,7,0))</f>
        <v/>
      </c>
      <c r="T16" s="115" t="str">
        <f>IF((VLOOKUP(O16,deuda!A$1:H$551,8,0))=0,"",VLOOKUP(O16,deuda!A$1:H$551,8,0))</f>
        <v/>
      </c>
    </row>
    <row r="17" spans="1:20" ht="27" customHeight="1">
      <c r="A17" s="131">
        <v>3</v>
      </c>
      <c r="B17" s="5">
        <v>1248</v>
      </c>
      <c r="C17" s="223">
        <v>38</v>
      </c>
      <c r="D17" s="179">
        <v>2</v>
      </c>
      <c r="E17" s="20">
        <v>20</v>
      </c>
      <c r="F17" s="85" t="str">
        <f t="shared" si="2"/>
        <v>SI</v>
      </c>
      <c r="G17" s="611" t="s">
        <v>483</v>
      </c>
      <c r="H17" s="575">
        <f>IF(Hijuelas!$G$5="fracción",IF(F17="NO",0,IF(Hijuelas!$G$6="si",IF(D17=1,E17,E17*0.8),E17)),IF(F17="NO",0,IF(Hijuelas!$G$6="si",IF(D17=1,ROUNDUP(E17,0),ROUNDUP(E17*0.8,0)),ROUNDUP(E17,0))))</f>
        <v>16</v>
      </c>
      <c r="I17" s="119">
        <v>0</v>
      </c>
      <c r="J17" s="123">
        <f t="shared" si="0"/>
        <v>0.15667399061777224</v>
      </c>
      <c r="K17" s="341">
        <f t="shared" si="3"/>
        <v>42974.868462721941</v>
      </c>
      <c r="L17" s="341">
        <f t="shared" si="4"/>
        <v>42975.02513671256</v>
      </c>
      <c r="M17" s="5"/>
      <c r="N17" s="5"/>
      <c r="O17" s="71" t="str">
        <f t="shared" si="1"/>
        <v>124838</v>
      </c>
      <c r="P17" s="259">
        <f>VLOOKUP(O17,deuda!A$1:K$551,4,0)</f>
        <v>1</v>
      </c>
      <c r="Q17" s="131">
        <f>VLOOKUP(O17,deuda!A$1:H$551,5,0)</f>
        <v>2</v>
      </c>
      <c r="R17" s="131" t="str">
        <f>IF(VLOOKUP(O17,deuda!A$1:H$551,6,0)=0,"",VLOOKUP(O17,deuda!A$1:H$551,6,0))</f>
        <v/>
      </c>
      <c r="S17" s="531" t="str">
        <f>IF((VLOOKUP(O17,deuda!A$1:H$551,7,0))=0,"",VLOOKUP(O17,deuda!A$1:H$551,7,0))</f>
        <v/>
      </c>
      <c r="T17" s="586" t="str">
        <f>IF((VLOOKUP(O17,deuda!A$1:H$551,8,0))=0,"",VLOOKUP(O17,deuda!A$1:H$551,8,0))</f>
        <v/>
      </c>
    </row>
    <row r="18" spans="1:20" ht="27" customHeight="1">
      <c r="A18" s="131">
        <v>4</v>
      </c>
      <c r="B18" s="5">
        <v>1248</v>
      </c>
      <c r="C18" s="223">
        <v>46</v>
      </c>
      <c r="D18" s="179">
        <v>2</v>
      </c>
      <c r="E18" s="20">
        <v>0.186</v>
      </c>
      <c r="F18" s="85" t="str">
        <f t="shared" si="2"/>
        <v>NO</v>
      </c>
      <c r="G18" s="392" t="s">
        <v>484</v>
      </c>
      <c r="H18" s="575">
        <f>IF(Hijuelas!$G$5="fracción",IF(F18="NO",0,IF(Hijuelas!$G$6="si",IF(D18=1,E18,E18*0.8),E18)),IF(F18="NO",0,IF(Hijuelas!$G$6="si",IF(D18=1,ROUNDUP(E18,0),ROUNDUP(E18*0.8,0)),ROUNDUP(E18,0))))</f>
        <v>0</v>
      </c>
      <c r="I18" s="121"/>
      <c r="J18" s="123">
        <f t="shared" si="0"/>
        <v>0</v>
      </c>
      <c r="K18" s="341">
        <f t="shared" si="3"/>
        <v>42975.02513671256</v>
      </c>
      <c r="L18" s="341">
        <f t="shared" si="4"/>
        <v>42975.02513671256</v>
      </c>
      <c r="M18" s="5"/>
      <c r="N18" s="5"/>
      <c r="O18" s="71" t="str">
        <f t="shared" si="1"/>
        <v>124846</v>
      </c>
      <c r="P18" s="259">
        <f>VLOOKUP(O18,deuda!A$1:K$551,4,0)</f>
        <v>0</v>
      </c>
      <c r="Q18" s="131">
        <f>VLOOKUP(O18,deuda!A$1:H$551,5,0)</f>
        <v>20</v>
      </c>
      <c r="R18" s="131" t="str">
        <f>IF(VLOOKUP(O18,deuda!A$1:H$551,6,0)=0,"",VLOOKUP(O18,deuda!A$1:H$551,6,0))</f>
        <v/>
      </c>
      <c r="S18" s="531" t="str">
        <f>IF((VLOOKUP(O18,deuda!A$1:H$551,7,0))=0,"",VLOOKUP(O18,deuda!A$1:H$551,7,0))</f>
        <v/>
      </c>
      <c r="T18" s="586" t="str">
        <f>IF((VLOOKUP(O18,deuda!A$1:H$551,8,0))=0,"",VLOOKUP(O18,deuda!A$1:H$551,8,0))</f>
        <v/>
      </c>
    </row>
    <row r="19" spans="1:20" ht="27" customHeight="1">
      <c r="A19" s="131">
        <v>5</v>
      </c>
      <c r="B19" s="5">
        <v>1248</v>
      </c>
      <c r="C19" s="223">
        <v>29</v>
      </c>
      <c r="D19" s="179">
        <v>2</v>
      </c>
      <c r="E19" s="20">
        <v>4.0759999999999996</v>
      </c>
      <c r="F19" s="85" t="str">
        <f t="shared" si="2"/>
        <v>SI</v>
      </c>
      <c r="G19" s="392" t="s">
        <v>485</v>
      </c>
      <c r="H19" s="575">
        <f>IF(Hijuelas!$G$5="fracción",IF(F19="NO",0,IF(Hijuelas!$G$6="si",IF(D19=1,E19,E19*0.8),E19)),IF(F19="NO",0,IF(Hijuelas!$G$6="si",IF(D19=1,ROUNDUP(E19,0),ROUNDUP(E19*0.8,0)),ROUNDUP(E19,0))))</f>
        <v>3.2607999999999997</v>
      </c>
      <c r="I19" s="121"/>
      <c r="J19" s="123">
        <f t="shared" si="0"/>
        <v>3.193015928790198E-2</v>
      </c>
      <c r="K19" s="341">
        <f t="shared" si="3"/>
        <v>42975.02513671256</v>
      </c>
      <c r="L19" s="341">
        <f t="shared" si="4"/>
        <v>42975.05706687185</v>
      </c>
      <c r="M19" s="5"/>
      <c r="N19" s="5"/>
      <c r="O19" s="71" t="str">
        <f t="shared" si="1"/>
        <v>124829</v>
      </c>
      <c r="P19" s="259">
        <f>VLOOKUP(O19,deuda!A$1:K$551,4,0)</f>
        <v>1</v>
      </c>
      <c r="Q19" s="131">
        <f>VLOOKUP(O19,deuda!A$1:H$551,5,0)</f>
        <v>0</v>
      </c>
      <c r="R19" s="131" t="str">
        <f>IF(VLOOKUP(O19,deuda!A$1:H$551,6,0)=0,"",VLOOKUP(O19,deuda!A$1:H$551,6,0))</f>
        <v/>
      </c>
      <c r="S19" s="531" t="str">
        <f>IF((VLOOKUP(O19,deuda!A$1:H$551,7,0))=0,"",VLOOKUP(O19,deuda!A$1:H$551,7,0))</f>
        <v/>
      </c>
      <c r="T19" s="586" t="str">
        <f>IF((VLOOKUP(O19,deuda!A$1:H$551,8,0))=0,"",VLOOKUP(O19,deuda!A$1:H$551,8,0))</f>
        <v/>
      </c>
    </row>
    <row r="20" spans="1:20" ht="27" customHeight="1">
      <c r="A20" s="131">
        <v>6</v>
      </c>
      <c r="B20" s="5">
        <v>1248</v>
      </c>
      <c r="C20" s="223">
        <v>48</v>
      </c>
      <c r="D20" s="179">
        <v>2</v>
      </c>
      <c r="E20" s="20">
        <v>0.90769999999999995</v>
      </c>
      <c r="F20" s="85" t="str">
        <f t="shared" si="2"/>
        <v>SI</v>
      </c>
      <c r="G20" s="392" t="s">
        <v>486</v>
      </c>
      <c r="H20" s="575">
        <f>IF(Hijuelas!$G$5="fracción",IF(F20="NO",0,IF(Hijuelas!$G$6="si",IF(D20=1,E20,E20*0.8),E20)),IF(F20="NO",0,IF(Hijuelas!$G$6="si",IF(D20=1,ROUNDUP(E20,0),ROUNDUP(E20*0.8,0)),ROUNDUP(E20,0))))</f>
        <v>0.72616000000000003</v>
      </c>
      <c r="I20" s="119">
        <v>0</v>
      </c>
      <c r="J20" s="123">
        <f t="shared" si="0"/>
        <v>7.1106490641875929E-3</v>
      </c>
      <c r="K20" s="341">
        <f t="shared" si="3"/>
        <v>42975.05706687185</v>
      </c>
      <c r="L20" s="341">
        <f t="shared" si="4"/>
        <v>42975.064177520915</v>
      </c>
      <c r="M20" s="5"/>
      <c r="N20" s="5"/>
      <c r="O20" s="71" t="str">
        <f t="shared" si="1"/>
        <v>124848</v>
      </c>
      <c r="P20" s="259">
        <f>VLOOKUP(O20,deuda!A$1:K$551,4,0)</f>
        <v>1</v>
      </c>
      <c r="Q20" s="131">
        <f>VLOOKUP(O20,deuda!A$1:H$551,5,0)</f>
        <v>0</v>
      </c>
      <c r="R20" s="131" t="str">
        <f>IF(VLOOKUP(O20,deuda!A$1:H$551,6,0)=0,"",VLOOKUP(O20,deuda!A$1:H$551,6,0))</f>
        <v/>
      </c>
      <c r="S20" s="531" t="str">
        <f>IF((VLOOKUP(O20,deuda!A$1:H$551,7,0))=0,"",VLOOKUP(O20,deuda!A$1:H$551,7,0))</f>
        <v/>
      </c>
      <c r="T20" s="586" t="str">
        <f>IF((VLOOKUP(O20,deuda!A$1:H$551,8,0))=0,"",VLOOKUP(O20,deuda!A$1:H$551,8,0))</f>
        <v/>
      </c>
    </row>
    <row r="21" spans="1:20" ht="27" customHeight="1">
      <c r="A21" s="131">
        <v>6</v>
      </c>
      <c r="B21" s="5">
        <v>1248</v>
      </c>
      <c r="C21" s="223">
        <v>49</v>
      </c>
      <c r="D21" s="179">
        <v>2</v>
      </c>
      <c r="E21" s="20">
        <v>0.87009999999999998</v>
      </c>
      <c r="F21" s="85" t="str">
        <f t="shared" si="2"/>
        <v>SI</v>
      </c>
      <c r="G21" s="392" t="s">
        <v>487</v>
      </c>
      <c r="H21" s="575">
        <f>IF(Hijuelas!$G$5="fracción",IF(F21="NO",0,IF(Hijuelas!$G$6="si",IF(D21=1,E21,E21*0.8),E21)),IF(F21="NO",0,IF(Hijuelas!$G$6="si",IF(D21=1,ROUNDUP(E21,0),ROUNDUP(E21*0.8,0)),ROUNDUP(E21,0))))</f>
        <v>0.69608000000000003</v>
      </c>
      <c r="I21" s="121"/>
      <c r="J21" s="123">
        <f t="shared" si="0"/>
        <v>6.8161019618261818E-3</v>
      </c>
      <c r="K21" s="341">
        <f t="shared" si="3"/>
        <v>42975.064177520915</v>
      </c>
      <c r="L21" s="341">
        <f t="shared" si="4"/>
        <v>42975.070993622874</v>
      </c>
      <c r="M21" s="5"/>
      <c r="N21" s="5"/>
      <c r="O21" s="71" t="str">
        <f t="shared" si="1"/>
        <v>124849</v>
      </c>
      <c r="P21" s="259">
        <f>VLOOKUP(O21,deuda!A$1:K$551,4,0)</f>
        <v>1</v>
      </c>
      <c r="Q21" s="131">
        <f>VLOOKUP(O21,deuda!A$1:H$551,5,0)</f>
        <v>0</v>
      </c>
      <c r="R21" s="131" t="str">
        <f>IF(VLOOKUP(O21,deuda!A$1:H$551,6,0)=0,"",VLOOKUP(O21,deuda!A$1:H$551,6,0))</f>
        <v/>
      </c>
      <c r="S21" s="531" t="str">
        <f>IF((VLOOKUP(O21,deuda!A$1:H$551,7,0))=0,"",VLOOKUP(O21,deuda!A$1:H$551,7,0))</f>
        <v/>
      </c>
      <c r="T21" s="586" t="str">
        <f>IF((VLOOKUP(O21,deuda!A$1:H$551,8,0))=0,"",VLOOKUP(O21,deuda!A$1:H$551,8,0))</f>
        <v/>
      </c>
    </row>
    <row r="22" spans="1:20" ht="27" customHeight="1">
      <c r="A22" s="131">
        <v>7</v>
      </c>
      <c r="B22" s="5">
        <v>1248</v>
      </c>
      <c r="C22" s="223">
        <v>50</v>
      </c>
      <c r="D22" s="179">
        <v>2</v>
      </c>
      <c r="E22" s="20">
        <v>4.1418999999999997</v>
      </c>
      <c r="F22" s="85" t="s">
        <v>90</v>
      </c>
      <c r="G22" s="392" t="s">
        <v>488</v>
      </c>
      <c r="H22" s="575">
        <f>IF(Hijuelas!$G$5="fracción",IF(F22="NO",0,IF(Hijuelas!$G$6="si",IF(D22=1,E22,E22*0.8),E22)),IF(F22="NO",0,IF(Hijuelas!$G$6="si",IF(D22=1,ROUNDUP(E22,0),ROUNDUP(E22*0.8,0)),ROUNDUP(E22,0))))</f>
        <v>3.31352</v>
      </c>
      <c r="I22" s="119">
        <v>0</v>
      </c>
      <c r="J22" s="123">
        <f t="shared" si="0"/>
        <v>3.2446400086987542E-2</v>
      </c>
      <c r="K22" s="341">
        <f t="shared" si="3"/>
        <v>42975.070993622874</v>
      </c>
      <c r="L22" s="341">
        <f t="shared" si="4"/>
        <v>42975.103440022962</v>
      </c>
      <c r="M22" s="5"/>
      <c r="N22" s="5"/>
      <c r="O22" s="71" t="str">
        <f t="shared" si="1"/>
        <v>124850</v>
      </c>
      <c r="P22" s="259">
        <f>VLOOKUP(O22,deuda!A$1:K$551,4,0)</f>
        <v>0</v>
      </c>
      <c r="Q22" s="131">
        <f>VLOOKUP(O22,deuda!A$1:H$551,5,0)</f>
        <v>4</v>
      </c>
      <c r="R22" s="131" t="str">
        <f>IF(VLOOKUP(O22,deuda!A$1:H$551,6,0)=0,"",VLOOKUP(O22,deuda!A$1:H$551,6,0))</f>
        <v/>
      </c>
      <c r="S22" s="531" t="str">
        <f>IF((VLOOKUP(O22,deuda!A$1:H$551,7,0))=0,"",VLOOKUP(O22,deuda!A$1:H$551,7,0))</f>
        <v/>
      </c>
      <c r="T22" s="586" t="str">
        <f>IF((VLOOKUP(O22,deuda!A$1:H$551,8,0))=0,"",VLOOKUP(O22,deuda!A$1:H$551,8,0))</f>
        <v/>
      </c>
    </row>
    <row r="23" spans="1:20" ht="27" customHeight="1">
      <c r="A23" s="131">
        <v>8</v>
      </c>
      <c r="B23" s="5">
        <v>1248</v>
      </c>
      <c r="C23" s="223">
        <v>24</v>
      </c>
      <c r="D23" s="179">
        <v>2</v>
      </c>
      <c r="E23" s="20">
        <v>16.739000000000001</v>
      </c>
      <c r="F23" s="85" t="str">
        <f t="shared" si="2"/>
        <v>NO</v>
      </c>
      <c r="G23" s="611" t="s">
        <v>489</v>
      </c>
      <c r="H23" s="575">
        <f>IF(Hijuelas!$G$5="fracción",IF(F23="NO",0,IF(Hijuelas!$G$6="si",IF(D23=1,E23,E23*0.8),E23)),IF(F23="NO",0,IF(Hijuelas!$G$6="si",IF(D23=1,ROUNDUP(E23,0),ROUNDUP(E23*0.8,0)),ROUNDUP(E23,0))))</f>
        <v>0</v>
      </c>
      <c r="I23" s="119"/>
      <c r="J23" s="123">
        <f t="shared" si="0"/>
        <v>0</v>
      </c>
      <c r="K23" s="341">
        <f t="shared" si="3"/>
        <v>42975.103440022962</v>
      </c>
      <c r="L23" s="341">
        <f t="shared" si="4"/>
        <v>42975.103440022962</v>
      </c>
      <c r="M23" s="5"/>
      <c r="N23" s="5"/>
      <c r="O23" s="71" t="str">
        <f t="shared" si="1"/>
        <v>124824</v>
      </c>
      <c r="P23" s="259">
        <f>VLOOKUP(O23,deuda!A$1:K$551,4,0)</f>
        <v>0</v>
      </c>
      <c r="Q23" s="131">
        <f>VLOOKUP(O23,deuda!A$1:H$551,5,0)</f>
        <v>8</v>
      </c>
      <c r="R23" s="131" t="str">
        <f>IF(VLOOKUP(O23,deuda!A$1:H$551,6,0)=0,"",VLOOKUP(O23,deuda!A$1:H$551,6,0))</f>
        <v/>
      </c>
      <c r="S23" s="531" t="str">
        <f>IF((VLOOKUP(O23,deuda!A$1:H$551,7,0))=0,"",VLOOKUP(O23,deuda!A$1:H$551,7,0))</f>
        <v/>
      </c>
      <c r="T23" s="586" t="str">
        <f>IF((VLOOKUP(O23,deuda!A$1:H$551,8,0))=0,"",VLOOKUP(O23,deuda!A$1:H$551,8,0))</f>
        <v/>
      </c>
    </row>
    <row r="24" spans="1:20" s="395" customFormat="1" ht="27" customHeight="1">
      <c r="A24" s="534">
        <v>8</v>
      </c>
      <c r="B24" s="402">
        <v>1255</v>
      </c>
      <c r="C24" s="403">
        <v>121</v>
      </c>
      <c r="D24" s="363">
        <v>2</v>
      </c>
      <c r="E24" s="398">
        <v>7.1157000000000004</v>
      </c>
      <c r="F24" s="85" t="s">
        <v>267</v>
      </c>
      <c r="G24" s="399" t="s">
        <v>490</v>
      </c>
      <c r="H24" s="575">
        <f>IF(Hijuelas!$G$5="fracción",IF(F24="NO",0,IF(Hijuelas!$G$6="si",IF(D24=1,E24,E24*0.8),E24)),IF(F24="NO",0,IF(Hijuelas!$G$6="si",IF(D24=1,ROUNDUP(E24,0),ROUNDUP(E24*0.8,0)),ROUNDUP(E24,0))))</f>
        <v>0</v>
      </c>
      <c r="I24" s="119">
        <v>0</v>
      </c>
      <c r="J24" s="123">
        <f t="shared" si="0"/>
        <v>0</v>
      </c>
      <c r="K24" s="341">
        <f t="shared" si="3"/>
        <v>42975.103440022962</v>
      </c>
      <c r="L24" s="341">
        <f t="shared" si="4"/>
        <v>42975.103440022962</v>
      </c>
      <c r="M24" s="394"/>
      <c r="N24" s="394"/>
      <c r="O24" s="5" t="str">
        <f>+CONCATENATE(B24,C24)</f>
        <v>1255121</v>
      </c>
      <c r="P24" s="259">
        <v>2</v>
      </c>
      <c r="Q24" s="6" t="e">
        <f>VLOOKUP(O24,deuda!A$1:H$551,5,0)</f>
        <v>#N/A</v>
      </c>
      <c r="R24" s="6" t="e">
        <f>IF(VLOOKUP(O24,deuda!A$1:H$551,6,0)=0,"",VLOOKUP(O24,deuda!A$1:H$551,6,0))</f>
        <v>#N/A</v>
      </c>
      <c r="S24" s="111" t="e">
        <f>IF((VLOOKUP(O24,deuda!A$1:H$551,7,0))=0,"",VLOOKUP(O24,deuda!A$1:H$551,7,0))</f>
        <v>#N/A</v>
      </c>
      <c r="T24" s="115" t="e">
        <f>IF((VLOOKUP(O24,deuda!A$1:H$551,8,0))=0,"",VLOOKUP(O24,deuda!A$1:H$551,8,0))</f>
        <v>#N/A</v>
      </c>
    </row>
    <row r="25" spans="1:20" ht="27" customHeight="1">
      <c r="A25" s="131">
        <v>9</v>
      </c>
      <c r="B25" s="5">
        <v>1248</v>
      </c>
      <c r="C25" s="223">
        <v>45</v>
      </c>
      <c r="D25" s="179">
        <v>2</v>
      </c>
      <c r="E25" s="20">
        <v>2.6882000000000001</v>
      </c>
      <c r="F25" s="85" t="str">
        <f t="shared" si="2"/>
        <v>NO</v>
      </c>
      <c r="G25" s="392" t="s">
        <v>491</v>
      </c>
      <c r="H25" s="575">
        <f>IF(Hijuelas!$G$5="fracción",IF(F25="NO",0,IF(Hijuelas!$G$6="si",IF(D25=1,E25,E25*0.8),E25)),IF(F25="NO",0,IF(Hijuelas!$G$6="si",IF(D25=1,ROUNDUP(E25,0),ROUNDUP(E25*0.8,0)),ROUNDUP(E25,0))))</f>
        <v>0</v>
      </c>
      <c r="I25" s="119">
        <v>4.1666666666666664E-2</v>
      </c>
      <c r="J25" s="123">
        <f t="shared" si="0"/>
        <v>0</v>
      </c>
      <c r="K25" s="341">
        <f t="shared" si="3"/>
        <v>42975.103440022962</v>
      </c>
      <c r="L25" s="341">
        <f t="shared" si="4"/>
        <v>42975.145106689626</v>
      </c>
      <c r="M25" s="5"/>
      <c r="N25" s="5"/>
      <c r="O25" s="5" t="str">
        <f>+CONCATENATE(B25,C25)</f>
        <v>124845</v>
      </c>
      <c r="P25" s="112">
        <f>VLOOKUP(O25,deuda!A$1:K$551,4,0)</f>
        <v>0</v>
      </c>
      <c r="Q25" s="6">
        <f>VLOOKUP(O25,deuda!A$1:H$551,5,0)</f>
        <v>3</v>
      </c>
      <c r="R25" s="6" t="str">
        <f>IF(VLOOKUP(O25,deuda!A$1:H$551,6,0)=0,"",VLOOKUP(O25,deuda!A$1:H$551,6,0))</f>
        <v/>
      </c>
      <c r="S25" s="111" t="str">
        <f>IF((VLOOKUP(O25,deuda!A$1:H$551,7,0))=0,"",VLOOKUP(O25,deuda!A$1:H$551,7,0))</f>
        <v/>
      </c>
      <c r="T25" s="115" t="str">
        <f>IF((VLOOKUP(O25,deuda!A$1:H$551,8,0))=0,"",VLOOKUP(O25,deuda!A$1:H$551,8,0))</f>
        <v/>
      </c>
    </row>
    <row r="26" spans="1:20" ht="27" customHeight="1">
      <c r="A26" s="131">
        <v>9</v>
      </c>
      <c r="B26" s="5">
        <v>1248</v>
      </c>
      <c r="C26" s="223">
        <v>23</v>
      </c>
      <c r="D26" s="179">
        <v>2</v>
      </c>
      <c r="E26" s="20">
        <v>2.3087</v>
      </c>
      <c r="F26" s="85" t="str">
        <f t="shared" si="2"/>
        <v>NO</v>
      </c>
      <c r="G26" s="392" t="s">
        <v>491</v>
      </c>
      <c r="H26" s="575">
        <f>IF(Hijuelas!$G$5="fracción",IF(F26="NO",0,IF(Hijuelas!$G$6="si",IF(D26=1,E26,E26*0.8),E26)),IF(F26="NO",0,IF(Hijuelas!$G$6="si",IF(D26=1,ROUNDUP(E26,0),ROUNDUP(E26*0.8,0)),ROUNDUP(E26,0))))</f>
        <v>0</v>
      </c>
      <c r="I26" s="121"/>
      <c r="J26" s="123">
        <f t="shared" si="0"/>
        <v>0</v>
      </c>
      <c r="K26" s="341">
        <f t="shared" si="3"/>
        <v>42975.145106689626</v>
      </c>
      <c r="L26" s="341">
        <f t="shared" si="4"/>
        <v>42975.145106689626</v>
      </c>
      <c r="M26" s="5"/>
      <c r="N26" s="5"/>
      <c r="O26" s="5" t="str">
        <f t="shared" ref="O26:O38" si="5">+CONCATENATE(B26,C26)</f>
        <v>124823</v>
      </c>
      <c r="P26" s="112">
        <f>VLOOKUP(O26,deuda!A$1:K$551,4,0)</f>
        <v>0</v>
      </c>
      <c r="Q26" s="6">
        <f>VLOOKUP(O26,deuda!A$1:H$551,5,0)</f>
        <v>3</v>
      </c>
      <c r="R26" s="6" t="str">
        <f>IF(VLOOKUP(O26,deuda!A$1:H$551,6,0)=0,"",VLOOKUP(O26,deuda!A$1:H$551,6,0))</f>
        <v/>
      </c>
      <c r="S26" s="111" t="str">
        <f>IF((VLOOKUP(O26,deuda!A$1:H$551,7,0))=0,"",VLOOKUP(O26,deuda!A$1:H$551,7,0))</f>
        <v/>
      </c>
      <c r="T26" s="115" t="str">
        <f>IF((VLOOKUP(O26,deuda!A$1:H$551,8,0))=0,"",VLOOKUP(O26,deuda!A$1:H$551,8,0))</f>
        <v/>
      </c>
    </row>
    <row r="27" spans="1:20" ht="27" customHeight="1">
      <c r="A27" s="131">
        <v>10</v>
      </c>
      <c r="B27" s="5">
        <v>1248</v>
      </c>
      <c r="C27" s="223">
        <v>30</v>
      </c>
      <c r="D27" s="179">
        <v>2</v>
      </c>
      <c r="E27" s="20">
        <v>5.0224000000000002</v>
      </c>
      <c r="F27" s="85" t="str">
        <f t="shared" si="2"/>
        <v>SI</v>
      </c>
      <c r="G27" s="392" t="s">
        <v>492</v>
      </c>
      <c r="H27" s="575">
        <f>IF(Hijuelas!$G$5="fracción",IF(F27="NO",0,IF(Hijuelas!$G$6="si",IF(D27=1,E27,E27*0.8),E27)),IF(F27="NO",0,IF(Hijuelas!$G$6="si",IF(D27=1,ROUNDUP(E27,0),ROUNDUP(E27*0.8,0)),ROUNDUP(E27,0))))</f>
        <v>4.0179200000000002</v>
      </c>
      <c r="I27" s="119">
        <v>0</v>
      </c>
      <c r="J27" s="123">
        <f t="shared" si="0"/>
        <v>3.9343972523934963E-2</v>
      </c>
      <c r="K27" s="341">
        <f t="shared" si="3"/>
        <v>42975.145106689626</v>
      </c>
      <c r="L27" s="341">
        <f t="shared" si="4"/>
        <v>42975.184450662149</v>
      </c>
      <c r="M27" s="5"/>
      <c r="N27" s="5"/>
      <c r="O27" s="5" t="str">
        <f t="shared" si="5"/>
        <v>124830</v>
      </c>
      <c r="P27" s="112">
        <f>VLOOKUP(O27,deuda!A$1:K$551,4,0)</f>
        <v>1</v>
      </c>
      <c r="Q27" s="6">
        <f>VLOOKUP(O27,deuda!A$1:H$551,5,0)</f>
        <v>0</v>
      </c>
      <c r="R27" s="6" t="str">
        <f>IF(VLOOKUP(O27,deuda!A$1:H$551,6,0)=0,"",VLOOKUP(O27,deuda!A$1:H$551,6,0))</f>
        <v/>
      </c>
      <c r="S27" s="111" t="str">
        <f>IF((VLOOKUP(O27,deuda!A$1:H$551,7,0))=0,"",VLOOKUP(O27,deuda!A$1:H$551,7,0))</f>
        <v/>
      </c>
      <c r="T27" s="115" t="str">
        <f>IF((VLOOKUP(O27,deuda!A$1:H$551,8,0))=0,"",VLOOKUP(O27,deuda!A$1:H$551,8,0))</f>
        <v/>
      </c>
    </row>
    <row r="28" spans="1:20" ht="27" customHeight="1">
      <c r="A28" s="131">
        <v>11</v>
      </c>
      <c r="B28" s="5">
        <v>1248</v>
      </c>
      <c r="C28" s="223">
        <v>32</v>
      </c>
      <c r="D28" s="179">
        <v>2</v>
      </c>
      <c r="E28" s="20">
        <v>5.9821999999999997</v>
      </c>
      <c r="F28" s="85" t="str">
        <f t="shared" si="2"/>
        <v>SI</v>
      </c>
      <c r="G28" s="392" t="s">
        <v>493</v>
      </c>
      <c r="H28" s="575">
        <f>IF(Hijuelas!$G$5="fracción",IF(F28="NO",0,IF(Hijuelas!$G$6="si",IF(D28=1,E28,E28*0.8),E28)),IF(F28="NO",0,IF(Hijuelas!$G$6="si",IF(D28=1,ROUNDUP(E28,0),ROUNDUP(E28*0.8,0)),ROUNDUP(E28,0))))</f>
        <v>4.7857599999999998</v>
      </c>
      <c r="I28" s="119">
        <v>0</v>
      </c>
      <c r="J28" s="123">
        <f t="shared" si="0"/>
        <v>4.6862757333681851E-2</v>
      </c>
      <c r="K28" s="341">
        <f t="shared" si="3"/>
        <v>42975.184450662149</v>
      </c>
      <c r="L28" s="341">
        <f t="shared" si="4"/>
        <v>42975.231313419485</v>
      </c>
      <c r="M28" s="5"/>
      <c r="N28" s="5"/>
      <c r="O28" s="5" t="str">
        <f t="shared" si="5"/>
        <v>124832</v>
      </c>
      <c r="P28" s="112">
        <f>VLOOKUP(O28,deuda!A$1:K$551,4,0)</f>
        <v>1</v>
      </c>
      <c r="Q28" s="6">
        <f>VLOOKUP(O28,deuda!A$1:H$551,5,0)</f>
        <v>1</v>
      </c>
      <c r="R28" s="6" t="str">
        <f>IF(VLOOKUP(O28,deuda!A$1:H$551,6,0)=0,"",VLOOKUP(O28,deuda!A$1:H$551,6,0))</f>
        <v/>
      </c>
      <c r="S28" s="111" t="str">
        <f>IF((VLOOKUP(O28,deuda!A$1:H$551,7,0))=0,"",VLOOKUP(O28,deuda!A$1:H$551,7,0))</f>
        <v/>
      </c>
      <c r="T28" s="115" t="str">
        <f>IF((VLOOKUP(O28,deuda!A$1:H$551,8,0))=0,"",VLOOKUP(O28,deuda!A$1:H$551,8,0))</f>
        <v/>
      </c>
    </row>
    <row r="29" spans="1:20" ht="27" customHeight="1">
      <c r="A29" s="409">
        <v>12</v>
      </c>
      <c r="B29" s="83">
        <v>1248</v>
      </c>
      <c r="C29" s="499">
        <v>3</v>
      </c>
      <c r="D29" s="410">
        <v>2</v>
      </c>
      <c r="E29" s="411">
        <v>86.905000000000001</v>
      </c>
      <c r="F29" s="85" t="str">
        <f t="shared" si="2"/>
        <v>SI</v>
      </c>
      <c r="G29" s="412" t="s">
        <v>494</v>
      </c>
      <c r="H29" s="575">
        <f>IF(Hijuelas!$G$5="fracción",IF(F29="NO",0,IF(Hijuelas!$G$6="si",IF(D29=1,E29,E29*0.8),E29)),IF(F29="NO",0,IF(Hijuelas!$G$6="si",IF(D29=1,ROUNDUP(E29,0),ROUNDUP(E29*0.8,0)),ROUNDUP(E29,0))))</f>
        <v>69.524000000000001</v>
      </c>
      <c r="I29" s="500"/>
      <c r="J29" s="123">
        <f t="shared" si="0"/>
        <v>0.68078765773187477</v>
      </c>
      <c r="K29" s="341">
        <f t="shared" si="3"/>
        <v>42975.231313419485</v>
      </c>
      <c r="L29" s="341">
        <f t="shared" si="4"/>
        <v>42975.912101077214</v>
      </c>
      <c r="M29" s="83"/>
      <c r="N29" s="83"/>
      <c r="O29" s="5" t="str">
        <f t="shared" si="5"/>
        <v>12483</v>
      </c>
      <c r="P29" s="112">
        <f>VLOOKUP(O29,deuda!A$1:K$551,4,0)</f>
        <v>1</v>
      </c>
      <c r="Q29" s="6">
        <f>VLOOKUP(O29,deuda!A$1:H$551,5,0)</f>
        <v>0</v>
      </c>
      <c r="R29" s="6" t="str">
        <f>IF(VLOOKUP(O29,deuda!A$1:H$551,6,0)=0,"",VLOOKUP(O29,deuda!A$1:H$551,6,0))</f>
        <v/>
      </c>
      <c r="S29" s="111" t="str">
        <f>IF((VLOOKUP(O29,deuda!A$1:H$551,7,0))=0,"",VLOOKUP(O29,deuda!A$1:H$551,7,0))</f>
        <v/>
      </c>
      <c r="T29" s="115" t="str">
        <f>IF((VLOOKUP(O29,deuda!A$1:H$551,8,0))=0,"",VLOOKUP(O29,deuda!A$1:H$551,8,0))</f>
        <v/>
      </c>
    </row>
    <row r="30" spans="1:20" s="5" customFormat="1" ht="27" customHeight="1">
      <c r="A30" s="131">
        <v>12</v>
      </c>
      <c r="B30" s="5">
        <v>1248</v>
      </c>
      <c r="C30" s="179">
        <v>5</v>
      </c>
      <c r="D30" s="179">
        <v>1</v>
      </c>
      <c r="E30" s="20">
        <v>85</v>
      </c>
      <c r="F30" s="85" t="str">
        <f t="shared" si="2"/>
        <v>SI</v>
      </c>
      <c r="G30" s="392" t="s">
        <v>494</v>
      </c>
      <c r="H30" s="575">
        <f>IF(Hijuelas!$G$5="fracción",IF(F30="NO",0,IF(Hijuelas!$G$6="si",IF(D30=1,E30,E30*0.8),E30)),IF(F30="NO",0,IF(Hijuelas!$G$6="si",IF(D30=1,ROUNDUP(E30,0),ROUNDUP(E30*0.8,0)),ROUNDUP(E30,0))))</f>
        <v>85</v>
      </c>
      <c r="I30" s="498">
        <v>0</v>
      </c>
      <c r="J30" s="528">
        <f t="shared" si="0"/>
        <v>0.832330575156915</v>
      </c>
      <c r="K30" s="341">
        <f t="shared" si="3"/>
        <v>42975.912101077214</v>
      </c>
      <c r="L30" s="341">
        <f t="shared" si="4"/>
        <v>42976.744431652369</v>
      </c>
      <c r="O30" s="5" t="str">
        <f t="shared" si="5"/>
        <v>12485</v>
      </c>
      <c r="P30" s="112">
        <f>VLOOKUP(O30,deuda!A$1:K$551,4,0)</f>
        <v>1</v>
      </c>
      <c r="Q30" s="6">
        <f>VLOOKUP(O30,deuda!A$1:H$551,5,0)</f>
        <v>1</v>
      </c>
      <c r="R30" s="6" t="str">
        <f>IF(VLOOKUP(O30,deuda!A$1:H$551,6,0)=0,"",VLOOKUP(O30,deuda!A$1:H$551,6,0))</f>
        <v/>
      </c>
      <c r="S30" s="111" t="str">
        <f>IF((VLOOKUP(O30,deuda!A$1:H$551,7,0))=0,"",VLOOKUP(O30,deuda!A$1:H$551,7,0))</f>
        <v/>
      </c>
      <c r="T30" s="115" t="str">
        <f>IF((VLOOKUP(O30,deuda!A$1:H$551,8,0))=0,"",VLOOKUP(O30,deuda!A$1:H$551,8,0))</f>
        <v/>
      </c>
    </row>
    <row r="31" spans="1:20" ht="27" customHeight="1">
      <c r="A31" s="259">
        <v>13</v>
      </c>
      <c r="B31" s="47">
        <v>1248</v>
      </c>
      <c r="C31" s="263">
        <v>1</v>
      </c>
      <c r="D31" s="244">
        <v>2</v>
      </c>
      <c r="E31" s="245">
        <v>12.6099</v>
      </c>
      <c r="F31" s="619" t="str">
        <f t="shared" si="2"/>
        <v>SI</v>
      </c>
      <c r="G31" s="632" t="s">
        <v>495</v>
      </c>
      <c r="H31" s="575">
        <f>IF(Hijuelas!$G$5="fracción",IF(F31="NO",0,IF(Hijuelas!$G$6="si",IF(D31=1,E31,E31*0.8),E31)),IF(F31="NO",0,IF(Hijuelas!$G$6="si",IF(D31=1,ROUNDUP(E31,0),ROUNDUP(E31*0.8,0)),ROUNDUP(E31,0))))</f>
        <v>10.08792</v>
      </c>
      <c r="I31" s="122"/>
      <c r="J31" s="123">
        <f t="shared" si="0"/>
        <v>9.878216771455231E-2</v>
      </c>
      <c r="K31" s="341">
        <f t="shared" si="3"/>
        <v>42976.744431652369</v>
      </c>
      <c r="L31" s="341">
        <f t="shared" si="4"/>
        <v>42976.843213820081</v>
      </c>
      <c r="M31" s="47"/>
      <c r="N31" s="47"/>
      <c r="O31" s="5" t="str">
        <f t="shared" si="5"/>
        <v>12481</v>
      </c>
      <c r="P31" s="112">
        <f>VLOOKUP(O31,deuda!A$1:K$551,4,0)</f>
        <v>1</v>
      </c>
      <c r="Q31" s="6">
        <f>VLOOKUP(O31,deuda!A$1:H$551,5,0)</f>
        <v>0</v>
      </c>
      <c r="R31" s="6" t="str">
        <f>IF(VLOOKUP(O31,deuda!A$1:H$551,6,0)=0,"",VLOOKUP(O31,deuda!A$1:H$551,6,0))</f>
        <v/>
      </c>
      <c r="S31" s="111" t="str">
        <f>IF((VLOOKUP(O31,deuda!A$1:H$551,7,0))=0,"",VLOOKUP(O31,deuda!A$1:H$551,7,0))</f>
        <v/>
      </c>
      <c r="T31" s="115" t="str">
        <f>IF((VLOOKUP(O31,deuda!A$1:H$551,8,0))=0,"",VLOOKUP(O31,deuda!A$1:H$551,8,0))</f>
        <v/>
      </c>
    </row>
    <row r="32" spans="1:20" ht="27" customHeight="1">
      <c r="A32" s="131">
        <v>13</v>
      </c>
      <c r="B32" s="5">
        <v>1248</v>
      </c>
      <c r="C32" s="223">
        <v>2</v>
      </c>
      <c r="D32" s="179">
        <v>2</v>
      </c>
      <c r="E32" s="20">
        <v>23.8963</v>
      </c>
      <c r="F32" s="619" t="str">
        <f t="shared" si="2"/>
        <v>SI</v>
      </c>
      <c r="G32" s="611" t="s">
        <v>495</v>
      </c>
      <c r="H32" s="575">
        <f>IF(Hijuelas!$G$5="fracción",IF(F32="NO",0,IF(Hijuelas!$G$6="si",IF(D32=1,E32,E32*0.8),E32)),IF(F32="NO",0,IF(Hijuelas!$G$6="si",IF(D32=1,ROUNDUP(E32,0),ROUNDUP(E32*0.8,0)),ROUNDUP(E32,0))))</f>
        <v>19.117039999999999</v>
      </c>
      <c r="I32" s="121"/>
      <c r="J32" s="123">
        <f t="shared" si="0"/>
        <v>0.18719643409997352</v>
      </c>
      <c r="K32" s="341">
        <f t="shared" si="3"/>
        <v>42976.843213820081</v>
      </c>
      <c r="L32" s="341">
        <f t="shared" si="4"/>
        <v>42977.030410254178</v>
      </c>
      <c r="M32" s="5"/>
      <c r="N32" s="5"/>
      <c r="O32" s="5" t="str">
        <f t="shared" si="5"/>
        <v>12482</v>
      </c>
      <c r="P32" s="112">
        <f>VLOOKUP(O32,deuda!A$1:K$551,4,0)</f>
        <v>1</v>
      </c>
      <c r="Q32" s="6">
        <f>VLOOKUP(O32,deuda!A$1:H$551,5,0)</f>
        <v>0</v>
      </c>
      <c r="R32" s="6" t="str">
        <f>IF(VLOOKUP(O32,deuda!A$1:H$551,6,0)=0,"",VLOOKUP(O32,deuda!A$1:H$551,6,0))</f>
        <v/>
      </c>
      <c r="S32" s="111" t="str">
        <f>IF((VLOOKUP(O32,deuda!A$1:H$551,7,0))=0,"",VLOOKUP(O32,deuda!A$1:H$551,7,0))</f>
        <v/>
      </c>
      <c r="T32" s="115" t="str">
        <f>IF((VLOOKUP(O32,deuda!A$1:H$551,8,0))=0,"",VLOOKUP(O32,deuda!A$1:H$551,8,0))</f>
        <v/>
      </c>
    </row>
    <row r="33" spans="1:20" s="587" customFormat="1" ht="27" customHeight="1">
      <c r="A33" s="534">
        <v>13</v>
      </c>
      <c r="B33" s="402">
        <v>1248</v>
      </c>
      <c r="C33" s="403">
        <v>53</v>
      </c>
      <c r="D33" s="363">
        <v>2</v>
      </c>
      <c r="E33" s="398">
        <v>13.921099999999999</v>
      </c>
      <c r="F33" s="619" t="str">
        <f t="shared" si="2"/>
        <v>SI</v>
      </c>
      <c r="G33" s="633" t="s">
        <v>480</v>
      </c>
      <c r="H33" s="575">
        <f>IF(Hijuelas!$G$5="fracción",IF(F33="NO",0,IF(Hijuelas!$G$6="si",IF(D33=1,E33,E33*0.8),E33)),IF(F33="NO",0,IF(Hijuelas!$G$6="si",IF(D33=1,ROUNDUP(E33,0),ROUNDUP(E33*0.8,0)),ROUNDUP(E33,0))))</f>
        <v>11.13688</v>
      </c>
      <c r="I33" s="581"/>
      <c r="J33" s="528">
        <f>+$J$10/60*H33</f>
        <v>0.10905371453945345</v>
      </c>
      <c r="K33" s="341">
        <f t="shared" si="3"/>
        <v>42977.030410254178</v>
      </c>
      <c r="L33" s="341">
        <f t="shared" si="4"/>
        <v>42977.139463968721</v>
      </c>
      <c r="M33" s="402"/>
      <c r="N33" s="402"/>
      <c r="O33" s="5" t="str">
        <f t="shared" si="5"/>
        <v>124853</v>
      </c>
      <c r="P33" s="112">
        <f>VLOOKUP(O33,deuda!A$1:K$551,4,0)</f>
        <v>1</v>
      </c>
      <c r="Q33" s="6">
        <f>VLOOKUP(O33,deuda!A$1:H$551,5,0)</f>
        <v>0</v>
      </c>
      <c r="R33" s="6" t="str">
        <f>IF(VLOOKUP(O33,deuda!A$1:H$551,6,0)=0,"",VLOOKUP(O33,deuda!A$1:H$551,6,0))</f>
        <v/>
      </c>
      <c r="S33" s="111" t="str">
        <f>IF((VLOOKUP(O33,deuda!A$1:H$551,7,0))=0,"",VLOOKUP(O33,deuda!A$1:H$551,7,0))</f>
        <v/>
      </c>
      <c r="T33" s="115" t="str">
        <f>IF((VLOOKUP(O33,deuda!A$1:H$551,8,0))=0,"",VLOOKUP(O33,deuda!A$1:H$551,8,0))</f>
        <v/>
      </c>
    </row>
    <row r="34" spans="1:20" s="587" customFormat="1" ht="27" customHeight="1">
      <c r="A34" s="534">
        <v>13</v>
      </c>
      <c r="B34" s="402">
        <v>1248</v>
      </c>
      <c r="C34" s="403">
        <v>52</v>
      </c>
      <c r="D34" s="363">
        <v>2</v>
      </c>
      <c r="E34" s="398">
        <v>26.422000000000001</v>
      </c>
      <c r="F34" s="619" t="str">
        <f t="shared" si="2"/>
        <v>SI</v>
      </c>
      <c r="G34" s="633" t="s">
        <v>480</v>
      </c>
      <c r="H34" s="575">
        <f>IF(Hijuelas!$G$5="fracción",IF(F34="NO",0,IF(Hijuelas!$G$6="si",IF(D34=1,E34,E34*0.8),E34)),IF(F34="NO",0,IF(Hijuelas!$G$6="si",IF(D34=1,ROUNDUP(E34,0),ROUNDUP(E34*0.8,0)),ROUNDUP(E34,0))))</f>
        <v>21.137600000000003</v>
      </c>
      <c r="I34" s="581"/>
      <c r="J34" s="528">
        <f>+$J$10/60*H34</f>
        <v>0.20698200900513891</v>
      </c>
      <c r="K34" s="341">
        <f t="shared" si="3"/>
        <v>42977.139463968721</v>
      </c>
      <c r="L34" s="341">
        <f t="shared" si="4"/>
        <v>42977.346445977724</v>
      </c>
      <c r="M34" s="402"/>
      <c r="N34" s="402"/>
      <c r="O34" s="5" t="str">
        <f t="shared" si="5"/>
        <v>124852</v>
      </c>
      <c r="P34" s="112">
        <f>VLOOKUP(O34,deuda!A$1:K$551,4,0)</f>
        <v>1</v>
      </c>
      <c r="Q34" s="6">
        <f>VLOOKUP(O34,deuda!A$1:H$551,5,0)</f>
        <v>0</v>
      </c>
      <c r="R34" s="6" t="str">
        <f>IF(VLOOKUP(O34,deuda!A$1:H$551,6,0)=0,"",VLOOKUP(O34,deuda!A$1:H$551,6,0))</f>
        <v/>
      </c>
      <c r="S34" s="111" t="str">
        <f>IF((VLOOKUP(O34,deuda!A$1:H$551,7,0))=0,"",VLOOKUP(O34,deuda!A$1:H$551,7,0))</f>
        <v/>
      </c>
      <c r="T34" s="115" t="str">
        <f>IF((VLOOKUP(O34,deuda!A$1:H$551,8,0))=0,"",VLOOKUP(O34,deuda!A$1:H$551,8,0))</f>
        <v/>
      </c>
    </row>
    <row r="35" spans="1:20" ht="27" customHeight="1">
      <c r="A35" s="131">
        <v>13</v>
      </c>
      <c r="B35" s="5">
        <v>1248</v>
      </c>
      <c r="C35" s="223">
        <v>15</v>
      </c>
      <c r="D35" s="179">
        <v>2</v>
      </c>
      <c r="E35" s="20">
        <v>36.506100000000004</v>
      </c>
      <c r="F35" s="634" t="str">
        <f t="shared" si="2"/>
        <v>NO</v>
      </c>
      <c r="G35" s="392" t="s">
        <v>445</v>
      </c>
      <c r="H35" s="575">
        <f>IF(Hijuelas!$G$5="fracción",IF(F35="NO",0,IF(Hijuelas!$G$6="si",IF(D35=1,E35,E35*0.8),E35)),IF(F35="NO",0,IF(Hijuelas!$G$6="si",IF(D35=1,ROUNDUP(E35,0),ROUNDUP(E35*0.8,0)),ROUNDUP(E35,0))))</f>
        <v>0</v>
      </c>
      <c r="I35" s="583">
        <v>0</v>
      </c>
      <c r="J35" s="123">
        <f t="shared" si="0"/>
        <v>0</v>
      </c>
      <c r="K35" s="341">
        <f t="shared" si="3"/>
        <v>42977.346445977724</v>
      </c>
      <c r="L35" s="341">
        <f t="shared" si="4"/>
        <v>42977.346445977724</v>
      </c>
      <c r="M35" s="5"/>
      <c r="N35" s="5"/>
      <c r="O35" s="5" t="str">
        <f t="shared" si="5"/>
        <v>124815</v>
      </c>
      <c r="P35" s="112">
        <f>VLOOKUP(O35,deuda!A$1:K$551,4,0)</f>
        <v>0</v>
      </c>
      <c r="Q35" s="6">
        <f>VLOOKUP(O35,deuda!A$1:H$551,5,0)</f>
        <v>3</v>
      </c>
      <c r="R35" s="6" t="str">
        <f>IF(VLOOKUP(O35,deuda!A$1:H$551,6,0)=0,"",VLOOKUP(O35,deuda!A$1:H$551,6,0))</f>
        <v/>
      </c>
      <c r="S35" s="111" t="str">
        <f>IF((VLOOKUP(O35,deuda!A$1:H$551,7,0))=0,"",VLOOKUP(O35,deuda!A$1:H$551,7,0))</f>
        <v/>
      </c>
      <c r="T35" s="115" t="str">
        <f>IF((VLOOKUP(O35,deuda!A$1:H$551,8,0))=0,"",VLOOKUP(O35,deuda!A$1:H$551,8,0))</f>
        <v/>
      </c>
    </row>
    <row r="36" spans="1:20" ht="27" customHeight="1">
      <c r="A36" s="409">
        <v>14</v>
      </c>
      <c r="B36" s="83">
        <v>1248</v>
      </c>
      <c r="C36" s="499">
        <v>16</v>
      </c>
      <c r="D36" s="410">
        <v>2</v>
      </c>
      <c r="E36" s="411">
        <v>23.590900000000001</v>
      </c>
      <c r="F36" s="85" t="str">
        <f t="shared" si="2"/>
        <v>SI</v>
      </c>
      <c r="G36" s="412" t="s">
        <v>496</v>
      </c>
      <c r="H36" s="575">
        <f>IF(Hijuelas!$G$5="fracción",IF(F36="NO",0,IF(Hijuelas!$G$6="si",IF(D36=1,E36,E36*0.8),E36)),IF(F36="NO",0,IF(Hijuelas!$G$6="si",IF(D36=1,ROUNDUP(E36,0),ROUNDUP(E36*0.8,0)),ROUNDUP(E36,0))))</f>
        <v>18.872720000000001</v>
      </c>
      <c r="I36" s="500"/>
      <c r="J36" s="123">
        <f t="shared" si="0"/>
        <v>0.18480402226324016</v>
      </c>
      <c r="K36" s="341">
        <f t="shared" si="3"/>
        <v>42977.346445977724</v>
      </c>
      <c r="L36" s="341">
        <f t="shared" si="4"/>
        <v>42977.531249999985</v>
      </c>
      <c r="M36" s="83"/>
      <c r="N36" s="83"/>
      <c r="O36" s="5" t="str">
        <f t="shared" si="5"/>
        <v>124816</v>
      </c>
      <c r="P36" s="112">
        <f>VLOOKUP(O36,deuda!A$1:K$551,4,0)</f>
        <v>1</v>
      </c>
      <c r="Q36" s="6">
        <f>VLOOKUP(O36,deuda!A$1:H$551,5,0)</f>
        <v>0</v>
      </c>
      <c r="R36" s="6" t="str">
        <f>IF(VLOOKUP(O36,deuda!A$1:H$551,6,0)=0,"",VLOOKUP(O36,deuda!A$1:H$551,6,0))</f>
        <v/>
      </c>
      <c r="S36" s="111" t="str">
        <f>IF((VLOOKUP(O36,deuda!A$1:H$551,7,0))=0,"",VLOOKUP(O36,deuda!A$1:H$551,7,0))</f>
        <v/>
      </c>
      <c r="T36" s="115" t="str">
        <f>IF((VLOOKUP(O36,deuda!A$1:H$551,8,0))=0,"",VLOOKUP(O36,deuda!A$1:H$551,8,0))</f>
        <v/>
      </c>
    </row>
    <row r="37" spans="1:20" s="5" customFormat="1" ht="27" customHeight="1">
      <c r="A37" s="131">
        <v>15</v>
      </c>
      <c r="B37" s="5">
        <v>1248</v>
      </c>
      <c r="C37" s="179">
        <v>14</v>
      </c>
      <c r="D37" s="179">
        <v>2</v>
      </c>
      <c r="E37" s="20">
        <v>3.0261999999999998</v>
      </c>
      <c r="F37" s="85" t="str">
        <f t="shared" si="2"/>
        <v>NO</v>
      </c>
      <c r="G37" s="392" t="s">
        <v>497</v>
      </c>
      <c r="H37" s="575">
        <f>IF(Hijuelas!$G$5="fracción",IF(F37="NO",0,IF(Hijuelas!$G$6="si",IF(D37=1,E37,E37*0.8),E37)),IF(F37="NO",0,IF(Hijuelas!$G$6="si",IF(D37=1,ROUNDUP(E37,0),ROUNDUP(E37*0.8,0)),ROUNDUP(E37,0))))</f>
        <v>0</v>
      </c>
      <c r="I37" s="119">
        <v>0</v>
      </c>
      <c r="J37" s="123">
        <f t="shared" si="0"/>
        <v>0</v>
      </c>
      <c r="K37" s="341">
        <f t="shared" si="3"/>
        <v>42977.531249999985</v>
      </c>
      <c r="L37" s="341">
        <f t="shared" si="4"/>
        <v>42977.531249999985</v>
      </c>
      <c r="O37" s="5" t="str">
        <f t="shared" si="5"/>
        <v>124814</v>
      </c>
      <c r="P37" s="112">
        <f>VLOOKUP(O37,deuda!A$1:K$551,4,0)</f>
        <v>0</v>
      </c>
      <c r="Q37" s="6">
        <f>VLOOKUP(O37,deuda!A$1:H$551,5,0)</f>
        <v>21</v>
      </c>
      <c r="R37" s="6" t="str">
        <f>IF(VLOOKUP(O37,deuda!A$1:H$551,6,0)=0,"",VLOOKUP(O37,deuda!A$1:H$551,6,0))</f>
        <v/>
      </c>
      <c r="S37" s="111" t="str">
        <f>IF((VLOOKUP(O37,deuda!A$1:H$551,7,0))=0,"",VLOOKUP(O37,deuda!A$1:H$551,7,0))</f>
        <v/>
      </c>
      <c r="T37" s="115" t="str">
        <f>IF((VLOOKUP(O37,deuda!A$1:H$551,8,0))=0,"",VLOOKUP(O37,deuda!A$1:H$551,8,0))</f>
        <v/>
      </c>
    </row>
    <row r="38" spans="1:20" s="5" customFormat="1" ht="27" customHeight="1">
      <c r="A38" s="131">
        <v>16</v>
      </c>
      <c r="B38" s="5">
        <v>1248</v>
      </c>
      <c r="C38" s="179">
        <v>21</v>
      </c>
      <c r="D38" s="179">
        <v>2</v>
      </c>
      <c r="E38" s="20">
        <v>8.0381999999999998</v>
      </c>
      <c r="F38" s="85" t="str">
        <f t="shared" si="2"/>
        <v>NO</v>
      </c>
      <c r="G38" s="392" t="s">
        <v>498</v>
      </c>
      <c r="H38" s="575">
        <f>IF(Hijuelas!$G$5="fracción",IF(F38="NO",0,IF(Hijuelas!$G$6="si",IF(D38=1,E38,E38*0.8),E38)),IF(F38="NO",0,IF(Hijuelas!$G$6="si",IF(D38=1,ROUNDUP(E38,0),ROUNDUP(E38*0.8,0)),ROUNDUP(E38,0))))</f>
        <v>0</v>
      </c>
      <c r="I38" s="121"/>
      <c r="J38" s="123">
        <f t="shared" si="0"/>
        <v>0</v>
      </c>
      <c r="K38" s="341">
        <f t="shared" si="3"/>
        <v>42977.531249999985</v>
      </c>
      <c r="L38" s="341">
        <f t="shared" si="4"/>
        <v>42977.531249999985</v>
      </c>
      <c r="O38" s="5" t="str">
        <f t="shared" si="5"/>
        <v>124821</v>
      </c>
      <c r="P38" s="112">
        <f>VLOOKUP(O38,deuda!A$1:K$551,4,0)</f>
        <v>0</v>
      </c>
      <c r="Q38" s="6">
        <f>VLOOKUP(O38,deuda!A$1:H$551,5,0)</f>
        <v>207</v>
      </c>
      <c r="R38" s="6" t="str">
        <f>IF(VLOOKUP(O38,deuda!A$1:H$551,6,0)=0,"",VLOOKUP(O38,deuda!A$1:H$551,6,0))</f>
        <v/>
      </c>
      <c r="S38" s="111" t="str">
        <f>IF((VLOOKUP(O38,deuda!A$1:H$551,7,0))=0,"",VLOOKUP(O38,deuda!A$1:H$551,7,0))</f>
        <v/>
      </c>
      <c r="T38" s="115" t="str">
        <f>IF((VLOOKUP(O38,deuda!A$1:H$551,8,0))=0,"",VLOOKUP(O38,deuda!A$1:H$551,8,0))</f>
        <v/>
      </c>
    </row>
    <row r="39" spans="1:20" ht="27" customHeight="1">
      <c r="E39" s="482">
        <f>SUM(E13:E38)</f>
        <v>522.09159999999997</v>
      </c>
      <c r="F39" s="299"/>
      <c r="G39" s="290"/>
      <c r="H39" s="482">
        <f>SUM(H13:H38)</f>
        <v>373.38680000000005</v>
      </c>
      <c r="I39" s="472">
        <f>SUM(H39)</f>
        <v>373.38680000000005</v>
      </c>
      <c r="J39" s="472">
        <f>SUM(J13:J38)</f>
        <v>3.6562500000000004</v>
      </c>
    </row>
    <row r="40" spans="1:20">
      <c r="J40" t="s">
        <v>477</v>
      </c>
    </row>
    <row r="43" spans="1:20">
      <c r="C43" s="234"/>
    </row>
  </sheetData>
  <mergeCells count="6">
    <mergeCell ref="B2:G2"/>
    <mergeCell ref="A10:B10"/>
    <mergeCell ref="A5:B5"/>
    <mergeCell ref="C5:E5"/>
    <mergeCell ref="A6:B6"/>
    <mergeCell ref="C6:E6"/>
  </mergeCells>
  <phoneticPr fontId="0" type="noConversion"/>
  <dataValidations xWindow="665" yWindow="415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38" xr:uid="{00000000-0002-0000-1F00-000000000000}">
      <formula1>2</formula1>
      <formula2>2</formula2>
    </dataValidation>
  </dataValidations>
  <pageMargins left="0.39370078740157483" right="0.75" top="0.39370078740157483" bottom="0.98425196850393704" header="0" footer="0"/>
  <pageSetup paperSize="9" scale="77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8"/>
  <dimension ref="A1:H288"/>
  <sheetViews>
    <sheetView view="pageBreakPreview" zoomScale="60" zoomScaleNormal="60" workbookViewId="0" xr3:uid="{CAA03FB3-9A95-5D50-9E3C-B000AFB1AE50}">
      <selection activeCell="K23" sqref="K23"/>
    </sheetView>
  </sheetViews>
  <sheetFormatPr defaultRowHeight="12.75"/>
  <cols>
    <col min="1" max="2" width="11.42578125" customWidth="1"/>
    <col min="3" max="3" width="11.7109375" bestFit="1" customWidth="1"/>
    <col min="4" max="4" width="22.28515625" bestFit="1" customWidth="1"/>
    <col min="5" max="5" width="11.42578125" customWidth="1"/>
    <col min="6" max="7" width="11.7109375" bestFit="1" customWidth="1"/>
    <col min="8" max="8" width="28.85546875" customWidth="1"/>
    <col min="9" max="256" width="11.42578125" customWidth="1"/>
  </cols>
  <sheetData>
    <row r="1" spans="1:8">
      <c r="A1" s="86"/>
      <c r="B1" s="87"/>
      <c r="C1" s="87"/>
      <c r="D1" s="87"/>
      <c r="E1" s="87"/>
      <c r="F1" s="87"/>
      <c r="G1" s="87"/>
      <c r="H1" s="88"/>
    </row>
    <row r="2" spans="1:8">
      <c r="A2" s="75"/>
      <c r="B2" s="109" t="s">
        <v>82</v>
      </c>
      <c r="C2" s="76"/>
      <c r="D2" s="76"/>
      <c r="E2" s="76"/>
      <c r="F2" s="76"/>
      <c r="G2" s="76"/>
      <c r="H2" s="89"/>
    </row>
    <row r="3" spans="1:8">
      <c r="A3" s="75"/>
      <c r="B3" s="76"/>
      <c r="C3" s="76"/>
      <c r="D3" s="76"/>
      <c r="E3" s="76"/>
      <c r="F3" s="76"/>
      <c r="G3" s="76"/>
      <c r="H3" s="89"/>
    </row>
    <row r="4" spans="1:8">
      <c r="A4" s="75"/>
      <c r="B4" s="76" t="s">
        <v>182</v>
      </c>
      <c r="C4" s="76" t="str">
        <f>VLOOKUP(G5,'13_1'!$A$12:$G$39,7,0)</f>
        <v>MAREF S.A.</v>
      </c>
      <c r="D4" s="76"/>
      <c r="E4" s="76"/>
      <c r="F4" s="76"/>
      <c r="G4" s="100" t="s">
        <v>134</v>
      </c>
      <c r="H4" s="89"/>
    </row>
    <row r="5" spans="1:8">
      <c r="A5" s="75"/>
      <c r="B5" s="76" t="s">
        <v>91</v>
      </c>
      <c r="C5" s="76" t="str">
        <f>+'13_1'!$H$2</f>
        <v>Hijuela El Confín</v>
      </c>
      <c r="D5" s="76"/>
      <c r="E5" s="76"/>
      <c r="F5" s="76"/>
      <c r="G5" s="100">
        <v>1</v>
      </c>
      <c r="H5" s="89"/>
    </row>
    <row r="6" spans="1:8">
      <c r="A6" s="75"/>
      <c r="B6" s="76"/>
      <c r="C6" s="76"/>
      <c r="D6" s="76"/>
      <c r="E6" s="76"/>
      <c r="F6" s="76"/>
      <c r="G6" s="76"/>
      <c r="H6" s="89"/>
    </row>
    <row r="7" spans="1:8">
      <c r="A7" s="75"/>
      <c r="B7" s="635" t="s">
        <v>183</v>
      </c>
      <c r="C7" s="331">
        <f>VLOOKUP(G5,'13_1'!$A$12:$B$38,2,0)</f>
        <v>1248</v>
      </c>
      <c r="D7" s="76"/>
      <c r="E7" s="635" t="s">
        <v>184</v>
      </c>
      <c r="F7" s="397">
        <f>DSUM('13_1'!A$12:J$38,'13_1'!$J$12,G4:G5)</f>
        <v>0.70056774904736863</v>
      </c>
      <c r="G7" s="76"/>
      <c r="H7" s="89"/>
    </row>
    <row r="8" spans="1:8">
      <c r="A8" s="75"/>
      <c r="B8" s="635" t="s">
        <v>185</v>
      </c>
      <c r="C8" s="374" t="s">
        <v>499</v>
      </c>
      <c r="D8" s="76"/>
      <c r="E8" s="635" t="s">
        <v>186</v>
      </c>
      <c r="F8" s="368" t="str">
        <f>IF(VLOOKUP(G5,'13_1'!$A$12:$D$38,4,0)=2,"Eventual 80%","Definitivo 100%")</f>
        <v>Eventual 80%</v>
      </c>
      <c r="G8" s="76"/>
      <c r="H8" s="89"/>
    </row>
    <row r="9" spans="1:8">
      <c r="A9" s="75"/>
      <c r="B9" s="635" t="s">
        <v>187</v>
      </c>
      <c r="C9" s="375">
        <f>DSUM('13_1'!$A$12:$H$38,'13_1'!$H$12,G4:G5)</f>
        <v>71.544000000000011</v>
      </c>
      <c r="D9" s="76"/>
      <c r="E9" s="635" t="s">
        <v>188</v>
      </c>
      <c r="F9" s="369" t="str">
        <f>+Hijuelas!$G$5</f>
        <v>fracción</v>
      </c>
      <c r="G9" s="106"/>
      <c r="H9" s="89"/>
    </row>
    <row r="10" spans="1:8" ht="15.75">
      <c r="A10" s="75"/>
      <c r="B10" s="76"/>
      <c r="C10" s="635" t="s">
        <v>189</v>
      </c>
      <c r="D10" s="107">
        <f>DMIN('13_1'!A$12:K$38,'13_1'!$K$12,G4:G5)</f>
        <v>42973.833333333328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103"/>
      <c r="H10" s="89"/>
    </row>
    <row r="11" spans="1:8" ht="15.75">
      <c r="A11" s="75"/>
      <c r="B11" s="76"/>
      <c r="C11" s="635" t="s">
        <v>190</v>
      </c>
      <c r="D11" s="107">
        <f>DMAX('13_1'!A$12:L$39,'13_1'!$L$12,G4:G5)</f>
        <v>42974.533901082374</v>
      </c>
      <c r="E11" s="127" t="str">
        <f>IF(F11=1,"Domingo",IF(F11=2,"Lunes",IF(F11=3,"Martes",IF(F11=4,"Miercoles",IF(F11=5,"Jueves",IF(F11=6,"Viernes",IF(F11=7,"Sábado",0)))))))</f>
        <v>Domingo</v>
      </c>
      <c r="F11" s="128">
        <f>WEEKDAY(D11)</f>
        <v>1</v>
      </c>
      <c r="G11" s="103"/>
      <c r="H11" s="89"/>
    </row>
    <row r="12" spans="1:8">
      <c r="A12" s="75"/>
      <c r="B12" s="76"/>
      <c r="C12" s="76"/>
      <c r="D12" s="76"/>
      <c r="E12" s="76"/>
      <c r="F12" s="106"/>
      <c r="G12" s="106"/>
      <c r="H12" s="89"/>
    </row>
    <row r="13" spans="1:8">
      <c r="A13" s="75"/>
      <c r="B13" s="331" t="str">
        <f>+Mensajes!$B$7</f>
        <v>PARA CUALQUIER MODIFICACION EN EL CUADRO DE TURNO COMUNIQUESE CON SU TOMERO</v>
      </c>
      <c r="C13" s="279"/>
      <c r="D13" s="76"/>
      <c r="E13" s="76"/>
      <c r="F13" s="76"/>
      <c r="G13" s="76"/>
      <c r="H13" s="89"/>
    </row>
    <row r="14" spans="1:8">
      <c r="A14" s="75"/>
      <c r="B14" s="332" t="str">
        <f>+Mensajes!$B$12</f>
        <v>Recuerde que con 1 (una) cuotas vigentes impagas se restringirá el servicio.</v>
      </c>
      <c r="C14" s="280"/>
      <c r="D14" s="76"/>
      <c r="E14" s="76"/>
      <c r="F14" s="76"/>
      <c r="G14" s="76"/>
      <c r="H14" s="89"/>
    </row>
    <row r="15" spans="1:8">
      <c r="A15" s="75"/>
      <c r="B15" s="108"/>
      <c r="C15" s="76"/>
      <c r="D15" s="76"/>
      <c r="E15" s="76"/>
      <c r="F15" s="76"/>
      <c r="G15" s="76"/>
      <c r="H15" s="89"/>
    </row>
    <row r="16" spans="1:8">
      <c r="A16" s="101"/>
      <c r="B16" s="126" t="str">
        <f>IF(DSUM('13_1'!$A$12:$P$89,16,G4:G5)=COUNTIF('13_1'!$A$12:$A$89,G5),"","Regularice su Deuda")</f>
        <v>Regularice su Deuda</v>
      </c>
      <c r="C16" s="77"/>
      <c r="D16" s="77"/>
      <c r="E16" s="77"/>
      <c r="F16" s="77"/>
      <c r="G16" s="77"/>
      <c r="H16" s="78"/>
    </row>
    <row r="18" spans="1:8">
      <c r="A18" s="86"/>
      <c r="B18" s="87"/>
      <c r="C18" s="87"/>
      <c r="D18" s="87"/>
      <c r="E18" s="87"/>
      <c r="F18" s="87"/>
      <c r="G18" s="87"/>
      <c r="H18" s="88"/>
    </row>
    <row r="19" spans="1:8">
      <c r="A19" s="75"/>
      <c r="B19" s="109" t="s">
        <v>82</v>
      </c>
      <c r="C19" s="76"/>
      <c r="D19" s="76"/>
      <c r="E19" s="76"/>
      <c r="F19" s="76"/>
      <c r="G19" s="76"/>
      <c r="H19" s="89"/>
    </row>
    <row r="20" spans="1:8">
      <c r="A20" s="75"/>
      <c r="B20" s="76"/>
      <c r="C20" s="76"/>
      <c r="D20" s="76"/>
      <c r="E20" s="76"/>
      <c r="F20" s="76"/>
      <c r="G20" s="76"/>
      <c r="H20" s="89"/>
    </row>
    <row r="21" spans="1:8">
      <c r="A21" s="75"/>
      <c r="B21" s="76" t="s">
        <v>182</v>
      </c>
      <c r="C21" s="76" t="str">
        <f>VLOOKUP(G22,'13_1'!$A$12:$G$39,7,0)</f>
        <v>SARDI, ALEJANDRO JUAN Y SARDI, ALDO MARIO</v>
      </c>
      <c r="D21" s="76"/>
      <c r="E21" s="76"/>
      <c r="F21" s="76"/>
      <c r="G21" s="100" t="s">
        <v>134</v>
      </c>
      <c r="H21" s="89"/>
    </row>
    <row r="22" spans="1:8">
      <c r="A22" s="75"/>
      <c r="B22" s="76" t="s">
        <v>91</v>
      </c>
      <c r="C22" s="76" t="str">
        <f>+'13_1'!$H$2</f>
        <v>Hijuela El Confín</v>
      </c>
      <c r="D22" s="76"/>
      <c r="E22" s="76"/>
      <c r="F22" s="76"/>
      <c r="G22" s="100">
        <v>2</v>
      </c>
      <c r="H22" s="89"/>
    </row>
    <row r="23" spans="1:8">
      <c r="A23" s="75"/>
      <c r="B23" s="76"/>
      <c r="C23" s="76"/>
      <c r="D23" s="76"/>
      <c r="E23" s="76"/>
      <c r="F23" s="76"/>
      <c r="G23" s="76"/>
      <c r="H23" s="89"/>
    </row>
    <row r="24" spans="1:8">
      <c r="A24" s="75"/>
      <c r="B24" s="635" t="s">
        <v>183</v>
      </c>
      <c r="C24" s="331">
        <f>VLOOKUP(G22,'13_1'!$A$12:$B$38,2,0)</f>
        <v>1248</v>
      </c>
      <c r="D24" s="76"/>
      <c r="E24" s="635" t="s">
        <v>184</v>
      </c>
      <c r="F24" s="397">
        <f>DSUM('13_1'!A$12:J$38,'13_1'!$J$12,G21:G22)</f>
        <v>0.3345616395651908</v>
      </c>
      <c r="G24" s="76"/>
      <c r="H24" s="89"/>
    </row>
    <row r="25" spans="1:8">
      <c r="A25" s="75"/>
      <c r="B25" s="635" t="s">
        <v>185</v>
      </c>
      <c r="C25" s="374" t="s">
        <v>500</v>
      </c>
      <c r="D25" s="76"/>
      <c r="E25" s="635" t="s">
        <v>186</v>
      </c>
      <c r="F25" s="368" t="str">
        <f>IF(VLOOKUP(G22,'13_1'!$A$12:$D$38,4,0)=2,"Eventual 80%","Definitivo 100%")</f>
        <v>Eventual 80%</v>
      </c>
      <c r="G25" s="76"/>
      <c r="H25" s="89"/>
    </row>
    <row r="26" spans="1:8">
      <c r="A26" s="75"/>
      <c r="B26" s="635" t="s">
        <v>187</v>
      </c>
      <c r="C26" s="375">
        <f>DSUM('13_1'!$A$12:$H$38,'13_1'!$H$12,G21:G22)</f>
        <v>34.166400000000003</v>
      </c>
      <c r="D26" s="76"/>
      <c r="E26" s="635" t="s">
        <v>188</v>
      </c>
      <c r="F26" s="369" t="str">
        <f>+Hijuelas!$G$5</f>
        <v>fracción</v>
      </c>
      <c r="G26" s="106"/>
      <c r="H26" s="89"/>
    </row>
    <row r="27" spans="1:8" ht="15.75">
      <c r="A27" s="75"/>
      <c r="B27" s="76"/>
      <c r="C27" s="635" t="s">
        <v>189</v>
      </c>
      <c r="D27" s="107">
        <f>DMIN('13_1'!A$12:K$38,'13_1'!$K$12,G21:G22)</f>
        <v>42974.533901082374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103"/>
      <c r="H27" s="89"/>
    </row>
    <row r="28" spans="1:8" ht="15.75">
      <c r="A28" s="75"/>
      <c r="B28" s="76"/>
      <c r="C28" s="635" t="s">
        <v>190</v>
      </c>
      <c r="D28" s="107">
        <f>DMAX('13_1'!A$12:L$39,'13_1'!$L$12,G21:G22)</f>
        <v>42974.868462721941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103"/>
      <c r="H28" s="89"/>
    </row>
    <row r="29" spans="1:8">
      <c r="A29" s="75"/>
      <c r="B29" s="76"/>
      <c r="C29" s="76"/>
      <c r="D29" s="76"/>
      <c r="E29" s="76"/>
      <c r="F29" s="106"/>
      <c r="G29" s="106"/>
      <c r="H29" s="89"/>
    </row>
    <row r="30" spans="1:8">
      <c r="A30" s="75"/>
      <c r="B30" s="331" t="str">
        <f>+Mensajes!$B$7</f>
        <v>PARA CUALQUIER MODIFICACION EN EL CUADRO DE TURNO COMUNIQUESE CON SU TOMERO</v>
      </c>
      <c r="C30" s="279"/>
      <c r="D30" s="76"/>
      <c r="E30" s="76"/>
      <c r="F30" s="76"/>
      <c r="G30" s="76"/>
      <c r="H30" s="89"/>
    </row>
    <row r="31" spans="1:8">
      <c r="A31" s="75"/>
      <c r="B31" s="332" t="str">
        <f>+Mensajes!$B$12</f>
        <v>Recuerde que con 1 (una) cuotas vigentes impagas se restringirá el servicio.</v>
      </c>
      <c r="C31" s="280"/>
      <c r="D31" s="76"/>
      <c r="E31" s="76"/>
      <c r="F31" s="76"/>
      <c r="G31" s="76"/>
      <c r="H31" s="89"/>
    </row>
    <row r="32" spans="1:8">
      <c r="A32" s="75"/>
      <c r="B32" s="108"/>
      <c r="C32" s="76"/>
      <c r="D32" s="76"/>
      <c r="E32" s="76"/>
      <c r="F32" s="76"/>
      <c r="G32" s="76"/>
      <c r="H32" s="89"/>
    </row>
    <row r="33" spans="1:8">
      <c r="A33" s="101"/>
      <c r="B33" s="126" t="str">
        <f>IF(DSUM('13_1'!$A$12:$P$89,16,G21:G22)=COUNTIF('13_1'!$A$12:$A$89,G22),"","Regularice su Deuda")</f>
        <v/>
      </c>
      <c r="C33" s="77"/>
      <c r="D33" s="77"/>
      <c r="E33" s="77"/>
      <c r="F33" s="77"/>
      <c r="G33" s="77"/>
      <c r="H33" s="78"/>
    </row>
    <row r="35" spans="1:8">
      <c r="A35" s="86"/>
      <c r="B35" s="87"/>
      <c r="C35" s="87"/>
      <c r="D35" s="87"/>
      <c r="E35" s="87"/>
      <c r="F35" s="87"/>
      <c r="G35" s="87"/>
      <c r="H35" s="88"/>
    </row>
    <row r="36" spans="1:8">
      <c r="A36" s="75"/>
      <c r="B36" s="109" t="s">
        <v>82</v>
      </c>
      <c r="C36" s="76"/>
      <c r="D36" s="76"/>
      <c r="E36" s="76"/>
      <c r="F36" s="76"/>
      <c r="G36" s="76"/>
      <c r="H36" s="89"/>
    </row>
    <row r="37" spans="1:8">
      <c r="A37" s="75"/>
      <c r="B37" s="76"/>
      <c r="C37" s="76"/>
      <c r="D37" s="76"/>
      <c r="E37" s="76"/>
      <c r="F37" s="76"/>
      <c r="G37" s="76"/>
      <c r="H37" s="89"/>
    </row>
    <row r="38" spans="1:8">
      <c r="A38" s="75"/>
      <c r="B38" s="76" t="s">
        <v>182</v>
      </c>
      <c r="C38" s="76" t="str">
        <f>VLOOKUP(G39,'13_1'!$A$12:$G$39,7,0)</f>
        <v>CICCONI, ALFREDO; CICCONI, JUAN Y CICCONI, DOMINGO JUAN</v>
      </c>
      <c r="D38" s="76"/>
      <c r="E38" s="76"/>
      <c r="F38" s="76"/>
      <c r="G38" s="100" t="s">
        <v>134</v>
      </c>
      <c r="H38" s="89"/>
    </row>
    <row r="39" spans="1:8">
      <c r="A39" s="75"/>
      <c r="B39" s="76" t="s">
        <v>91</v>
      </c>
      <c r="C39" s="76" t="str">
        <f>+'13_1'!$H$2</f>
        <v>Hijuela El Confín</v>
      </c>
      <c r="D39" s="76"/>
      <c r="E39" s="76"/>
      <c r="F39" s="76"/>
      <c r="G39" s="100">
        <v>3</v>
      </c>
      <c r="H39" s="89"/>
    </row>
    <row r="40" spans="1:8">
      <c r="A40" s="75"/>
      <c r="B40" s="76"/>
      <c r="C40" s="76"/>
      <c r="D40" s="76"/>
      <c r="E40" s="76"/>
      <c r="F40" s="76"/>
      <c r="G40" s="76"/>
      <c r="H40" s="89"/>
    </row>
    <row r="41" spans="1:8">
      <c r="A41" s="75"/>
      <c r="B41" s="635" t="s">
        <v>183</v>
      </c>
      <c r="C41" s="331">
        <f>VLOOKUP(G39,'13_1'!$A$12:$B$38,2,0)</f>
        <v>1248</v>
      </c>
      <c r="D41" s="76"/>
      <c r="E41" s="635" t="s">
        <v>184</v>
      </c>
      <c r="F41" s="397">
        <f>DSUM('13_1'!A$12:J$38,'13_1'!$J$12,G38:G39)</f>
        <v>0.15667399061777224</v>
      </c>
      <c r="G41" s="76"/>
      <c r="H41" s="89"/>
    </row>
    <row r="42" spans="1:8">
      <c r="A42" s="75"/>
      <c r="B42" s="635" t="s">
        <v>185</v>
      </c>
      <c r="C42" s="374">
        <v>38</v>
      </c>
      <c r="D42" s="76"/>
      <c r="E42" s="635" t="s">
        <v>186</v>
      </c>
      <c r="F42" s="368" t="str">
        <f>IF(VLOOKUP(G39,'13_1'!$A$12:$D$38,4,0)=2,"Eventual 80%","Definitivo 100%")</f>
        <v>Eventual 80%</v>
      </c>
      <c r="G42" s="76"/>
      <c r="H42" s="89"/>
    </row>
    <row r="43" spans="1:8">
      <c r="A43" s="75"/>
      <c r="B43" s="635" t="s">
        <v>187</v>
      </c>
      <c r="C43" s="375">
        <f>DSUM('13_1'!$A$12:$H$38,'13_1'!$H$12,G38:G39)</f>
        <v>16</v>
      </c>
      <c r="D43" s="76"/>
      <c r="E43" s="635" t="s">
        <v>188</v>
      </c>
      <c r="F43" s="369" t="str">
        <f>+Hijuelas!$G$5</f>
        <v>fracción</v>
      </c>
      <c r="G43" s="106"/>
      <c r="H43" s="89"/>
    </row>
    <row r="44" spans="1:8" ht="15.75">
      <c r="A44" s="75"/>
      <c r="B44" s="76"/>
      <c r="C44" s="635" t="s">
        <v>189</v>
      </c>
      <c r="D44" s="107">
        <f>DMIN('13_1'!A$12:K$38,'13_1'!$K$12,G38:G39)</f>
        <v>42974.868462721941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103"/>
      <c r="H44" s="89"/>
    </row>
    <row r="45" spans="1:8" ht="15.75">
      <c r="A45" s="75"/>
      <c r="B45" s="76"/>
      <c r="C45" s="635" t="s">
        <v>190</v>
      </c>
      <c r="D45" s="107">
        <f>DMAX('13_1'!A$12:L$39,'13_1'!$L$12,G38:G39)</f>
        <v>42975.02513671256</v>
      </c>
      <c r="E45" s="127" t="str">
        <f>IF(F45=1,"Domingo",IF(F45=2,"Lunes",IF(F45=3,"Martes",IF(F45=4,"Miercoles",IF(F45=5,"Jueves",IF(F45=6,"Viernes",IF(F45=7,"Sábado",0)))))))</f>
        <v>Lunes</v>
      </c>
      <c r="F45" s="128">
        <f>WEEKDAY(D45)</f>
        <v>2</v>
      </c>
      <c r="G45" s="103"/>
      <c r="H45" s="89"/>
    </row>
    <row r="46" spans="1:8">
      <c r="A46" s="75"/>
      <c r="B46" s="76"/>
      <c r="C46" s="76"/>
      <c r="D46" s="76"/>
      <c r="E46" s="76"/>
      <c r="F46" s="106"/>
      <c r="G46" s="106"/>
      <c r="H46" s="89"/>
    </row>
    <row r="47" spans="1:8">
      <c r="A47" s="75"/>
      <c r="B47" s="331" t="str">
        <f>+Mensajes!$B$7</f>
        <v>PARA CUALQUIER MODIFICACION EN EL CUADRO DE TURNO COMUNIQUESE CON SU TOMERO</v>
      </c>
      <c r="C47" s="279"/>
      <c r="D47" s="76"/>
      <c r="E47" s="76"/>
      <c r="F47" s="76"/>
      <c r="G47" s="76"/>
      <c r="H47" s="89"/>
    </row>
    <row r="48" spans="1:8">
      <c r="A48" s="75"/>
      <c r="B48" s="332" t="str">
        <f>+Mensajes!$B$12</f>
        <v>Recuerde que con 1 (una) cuotas vigentes impagas se restringirá el servicio.</v>
      </c>
      <c r="C48" s="280"/>
      <c r="D48" s="76"/>
      <c r="E48" s="76"/>
      <c r="F48" s="76"/>
      <c r="G48" s="76"/>
      <c r="H48" s="89"/>
    </row>
    <row r="49" spans="1:8">
      <c r="A49" s="75"/>
      <c r="B49" s="108"/>
      <c r="C49" s="76"/>
      <c r="D49" s="76"/>
      <c r="E49" s="76"/>
      <c r="F49" s="76"/>
      <c r="G49" s="76"/>
      <c r="H49" s="89"/>
    </row>
    <row r="50" spans="1:8">
      <c r="A50" s="101"/>
      <c r="B50" s="126" t="str">
        <f>IF(DSUM('13_1'!$A$12:$P$89,16,G38:G39)=COUNTIF('13_1'!$A$12:$A$89,G39),"","Regularice su Deuda")</f>
        <v/>
      </c>
      <c r="C50" s="77"/>
      <c r="D50" s="77"/>
      <c r="E50" s="77"/>
      <c r="F50" s="77"/>
      <c r="G50" s="77"/>
      <c r="H50" s="78"/>
    </row>
    <row r="52" spans="1:8">
      <c r="A52" s="86"/>
      <c r="B52" s="87"/>
      <c r="C52" s="87"/>
      <c r="D52" s="87"/>
      <c r="E52" s="87"/>
      <c r="F52" s="87"/>
      <c r="G52" s="87"/>
      <c r="H52" s="88"/>
    </row>
    <row r="53" spans="1:8">
      <c r="A53" s="75"/>
      <c r="B53" s="109" t="s">
        <v>82</v>
      </c>
      <c r="C53" s="76"/>
      <c r="D53" s="76"/>
      <c r="E53" s="76"/>
      <c r="F53" s="76"/>
      <c r="G53" s="76"/>
      <c r="H53" s="89"/>
    </row>
    <row r="54" spans="1:8">
      <c r="A54" s="75"/>
      <c r="B54" s="76"/>
      <c r="C54" s="76"/>
      <c r="D54" s="76"/>
      <c r="E54" s="76"/>
      <c r="F54" s="76"/>
      <c r="G54" s="76"/>
      <c r="H54" s="89"/>
    </row>
    <row r="55" spans="1:8">
      <c r="A55" s="75"/>
      <c r="B55" s="76" t="s">
        <v>182</v>
      </c>
      <c r="C55" s="76" t="str">
        <f>VLOOKUP(G56,'13_1'!$A$12:$G$39,7,0)</f>
        <v>SEGURA, SALVADOR IGNACIO</v>
      </c>
      <c r="D55" s="76"/>
      <c r="E55" s="76"/>
      <c r="F55" s="76"/>
      <c r="G55" s="100" t="s">
        <v>134</v>
      </c>
      <c r="H55" s="89"/>
    </row>
    <row r="56" spans="1:8">
      <c r="A56" s="75"/>
      <c r="B56" s="76" t="s">
        <v>91</v>
      </c>
      <c r="C56" s="76" t="str">
        <f>+'13_1'!$H$2</f>
        <v>Hijuela El Confín</v>
      </c>
      <c r="D56" s="76"/>
      <c r="E56" s="76"/>
      <c r="F56" s="76"/>
      <c r="G56" s="100">
        <v>4</v>
      </c>
      <c r="H56" s="89"/>
    </row>
    <row r="57" spans="1:8">
      <c r="A57" s="75"/>
      <c r="B57" s="76"/>
      <c r="C57" s="76"/>
      <c r="D57" s="76"/>
      <c r="E57" s="76"/>
      <c r="F57" s="76"/>
      <c r="G57" s="76"/>
      <c r="H57" s="89"/>
    </row>
    <row r="58" spans="1:8">
      <c r="A58" s="75"/>
      <c r="B58" s="635" t="s">
        <v>183</v>
      </c>
      <c r="C58" s="331">
        <f>VLOOKUP(G56,'13_1'!$A$12:$B$38,2,0)</f>
        <v>1248</v>
      </c>
      <c r="D58" s="76"/>
      <c r="E58" s="635" t="s">
        <v>184</v>
      </c>
      <c r="F58" s="397">
        <f>DSUM('13_1'!A$12:J$38,'13_1'!$J$12,G55:G56)</f>
        <v>0</v>
      </c>
      <c r="G58" s="76"/>
      <c r="H58" s="89"/>
    </row>
    <row r="59" spans="1:8">
      <c r="A59" s="75"/>
      <c r="B59" s="635" t="s">
        <v>185</v>
      </c>
      <c r="C59" s="374">
        <v>46</v>
      </c>
      <c r="D59" s="76"/>
      <c r="E59" s="635" t="s">
        <v>186</v>
      </c>
      <c r="F59" s="368" t="str">
        <f>IF(VLOOKUP(G56,'13_1'!$A$12:$D$38,4,0)=2,"Eventual 80%","Definitivo 100%")</f>
        <v>Eventual 80%</v>
      </c>
      <c r="G59" s="76"/>
      <c r="H59" s="89"/>
    </row>
    <row r="60" spans="1:8">
      <c r="A60" s="75"/>
      <c r="B60" s="635" t="s">
        <v>187</v>
      </c>
      <c r="C60" s="375">
        <f>DSUM('13_1'!$A$12:$H$38,'13_1'!$H$12,G55:G56)</f>
        <v>0</v>
      </c>
      <c r="D60" s="76"/>
      <c r="E60" s="635" t="s">
        <v>188</v>
      </c>
      <c r="F60" s="369" t="str">
        <f>+Hijuelas!$G$5</f>
        <v>fracción</v>
      </c>
      <c r="G60" s="106"/>
      <c r="H60" s="89"/>
    </row>
    <row r="61" spans="1:8" ht="15.75">
      <c r="A61" s="75"/>
      <c r="B61" s="76"/>
      <c r="C61" s="635" t="s">
        <v>189</v>
      </c>
      <c r="D61" s="107">
        <f>DMIN('13_1'!A$12:K$38,'13_1'!$K$12,G55:G56)</f>
        <v>42975.02513671256</v>
      </c>
      <c r="E61" s="127" t="str">
        <f>IF(F61=1,"Domingo",IF(F61=2,"Lunes",IF(F61=3,"Martes",IF(F61=4,"Miercoles",IF(F61=5,"Jueves",IF(F61=6,"Viernes",IF(F61=7,"Sábado",0)))))))</f>
        <v>Lunes</v>
      </c>
      <c r="F61" s="128">
        <f>WEEKDAY(D61)</f>
        <v>2</v>
      </c>
      <c r="G61" s="103"/>
      <c r="H61" s="89"/>
    </row>
    <row r="62" spans="1:8" ht="15.75">
      <c r="A62" s="75"/>
      <c r="B62" s="76"/>
      <c r="C62" s="635" t="s">
        <v>190</v>
      </c>
      <c r="D62" s="107">
        <f>DMAX('13_1'!A$12:L$39,'13_1'!$L$12,G55:G56)</f>
        <v>42975.02513671256</v>
      </c>
      <c r="E62" s="127" t="str">
        <f>IF(F62=1,"Domingo",IF(F62=2,"Lunes",IF(F62=3,"Martes",IF(F62=4,"Miercoles",IF(F62=5,"Jueves",IF(F62=6,"Viernes",IF(F62=7,"Sábado",0)))))))</f>
        <v>Lunes</v>
      </c>
      <c r="F62" s="128">
        <f>WEEKDAY(D62)</f>
        <v>2</v>
      </c>
      <c r="G62" s="103"/>
      <c r="H62" s="89"/>
    </row>
    <row r="63" spans="1:8">
      <c r="A63" s="75"/>
      <c r="B63" s="76"/>
      <c r="C63" s="76"/>
      <c r="D63" s="76"/>
      <c r="E63" s="76"/>
      <c r="F63" s="106"/>
      <c r="G63" s="106"/>
      <c r="H63" s="89"/>
    </row>
    <row r="64" spans="1:8">
      <c r="A64" s="75"/>
      <c r="B64" s="331" t="str">
        <f>+Mensajes!$B$7</f>
        <v>PARA CUALQUIER MODIFICACION EN EL CUADRO DE TURNO COMUNIQUESE CON SU TOMERO</v>
      </c>
      <c r="C64" s="279"/>
      <c r="D64" s="76"/>
      <c r="E64" s="76"/>
      <c r="F64" s="76"/>
      <c r="G64" s="76"/>
      <c r="H64" s="89"/>
    </row>
    <row r="65" spans="1:8">
      <c r="A65" s="75"/>
      <c r="B65" s="332" t="str">
        <f>+Mensajes!$B$12</f>
        <v>Recuerde que con 1 (una) cuotas vigentes impagas se restringirá el servicio.</v>
      </c>
      <c r="C65" s="280"/>
      <c r="D65" s="76"/>
      <c r="E65" s="76"/>
      <c r="F65" s="76"/>
      <c r="G65" s="76"/>
      <c r="H65" s="89"/>
    </row>
    <row r="66" spans="1:8">
      <c r="A66" s="75"/>
      <c r="B66" s="108"/>
      <c r="C66" s="76"/>
      <c r="D66" s="76"/>
      <c r="E66" s="76"/>
      <c r="F66" s="76"/>
      <c r="G66" s="76"/>
      <c r="H66" s="89"/>
    </row>
    <row r="67" spans="1:8">
      <c r="A67" s="101"/>
      <c r="B67" s="126" t="str">
        <f>IF(DSUM('13_1'!$A$12:$P$89,16,G55:G56)=COUNTIF('13_1'!$A$12:$A$89,G56),"","Regularice su Deuda")</f>
        <v>Regularice su Deuda</v>
      </c>
      <c r="C67" s="77"/>
      <c r="D67" s="77"/>
      <c r="E67" s="77"/>
      <c r="F67" s="77"/>
      <c r="G67" s="77"/>
      <c r="H67" s="78"/>
    </row>
    <row r="69" spans="1:8">
      <c r="A69" s="86"/>
      <c r="B69" s="87"/>
      <c r="C69" s="87"/>
      <c r="D69" s="87"/>
      <c r="E69" s="87"/>
      <c r="F69" s="87"/>
      <c r="G69" s="87"/>
      <c r="H69" s="88"/>
    </row>
    <row r="70" spans="1:8">
      <c r="A70" s="75"/>
      <c r="B70" s="109" t="s">
        <v>82</v>
      </c>
      <c r="C70" s="76"/>
      <c r="D70" s="76"/>
      <c r="E70" s="76"/>
      <c r="F70" s="76"/>
      <c r="G70" s="76"/>
      <c r="H70" s="89"/>
    </row>
    <row r="71" spans="1:8">
      <c r="A71" s="75"/>
      <c r="B71" s="76"/>
      <c r="C71" s="76"/>
      <c r="D71" s="76"/>
      <c r="E71" s="76"/>
      <c r="F71" s="76"/>
      <c r="G71" s="76"/>
      <c r="H71" s="89"/>
    </row>
    <row r="72" spans="1:8">
      <c r="A72" s="75"/>
      <c r="B72" s="76" t="s">
        <v>182</v>
      </c>
      <c r="C72" s="76" t="str">
        <f>VLOOKUP(G73,'13_1'!$A$12:$G$39,7,0)</f>
        <v>CHAMVI, BASILIO OCTAVIO</v>
      </c>
      <c r="D72" s="76"/>
      <c r="E72" s="76"/>
      <c r="F72" s="76"/>
      <c r="G72" s="100" t="s">
        <v>134</v>
      </c>
      <c r="H72" s="89"/>
    </row>
    <row r="73" spans="1:8">
      <c r="A73" s="75"/>
      <c r="B73" s="76" t="s">
        <v>91</v>
      </c>
      <c r="C73" s="76" t="str">
        <f>+'13_1'!$H$2</f>
        <v>Hijuela El Confín</v>
      </c>
      <c r="D73" s="76"/>
      <c r="E73" s="76"/>
      <c r="F73" s="76"/>
      <c r="G73" s="100">
        <v>5</v>
      </c>
      <c r="H73" s="89"/>
    </row>
    <row r="74" spans="1:8">
      <c r="A74" s="75"/>
      <c r="B74" s="76"/>
      <c r="C74" s="76"/>
      <c r="D74" s="76"/>
      <c r="E74" s="76"/>
      <c r="F74" s="76"/>
      <c r="G74" s="76"/>
      <c r="H74" s="89"/>
    </row>
    <row r="75" spans="1:8">
      <c r="A75" s="75"/>
      <c r="B75" s="635" t="s">
        <v>183</v>
      </c>
      <c r="C75" s="331">
        <f>VLOOKUP(G73,'13_1'!$A$12:$B$38,2,0)</f>
        <v>1248</v>
      </c>
      <c r="D75" s="76"/>
      <c r="E75" s="635" t="s">
        <v>184</v>
      </c>
      <c r="F75" s="397">
        <f>DSUM('13_1'!A$12:J$38,'13_1'!$J$12,G72:G73)</f>
        <v>3.193015928790198E-2</v>
      </c>
      <c r="G75" s="76"/>
      <c r="H75" s="89"/>
    </row>
    <row r="76" spans="1:8">
      <c r="A76" s="75"/>
      <c r="B76" s="635" t="s">
        <v>185</v>
      </c>
      <c r="C76" s="374">
        <v>29</v>
      </c>
      <c r="D76" s="76"/>
      <c r="E76" s="635" t="s">
        <v>186</v>
      </c>
      <c r="F76" s="368" t="str">
        <f>IF(VLOOKUP(G73,'13_1'!$A$12:$D$38,4,0)=2,"Eventual 80%","Definitivo 100%")</f>
        <v>Eventual 80%</v>
      </c>
      <c r="G76" s="76"/>
      <c r="H76" s="89"/>
    </row>
    <row r="77" spans="1:8">
      <c r="A77" s="75"/>
      <c r="B77" s="635" t="s">
        <v>187</v>
      </c>
      <c r="C77" s="375">
        <f>DSUM('13_1'!$A$12:$H$38,'13_1'!$H$12,G72:G73)</f>
        <v>3.2607999999999997</v>
      </c>
      <c r="D77" s="76"/>
      <c r="E77" s="635" t="s">
        <v>188</v>
      </c>
      <c r="F77" s="369" t="str">
        <f>+Hijuelas!$G$5</f>
        <v>fracción</v>
      </c>
      <c r="G77" s="106"/>
      <c r="H77" s="89"/>
    </row>
    <row r="78" spans="1:8" ht="15.75">
      <c r="A78" s="75"/>
      <c r="B78" s="76"/>
      <c r="C78" s="635" t="s">
        <v>189</v>
      </c>
      <c r="D78" s="107">
        <f>DMIN('13_1'!A$12:K$38,'13_1'!$K$12,G72:G73)</f>
        <v>42975.02513671256</v>
      </c>
      <c r="E78" s="127" t="str">
        <f>IF(F78=1,"Domingo",IF(F78=2,"Lunes",IF(F78=3,"Martes",IF(F78=4,"Miercoles",IF(F78=5,"Jueves",IF(F78=6,"Viernes",IF(F78=7,"Sábado",0)))))))</f>
        <v>Lunes</v>
      </c>
      <c r="F78" s="128">
        <f>WEEKDAY(D78)</f>
        <v>2</v>
      </c>
      <c r="G78" s="103"/>
      <c r="H78" s="89"/>
    </row>
    <row r="79" spans="1:8" ht="15.75">
      <c r="A79" s="75"/>
      <c r="B79" s="76"/>
      <c r="C79" s="635" t="s">
        <v>190</v>
      </c>
      <c r="D79" s="107">
        <f>DMAX('13_1'!A$12:L$39,'13_1'!$L$12,G72:G73)</f>
        <v>42975.05706687185</v>
      </c>
      <c r="E79" s="127" t="str">
        <f>IF(F79=1,"Domingo",IF(F79=2,"Lunes",IF(F79=3,"Martes",IF(F79=4,"Miercoles",IF(F79=5,"Jueves",IF(F79=6,"Viernes",IF(F79=7,"Sábado",0)))))))</f>
        <v>Lunes</v>
      </c>
      <c r="F79" s="128">
        <f>WEEKDAY(D79)</f>
        <v>2</v>
      </c>
      <c r="G79" s="103"/>
      <c r="H79" s="89"/>
    </row>
    <row r="80" spans="1:8">
      <c r="A80" s="75"/>
      <c r="B80" s="76"/>
      <c r="C80" s="76"/>
      <c r="D80" s="76"/>
      <c r="E80" s="76"/>
      <c r="F80" s="106"/>
      <c r="G80" s="106"/>
      <c r="H80" s="89"/>
    </row>
    <row r="81" spans="1:8">
      <c r="A81" s="75"/>
      <c r="B81" s="331" t="str">
        <f>+Mensajes!$B$7</f>
        <v>PARA CUALQUIER MODIFICACION EN EL CUADRO DE TURNO COMUNIQUESE CON SU TOMERO</v>
      </c>
      <c r="C81" s="279"/>
      <c r="D81" s="76"/>
      <c r="E81" s="76"/>
      <c r="F81" s="76"/>
      <c r="G81" s="76"/>
      <c r="H81" s="89"/>
    </row>
    <row r="82" spans="1:8">
      <c r="A82" s="75"/>
      <c r="B82" s="332" t="str">
        <f>+Mensajes!$B$12</f>
        <v>Recuerde que con 1 (una) cuotas vigentes impagas se restringirá el servicio.</v>
      </c>
      <c r="C82" s="280"/>
      <c r="D82" s="76"/>
      <c r="E82" s="76"/>
      <c r="F82" s="76"/>
      <c r="G82" s="76"/>
      <c r="H82" s="89"/>
    </row>
    <row r="83" spans="1:8">
      <c r="A83" s="75"/>
      <c r="B83" s="108"/>
      <c r="C83" s="76"/>
      <c r="D83" s="76"/>
      <c r="E83" s="76"/>
      <c r="F83" s="76"/>
      <c r="G83" s="76"/>
      <c r="H83" s="89"/>
    </row>
    <row r="84" spans="1:8">
      <c r="A84" s="101"/>
      <c r="B84" s="126" t="str">
        <f>IF(DSUM('13_1'!$A$12:$P$89,16,G72:G73)=COUNTIF('13_1'!$A$12:$A$89,G73),"","Regularice su Deuda")</f>
        <v/>
      </c>
      <c r="C84" s="77"/>
      <c r="D84" s="77"/>
      <c r="E84" s="77"/>
      <c r="F84" s="77"/>
      <c r="G84" s="77"/>
      <c r="H84" s="78"/>
    </row>
    <row r="86" spans="1:8">
      <c r="A86" s="86"/>
      <c r="B86" s="87"/>
      <c r="C86" s="87"/>
      <c r="D86" s="87"/>
      <c r="E86" s="87"/>
      <c r="F86" s="87"/>
      <c r="G86" s="87"/>
      <c r="H86" s="88"/>
    </row>
    <row r="87" spans="1:8">
      <c r="A87" s="75"/>
      <c r="B87" s="109" t="s">
        <v>82</v>
      </c>
      <c r="C87" s="76"/>
      <c r="D87" s="76"/>
      <c r="E87" s="76"/>
      <c r="F87" s="76"/>
      <c r="G87" s="76"/>
      <c r="H87" s="89"/>
    </row>
    <row r="88" spans="1:8">
      <c r="A88" s="75"/>
      <c r="B88" s="76"/>
      <c r="C88" s="76"/>
      <c r="D88" s="76"/>
      <c r="E88" s="76"/>
      <c r="F88" s="76"/>
      <c r="G88" s="76"/>
      <c r="H88" s="89"/>
    </row>
    <row r="89" spans="1:8">
      <c r="A89" s="75"/>
      <c r="B89" s="76" t="s">
        <v>182</v>
      </c>
      <c r="C89" s="76" t="str">
        <f>VLOOKUP(G90,'13_1'!$A$12:$G$39,7,0)</f>
        <v>ALVARADO, ADRIANO SINDULFO</v>
      </c>
      <c r="D89" s="76"/>
      <c r="E89" s="76"/>
      <c r="F89" s="76"/>
      <c r="G89" s="100" t="s">
        <v>134</v>
      </c>
      <c r="H89" s="89"/>
    </row>
    <row r="90" spans="1:8">
      <c r="A90" s="75"/>
      <c r="B90" s="76" t="s">
        <v>91</v>
      </c>
      <c r="C90" s="76" t="str">
        <f>+'13_1'!$H$2</f>
        <v>Hijuela El Confín</v>
      </c>
      <c r="D90" s="76"/>
      <c r="E90" s="76"/>
      <c r="F90" s="76"/>
      <c r="G90" s="100">
        <v>6</v>
      </c>
      <c r="H90" s="89"/>
    </row>
    <row r="91" spans="1:8">
      <c r="A91" s="75"/>
      <c r="B91" s="76"/>
      <c r="C91" s="76"/>
      <c r="D91" s="76"/>
      <c r="E91" s="76"/>
      <c r="F91" s="76"/>
      <c r="G91" s="76"/>
      <c r="H91" s="89"/>
    </row>
    <row r="92" spans="1:8">
      <c r="A92" s="75"/>
      <c r="B92" s="635" t="s">
        <v>183</v>
      </c>
      <c r="C92" s="331">
        <f>VLOOKUP(G90,'13_1'!$A$12:$B$38,2,0)</f>
        <v>1248</v>
      </c>
      <c r="D92" s="76"/>
      <c r="E92" s="635" t="s">
        <v>184</v>
      </c>
      <c r="F92" s="397">
        <f>DSUM('13_1'!A$12:J$38,'13_1'!$J$12,G89:G90)</f>
        <v>1.3926751026013776E-2</v>
      </c>
      <c r="G92" s="76"/>
      <c r="H92" s="89"/>
    </row>
    <row r="93" spans="1:8">
      <c r="A93" s="75"/>
      <c r="B93" s="635" t="s">
        <v>185</v>
      </c>
      <c r="C93" s="374" t="s">
        <v>501</v>
      </c>
      <c r="D93" s="76"/>
      <c r="E93" s="635" t="s">
        <v>186</v>
      </c>
      <c r="F93" s="368" t="str">
        <f>IF(VLOOKUP(G90,'13_1'!$A$12:$D$38,4,0)=2,"Eventual 80%","Definitivo 100%")</f>
        <v>Eventual 80%</v>
      </c>
      <c r="G93" s="76"/>
      <c r="H93" s="89"/>
    </row>
    <row r="94" spans="1:8">
      <c r="A94" s="75"/>
      <c r="B94" s="635" t="s">
        <v>187</v>
      </c>
      <c r="C94" s="375">
        <f>DSUM('13_1'!$A$12:$H$38,'13_1'!$H$12,G89:G90)</f>
        <v>1.4222399999999999</v>
      </c>
      <c r="D94" s="76"/>
      <c r="E94" s="635" t="s">
        <v>188</v>
      </c>
      <c r="F94" s="369" t="str">
        <f>+Hijuelas!$G$5</f>
        <v>fracción</v>
      </c>
      <c r="G94" s="106"/>
      <c r="H94" s="89"/>
    </row>
    <row r="95" spans="1:8" ht="15.75">
      <c r="A95" s="75"/>
      <c r="B95" s="76"/>
      <c r="C95" s="635" t="s">
        <v>189</v>
      </c>
      <c r="D95" s="107">
        <f>DMIN('13_1'!A$12:K$38,'13_1'!$K$12,G89:G90)</f>
        <v>42975.05706687185</v>
      </c>
      <c r="E95" s="127" t="str">
        <f>IF(F95=1,"Domingo",IF(F95=2,"Lunes",IF(F95=3,"Martes",IF(F95=4,"Miercoles",IF(F95=5,"Jueves",IF(F95=6,"Viernes",IF(F95=7,"Sábado",0)))))))</f>
        <v>Lunes</v>
      </c>
      <c r="F95" s="128">
        <f>WEEKDAY(D95)</f>
        <v>2</v>
      </c>
      <c r="G95" s="103"/>
      <c r="H95" s="89"/>
    </row>
    <row r="96" spans="1:8" ht="15.75">
      <c r="A96" s="75"/>
      <c r="B96" s="76"/>
      <c r="C96" s="635" t="s">
        <v>190</v>
      </c>
      <c r="D96" s="107">
        <f>DMAX('13_1'!A$12:L$39,'13_1'!$L$12,G89:G90)</f>
        <v>42975.070993622874</v>
      </c>
      <c r="E96" s="127" t="str">
        <f>IF(F96=1,"Domingo",IF(F96=2,"Lunes",IF(F96=3,"Martes",IF(F96=4,"Miercoles",IF(F96=5,"Jueves",IF(F96=6,"Viernes",IF(F96=7,"Sábado",0)))))))</f>
        <v>Lunes</v>
      </c>
      <c r="F96" s="128">
        <f>WEEKDAY(D96)</f>
        <v>2</v>
      </c>
      <c r="G96" s="103"/>
      <c r="H96" s="89"/>
    </row>
    <row r="97" spans="1:8">
      <c r="A97" s="75"/>
      <c r="B97" s="76"/>
      <c r="C97" s="76"/>
      <c r="D97" s="76"/>
      <c r="E97" s="76"/>
      <c r="F97" s="106"/>
      <c r="G97" s="106"/>
      <c r="H97" s="89"/>
    </row>
    <row r="98" spans="1:8">
      <c r="A98" s="75"/>
      <c r="B98" s="331" t="str">
        <f>+Mensajes!$B$7</f>
        <v>PARA CUALQUIER MODIFICACION EN EL CUADRO DE TURNO COMUNIQUESE CON SU TOMERO</v>
      </c>
      <c r="C98" s="279"/>
      <c r="D98" s="76"/>
      <c r="E98" s="76"/>
      <c r="F98" s="76"/>
      <c r="G98" s="76"/>
      <c r="H98" s="89"/>
    </row>
    <row r="99" spans="1:8">
      <c r="A99" s="75"/>
      <c r="B99" s="332" t="str">
        <f>+Mensajes!$B$12</f>
        <v>Recuerde que con 1 (una) cuotas vigentes impagas se restringirá el servicio.</v>
      </c>
      <c r="C99" s="280"/>
      <c r="D99" s="76"/>
      <c r="E99" s="76"/>
      <c r="F99" s="76"/>
      <c r="G99" s="76"/>
      <c r="H99" s="89"/>
    </row>
    <row r="100" spans="1:8">
      <c r="A100" s="75"/>
      <c r="B100" s="108"/>
      <c r="C100" s="76"/>
      <c r="D100" s="76"/>
      <c r="E100" s="76"/>
      <c r="F100" s="76"/>
      <c r="G100" s="76"/>
      <c r="H100" s="89"/>
    </row>
    <row r="101" spans="1:8">
      <c r="A101" s="101"/>
      <c r="B101" s="126" t="str">
        <f>IF(DSUM('13_1'!$A$12:$P$89,16,G89:G90)=COUNTIF('13_1'!$A$12:$A$89,G90),"","Regularice su Deuda")</f>
        <v/>
      </c>
      <c r="C101" s="77"/>
      <c r="D101" s="77"/>
      <c r="E101" s="77"/>
      <c r="F101" s="77"/>
      <c r="G101" s="77"/>
      <c r="H101" s="78"/>
    </row>
    <row r="103" spans="1:8">
      <c r="A103" s="86"/>
      <c r="B103" s="87"/>
      <c r="C103" s="87"/>
      <c r="D103" s="87"/>
      <c r="E103" s="87"/>
      <c r="F103" s="87"/>
      <c r="G103" s="87"/>
      <c r="H103" s="88"/>
    </row>
    <row r="104" spans="1:8">
      <c r="A104" s="75"/>
      <c r="B104" s="109" t="s">
        <v>82</v>
      </c>
      <c r="C104" s="76"/>
      <c r="D104" s="76"/>
      <c r="E104" s="76"/>
      <c r="F104" s="76"/>
      <c r="G104" s="76"/>
      <c r="H104" s="89"/>
    </row>
    <row r="105" spans="1:8">
      <c r="A105" s="75"/>
      <c r="B105" s="76"/>
      <c r="C105" s="76"/>
      <c r="D105" s="76"/>
      <c r="E105" s="76"/>
      <c r="F105" s="76"/>
      <c r="G105" s="76"/>
      <c r="H105" s="89"/>
    </row>
    <row r="106" spans="1:8">
      <c r="A106" s="75"/>
      <c r="B106" s="76" t="s">
        <v>182</v>
      </c>
      <c r="C106" s="76" t="str">
        <f>VLOOKUP(G107,'13_1'!$A$12:$G$39,7,0)</f>
        <v xml:space="preserve">PONCE, MARIO </v>
      </c>
      <c r="D106" s="76"/>
      <c r="E106" s="76"/>
      <c r="F106" s="76"/>
      <c r="G106" s="100" t="s">
        <v>134</v>
      </c>
      <c r="H106" s="89"/>
    </row>
    <row r="107" spans="1:8">
      <c r="A107" s="75"/>
      <c r="B107" s="76" t="s">
        <v>91</v>
      </c>
      <c r="C107" s="76" t="str">
        <f>+'13_1'!$H$2</f>
        <v>Hijuela El Confín</v>
      </c>
      <c r="D107" s="76"/>
      <c r="E107" s="76"/>
      <c r="F107" s="76"/>
      <c r="G107" s="100">
        <v>7</v>
      </c>
      <c r="H107" s="89"/>
    </row>
    <row r="108" spans="1:8">
      <c r="A108" s="75"/>
      <c r="B108" s="76"/>
      <c r="C108" s="76"/>
      <c r="D108" s="76"/>
      <c r="E108" s="76"/>
      <c r="F108" s="76"/>
      <c r="G108" s="76"/>
      <c r="H108" s="89"/>
    </row>
    <row r="109" spans="1:8">
      <c r="A109" s="75"/>
      <c r="B109" s="635" t="s">
        <v>183</v>
      </c>
      <c r="C109" s="331">
        <f>VLOOKUP(G107,'13_1'!$A$12:$B$38,2,0)</f>
        <v>1248</v>
      </c>
      <c r="D109" s="76"/>
      <c r="E109" s="635" t="s">
        <v>184</v>
      </c>
      <c r="F109" s="397">
        <f>DSUM('13_1'!A$12:J$38,'13_1'!$J$12,G106:G107)</f>
        <v>3.2446400086987542E-2</v>
      </c>
      <c r="G109" s="76"/>
      <c r="H109" s="89"/>
    </row>
    <row r="110" spans="1:8">
      <c r="A110" s="75"/>
      <c r="B110" s="635" t="s">
        <v>185</v>
      </c>
      <c r="C110" s="374">
        <v>50</v>
      </c>
      <c r="D110" s="76"/>
      <c r="E110" s="635" t="s">
        <v>186</v>
      </c>
      <c r="F110" s="368" t="str">
        <f>IF(VLOOKUP(G107,'13_1'!$A$12:$D$38,4,0)=2,"Eventual 80%","Definitivo 100%")</f>
        <v>Eventual 80%</v>
      </c>
      <c r="G110" s="76"/>
      <c r="H110" s="89"/>
    </row>
    <row r="111" spans="1:8">
      <c r="A111" s="75"/>
      <c r="B111" s="635" t="s">
        <v>187</v>
      </c>
      <c r="C111" s="375">
        <f>DSUM('13_1'!$A$12:$H$38,'13_1'!$H$12,G106:G107)</f>
        <v>3.31352</v>
      </c>
      <c r="D111" s="76"/>
      <c r="E111" s="635" t="s">
        <v>188</v>
      </c>
      <c r="F111" s="369" t="str">
        <f>+Hijuelas!$G$5</f>
        <v>fracción</v>
      </c>
      <c r="G111" s="106"/>
      <c r="H111" s="89"/>
    </row>
    <row r="112" spans="1:8" ht="15.75">
      <c r="A112" s="75"/>
      <c r="B112" s="76"/>
      <c r="C112" s="635" t="s">
        <v>189</v>
      </c>
      <c r="D112" s="107">
        <f>DMIN('13_1'!A$12:K$38,'13_1'!$K$12,G106:G107)</f>
        <v>42975.070993622874</v>
      </c>
      <c r="E112" s="127" t="str">
        <f>IF(F112=1,"Domingo",IF(F112=2,"Lunes",IF(F112=3,"Martes",IF(F112=4,"Miercoles",IF(F112=5,"Jueves",IF(F112=6,"Viernes",IF(F112=7,"Sábado",0)))))))</f>
        <v>Lunes</v>
      </c>
      <c r="F112" s="128">
        <f>WEEKDAY(D112)</f>
        <v>2</v>
      </c>
      <c r="G112" s="103"/>
      <c r="H112" s="89"/>
    </row>
    <row r="113" spans="1:8" ht="15.75">
      <c r="A113" s="75"/>
      <c r="B113" s="76"/>
      <c r="C113" s="635" t="s">
        <v>190</v>
      </c>
      <c r="D113" s="107">
        <f>DMAX('13_1'!A$12:L$39,'13_1'!$L$12,G106:G107)</f>
        <v>42975.103440022962</v>
      </c>
      <c r="E113" s="127" t="str">
        <f>IF(F113=1,"Domingo",IF(F113=2,"Lunes",IF(F113=3,"Martes",IF(F113=4,"Miercoles",IF(F113=5,"Jueves",IF(F113=6,"Viernes",IF(F113=7,"Sábado",0)))))))</f>
        <v>Lunes</v>
      </c>
      <c r="F113" s="128">
        <f>WEEKDAY(D113)</f>
        <v>2</v>
      </c>
      <c r="G113" s="103"/>
      <c r="H113" s="89"/>
    </row>
    <row r="114" spans="1:8">
      <c r="A114" s="75"/>
      <c r="B114" s="76"/>
      <c r="C114" s="76"/>
      <c r="D114" s="76"/>
      <c r="E114" s="76"/>
      <c r="F114" s="106"/>
      <c r="G114" s="106"/>
      <c r="H114" s="89"/>
    </row>
    <row r="115" spans="1:8">
      <c r="A115" s="75"/>
      <c r="B115" s="331" t="str">
        <f>+Mensajes!$B$7</f>
        <v>PARA CUALQUIER MODIFICACION EN EL CUADRO DE TURNO COMUNIQUESE CON SU TOMERO</v>
      </c>
      <c r="C115" s="279"/>
      <c r="D115" s="76"/>
      <c r="E115" s="76"/>
      <c r="F115" s="76"/>
      <c r="G115" s="76"/>
      <c r="H115" s="89"/>
    </row>
    <row r="116" spans="1:8">
      <c r="A116" s="75"/>
      <c r="B116" s="332" t="str">
        <f>+Mensajes!$B$12</f>
        <v>Recuerde que con 1 (una) cuotas vigentes impagas se restringirá el servicio.</v>
      </c>
      <c r="C116" s="280"/>
      <c r="D116" s="76"/>
      <c r="E116" s="76"/>
      <c r="F116" s="76"/>
      <c r="G116" s="76"/>
      <c r="H116" s="89"/>
    </row>
    <row r="117" spans="1:8">
      <c r="A117" s="75"/>
      <c r="B117" s="108"/>
      <c r="C117" s="76"/>
      <c r="D117" s="76"/>
      <c r="E117" s="76"/>
      <c r="F117" s="76"/>
      <c r="G117" s="76"/>
      <c r="H117" s="89"/>
    </row>
    <row r="118" spans="1:8">
      <c r="A118" s="101"/>
      <c r="B118" s="126" t="str">
        <f>IF(DSUM('13_1'!$A$12:$P$89,16,G106:G107)=COUNTIF('13_1'!$A$12:$A$89,G107),"","Regularice su Deuda")</f>
        <v>Regularice su Deuda</v>
      </c>
      <c r="C118" s="77"/>
      <c r="D118" s="77"/>
      <c r="E118" s="77"/>
      <c r="F118" s="77"/>
      <c r="G118" s="77"/>
      <c r="H118" s="78"/>
    </row>
    <row r="120" spans="1:8">
      <c r="A120" s="86"/>
      <c r="B120" s="87"/>
      <c r="C120" s="87"/>
      <c r="D120" s="87"/>
      <c r="E120" s="87"/>
      <c r="F120" s="87"/>
      <c r="G120" s="87"/>
      <c r="H120" s="88"/>
    </row>
    <row r="121" spans="1:8">
      <c r="A121" s="75"/>
      <c r="B121" s="109" t="s">
        <v>82</v>
      </c>
      <c r="C121" s="76"/>
      <c r="D121" s="76"/>
      <c r="E121" s="76"/>
      <c r="F121" s="76"/>
      <c r="G121" s="76"/>
      <c r="H121" s="89"/>
    </row>
    <row r="122" spans="1:8">
      <c r="A122" s="75"/>
      <c r="B122" s="76"/>
      <c r="C122" s="76"/>
      <c r="D122" s="76"/>
      <c r="E122" s="76"/>
      <c r="F122" s="76"/>
      <c r="G122" s="76"/>
      <c r="H122" s="89"/>
    </row>
    <row r="123" spans="1:8">
      <c r="A123" s="75"/>
      <c r="B123" s="76" t="s">
        <v>182</v>
      </c>
      <c r="C123" s="76" t="str">
        <f>VLOOKUP(G124,'13_1'!$A$12:$G$39,7,0)</f>
        <v>CAMPIONE, HECTOR FABIAN</v>
      </c>
      <c r="D123" s="76"/>
      <c r="E123" s="76"/>
      <c r="F123" s="76"/>
      <c r="G123" s="100" t="s">
        <v>134</v>
      </c>
      <c r="H123" s="89"/>
    </row>
    <row r="124" spans="1:8">
      <c r="A124" s="75"/>
      <c r="B124" s="76" t="s">
        <v>91</v>
      </c>
      <c r="C124" s="76" t="str">
        <f>+'13_1'!$H$2</f>
        <v>Hijuela El Confín</v>
      </c>
      <c r="D124" s="76"/>
      <c r="E124" s="76"/>
      <c r="F124" s="76"/>
      <c r="G124" s="100">
        <v>8</v>
      </c>
      <c r="H124" s="89"/>
    </row>
    <row r="125" spans="1:8">
      <c r="A125" s="75"/>
      <c r="B125" s="76"/>
      <c r="C125" s="76"/>
      <c r="D125" s="76"/>
      <c r="E125" s="76"/>
      <c r="F125" s="76"/>
      <c r="G125" s="76"/>
      <c r="H125" s="89"/>
    </row>
    <row r="126" spans="1:8">
      <c r="A126" s="75"/>
      <c r="B126" s="635" t="s">
        <v>183</v>
      </c>
      <c r="C126" s="331">
        <f>VLOOKUP(G124,'13_1'!$A$12:$B$38,2,0)</f>
        <v>1248</v>
      </c>
      <c r="D126" s="76"/>
      <c r="E126" s="635" t="s">
        <v>184</v>
      </c>
      <c r="F126" s="397">
        <f>DSUM('13_1'!A$12:J$38,'13_1'!$J$12,G123:G124)</f>
        <v>0</v>
      </c>
      <c r="G126" s="76"/>
      <c r="H126" s="89"/>
    </row>
    <row r="127" spans="1:8">
      <c r="A127" s="75"/>
      <c r="B127" s="635" t="s">
        <v>185</v>
      </c>
      <c r="C127" s="374" t="s">
        <v>502</v>
      </c>
      <c r="D127" s="76"/>
      <c r="E127" s="635" t="s">
        <v>186</v>
      </c>
      <c r="F127" s="368" t="str">
        <f>IF(VLOOKUP(G124,'13_1'!$A$12:$D$38,4,0)=2,"Eventual 80%","Definitivo 100%")</f>
        <v>Eventual 80%</v>
      </c>
      <c r="G127" s="76"/>
      <c r="H127" s="89"/>
    </row>
    <row r="128" spans="1:8">
      <c r="A128" s="75"/>
      <c r="B128" s="635" t="s">
        <v>187</v>
      </c>
      <c r="C128" s="375">
        <f>DSUM('13_1'!$A$12:$H$38,'13_1'!$H$12,G123:G124)</f>
        <v>0</v>
      </c>
      <c r="D128" s="76"/>
      <c r="E128" s="635" t="s">
        <v>188</v>
      </c>
      <c r="F128" s="369" t="str">
        <f>+Hijuelas!$G$5</f>
        <v>fracción</v>
      </c>
      <c r="G128" s="106"/>
      <c r="H128" s="89"/>
    </row>
    <row r="129" spans="1:8" ht="15.75">
      <c r="A129" s="75"/>
      <c r="B129" s="76"/>
      <c r="C129" s="635" t="s">
        <v>189</v>
      </c>
      <c r="D129" s="107">
        <f>DMIN('13_1'!A$12:K$38,'13_1'!$K$12,G123:G124)</f>
        <v>42975.103440022962</v>
      </c>
      <c r="E129" s="127" t="str">
        <f>IF(F129=1,"Domingo",IF(F129=2,"Lunes",IF(F129=3,"Martes",IF(F129=4,"Miercoles",IF(F129=5,"Jueves",IF(F129=6,"Viernes",IF(F129=7,"Sábado",0)))))))</f>
        <v>Lunes</v>
      </c>
      <c r="F129" s="128">
        <f>WEEKDAY(D129)</f>
        <v>2</v>
      </c>
      <c r="G129" s="103"/>
      <c r="H129" s="89"/>
    </row>
    <row r="130" spans="1:8" ht="15.75">
      <c r="A130" s="75"/>
      <c r="B130" s="76"/>
      <c r="C130" s="635" t="s">
        <v>190</v>
      </c>
      <c r="D130" s="107">
        <f>DMAX('13_1'!A$12:L$39,'13_1'!$L$12,G123:G124)</f>
        <v>42975.103440022962</v>
      </c>
      <c r="E130" s="127" t="str">
        <f>IF(F130=1,"Domingo",IF(F130=2,"Lunes",IF(F130=3,"Martes",IF(F130=4,"Miercoles",IF(F130=5,"Jueves",IF(F130=6,"Viernes",IF(F130=7,"Sábado",0)))))))</f>
        <v>Lunes</v>
      </c>
      <c r="F130" s="128">
        <f>WEEKDAY(D130)</f>
        <v>2</v>
      </c>
      <c r="G130" s="103"/>
      <c r="H130" s="89"/>
    </row>
    <row r="131" spans="1:8">
      <c r="A131" s="75"/>
      <c r="B131" s="76"/>
      <c r="C131" s="76"/>
      <c r="D131" s="76"/>
      <c r="E131" s="76"/>
      <c r="F131" s="106"/>
      <c r="G131" s="106"/>
      <c r="H131" s="89"/>
    </row>
    <row r="132" spans="1:8">
      <c r="A132" s="75"/>
      <c r="B132" s="331" t="str">
        <f>+Mensajes!$B$7</f>
        <v>PARA CUALQUIER MODIFICACION EN EL CUADRO DE TURNO COMUNIQUESE CON SU TOMERO</v>
      </c>
      <c r="C132" s="279"/>
      <c r="D132" s="76"/>
      <c r="E132" s="76"/>
      <c r="F132" s="76"/>
      <c r="G132" s="76"/>
      <c r="H132" s="89"/>
    </row>
    <row r="133" spans="1:8">
      <c r="A133" s="75"/>
      <c r="B133" s="332" t="str">
        <f>+Mensajes!$B$12</f>
        <v>Recuerde que con 1 (una) cuotas vigentes impagas se restringirá el servicio.</v>
      </c>
      <c r="C133" s="280"/>
      <c r="D133" s="76"/>
      <c r="E133" s="76"/>
      <c r="F133" s="76"/>
      <c r="G133" s="76"/>
      <c r="H133" s="89"/>
    </row>
    <row r="134" spans="1:8">
      <c r="A134" s="75"/>
      <c r="B134" s="108"/>
      <c r="C134" s="76"/>
      <c r="D134" s="76"/>
      <c r="E134" s="76"/>
      <c r="F134" s="76"/>
      <c r="G134" s="76"/>
      <c r="H134" s="89"/>
    </row>
    <row r="135" spans="1:8">
      <c r="A135" s="101"/>
      <c r="B135" s="126" t="str">
        <f>IF(DSUM('13_1'!$A$12:$P$89,16,G123:G124)=COUNTIF('13_1'!$A$12:$A$89,G124),"","Regularice su Deuda")</f>
        <v/>
      </c>
      <c r="C135" s="77"/>
      <c r="D135" s="77"/>
      <c r="E135" s="77"/>
      <c r="F135" s="77"/>
      <c r="G135" s="77"/>
      <c r="H135" s="78"/>
    </row>
    <row r="137" spans="1:8">
      <c r="A137" s="86"/>
      <c r="B137" s="87"/>
      <c r="C137" s="87"/>
      <c r="D137" s="87"/>
      <c r="E137" s="87"/>
      <c r="F137" s="87"/>
      <c r="G137" s="87"/>
      <c r="H137" s="88"/>
    </row>
    <row r="138" spans="1:8">
      <c r="A138" s="75"/>
      <c r="B138" s="109" t="s">
        <v>82</v>
      </c>
      <c r="C138" s="76"/>
      <c r="D138" s="76"/>
      <c r="E138" s="76"/>
      <c r="F138" s="76"/>
      <c r="G138" s="76"/>
      <c r="H138" s="89"/>
    </row>
    <row r="139" spans="1:8">
      <c r="A139" s="75"/>
      <c r="B139" s="76"/>
      <c r="C139" s="76"/>
      <c r="D139" s="76"/>
      <c r="E139" s="76"/>
      <c r="F139" s="76"/>
      <c r="G139" s="76"/>
      <c r="H139" s="89"/>
    </row>
    <row r="140" spans="1:8">
      <c r="A140" s="75"/>
      <c r="B140" s="76" t="s">
        <v>182</v>
      </c>
      <c r="C140" s="76" t="str">
        <f>VLOOKUP(G141,'13_1'!$A$12:$G$39,7,0)</f>
        <v>GOMEZ, DIEGO</v>
      </c>
      <c r="D140" s="76"/>
      <c r="E140" s="76"/>
      <c r="F140" s="76"/>
      <c r="G140" s="100" t="s">
        <v>134</v>
      </c>
      <c r="H140" s="89"/>
    </row>
    <row r="141" spans="1:8">
      <c r="A141" s="75"/>
      <c r="B141" s="76" t="s">
        <v>91</v>
      </c>
      <c r="C141" s="76" t="str">
        <f>+'13_1'!$H$2</f>
        <v>Hijuela El Confín</v>
      </c>
      <c r="D141" s="76"/>
      <c r="E141" s="76"/>
      <c r="F141" s="76"/>
      <c r="G141" s="100">
        <v>9</v>
      </c>
      <c r="H141" s="89"/>
    </row>
    <row r="142" spans="1:8">
      <c r="A142" s="75"/>
      <c r="B142" s="76"/>
      <c r="C142" s="76"/>
      <c r="D142" s="76"/>
      <c r="E142" s="76"/>
      <c r="F142" s="76"/>
      <c r="G142" s="76"/>
      <c r="H142" s="89"/>
    </row>
    <row r="143" spans="1:8">
      <c r="A143" s="75"/>
      <c r="B143" s="635" t="s">
        <v>183</v>
      </c>
      <c r="C143" s="331">
        <f>VLOOKUP(G141,'13_1'!$A$12:$B$38,2,0)</f>
        <v>1248</v>
      </c>
      <c r="D143" s="76"/>
      <c r="E143" s="635" t="s">
        <v>184</v>
      </c>
      <c r="F143" s="397">
        <f>DSUM('13_1'!A$12:J$38,'13_1'!$J$12,G140:G141)</f>
        <v>0</v>
      </c>
      <c r="G143" s="76"/>
      <c r="H143" s="89"/>
    </row>
    <row r="144" spans="1:8">
      <c r="A144" s="75"/>
      <c r="B144" s="635" t="s">
        <v>185</v>
      </c>
      <c r="C144" s="374" t="s">
        <v>503</v>
      </c>
      <c r="D144" s="76"/>
      <c r="E144" s="635" t="s">
        <v>186</v>
      </c>
      <c r="F144" s="368" t="str">
        <f>IF(VLOOKUP(G141,'13_1'!$A$12:$D$38,4,0)=2,"Eventual 80%","Definitivo 100%")</f>
        <v>Eventual 80%</v>
      </c>
      <c r="G144" s="76"/>
      <c r="H144" s="89"/>
    </row>
    <row r="145" spans="1:8">
      <c r="A145" s="75"/>
      <c r="B145" s="635" t="s">
        <v>187</v>
      </c>
      <c r="C145" s="375">
        <f>DSUM('13_1'!$A$12:$H$38,'13_1'!$H$12,G140:G141)</f>
        <v>0</v>
      </c>
      <c r="D145" s="76"/>
      <c r="E145" s="635" t="s">
        <v>188</v>
      </c>
      <c r="F145" s="369" t="str">
        <f>+Hijuelas!$G$5</f>
        <v>fracción</v>
      </c>
      <c r="G145" s="106"/>
      <c r="H145" s="89"/>
    </row>
    <row r="146" spans="1:8" ht="15.75">
      <c r="A146" s="75"/>
      <c r="B146" s="76"/>
      <c r="C146" s="635" t="s">
        <v>189</v>
      </c>
      <c r="D146" s="107">
        <f>DMIN('13_1'!A$12:K$38,'13_1'!$K$12,G140:G141)</f>
        <v>42975.103440022962</v>
      </c>
      <c r="E146" s="127" t="str">
        <f>IF(F146=1,"Domingo",IF(F146=2,"Lunes",IF(F146=3,"Martes",IF(F146=4,"Miercoles",IF(F146=5,"Jueves",IF(F146=6,"Viernes",IF(F146=7,"Sábado",0)))))))</f>
        <v>Lunes</v>
      </c>
      <c r="F146" s="128">
        <f>WEEKDAY(D146)</f>
        <v>2</v>
      </c>
      <c r="G146" s="103"/>
      <c r="H146" s="89"/>
    </row>
    <row r="147" spans="1:8" ht="15.75">
      <c r="A147" s="75"/>
      <c r="B147" s="76"/>
      <c r="C147" s="635" t="s">
        <v>190</v>
      </c>
      <c r="D147" s="107">
        <f>DMAX('13_1'!A$12:L$39,'13_1'!$L$12,G140:G141)</f>
        <v>42975.145106689626</v>
      </c>
      <c r="E147" s="127" t="str">
        <f>IF(F147=1,"Domingo",IF(F147=2,"Lunes",IF(F147=3,"Martes",IF(F147=4,"Miercoles",IF(F147=5,"Jueves",IF(F147=6,"Viernes",IF(F147=7,"Sábado",0)))))))</f>
        <v>Lunes</v>
      </c>
      <c r="F147" s="128">
        <f>WEEKDAY(D147)</f>
        <v>2</v>
      </c>
      <c r="G147" s="103"/>
      <c r="H147" s="89"/>
    </row>
    <row r="148" spans="1:8">
      <c r="A148" s="75"/>
      <c r="B148" s="76"/>
      <c r="C148" s="76"/>
      <c r="D148" s="76"/>
      <c r="E148" s="76"/>
      <c r="F148" s="106"/>
      <c r="G148" s="106"/>
      <c r="H148" s="89"/>
    </row>
    <row r="149" spans="1:8">
      <c r="A149" s="75"/>
      <c r="B149" s="331" t="str">
        <f>+Mensajes!$B$7</f>
        <v>PARA CUALQUIER MODIFICACION EN EL CUADRO DE TURNO COMUNIQUESE CON SU TOMERO</v>
      </c>
      <c r="C149" s="279"/>
      <c r="D149" s="76"/>
      <c r="E149" s="76"/>
      <c r="F149" s="76"/>
      <c r="G149" s="76"/>
      <c r="H149" s="89"/>
    </row>
    <row r="150" spans="1:8">
      <c r="A150" s="75"/>
      <c r="B150" s="332" t="str">
        <f>+Mensajes!$B$12</f>
        <v>Recuerde que con 1 (una) cuotas vigentes impagas se restringirá el servicio.</v>
      </c>
      <c r="C150" s="280"/>
      <c r="D150" s="76"/>
      <c r="E150" s="76"/>
      <c r="F150" s="76"/>
      <c r="G150" s="76"/>
      <c r="H150" s="89"/>
    </row>
    <row r="151" spans="1:8">
      <c r="A151" s="75"/>
      <c r="B151" s="108"/>
      <c r="C151" s="76"/>
      <c r="D151" s="76"/>
      <c r="E151" s="76"/>
      <c r="F151" s="76"/>
      <c r="G151" s="76"/>
      <c r="H151" s="89"/>
    </row>
    <row r="152" spans="1:8">
      <c r="A152" s="101"/>
      <c r="B152" s="126" t="str">
        <f>IF(DSUM('13_1'!$A$12:$P$89,16,G140:G141)=COUNTIF('13_1'!$A$12:$A$89,G141),"","Regularice su Deuda")</f>
        <v>Regularice su Deuda</v>
      </c>
      <c r="C152" s="77"/>
      <c r="D152" s="77"/>
      <c r="E152" s="77"/>
      <c r="F152" s="77"/>
      <c r="G152" s="77"/>
      <c r="H152" s="78"/>
    </row>
    <row r="154" spans="1:8">
      <c r="A154" s="86"/>
      <c r="B154" s="87"/>
      <c r="C154" s="87"/>
      <c r="D154" s="87"/>
      <c r="E154" s="87"/>
      <c r="F154" s="87"/>
      <c r="G154" s="87"/>
      <c r="H154" s="88"/>
    </row>
    <row r="155" spans="1:8">
      <c r="A155" s="75"/>
      <c r="B155" s="109" t="s">
        <v>82</v>
      </c>
      <c r="C155" s="76"/>
      <c r="D155" s="76"/>
      <c r="E155" s="76"/>
      <c r="F155" s="76"/>
      <c r="G155" s="76"/>
      <c r="H155" s="89"/>
    </row>
    <row r="156" spans="1:8">
      <c r="A156" s="75"/>
      <c r="B156" s="76"/>
      <c r="C156" s="76"/>
      <c r="D156" s="76"/>
      <c r="E156" s="76"/>
      <c r="F156" s="76"/>
      <c r="G156" s="76"/>
      <c r="H156" s="89"/>
    </row>
    <row r="157" spans="1:8">
      <c r="A157" s="75"/>
      <c r="B157" s="76" t="s">
        <v>182</v>
      </c>
      <c r="C157" s="76" t="str">
        <f>VLOOKUP(G158,'13_1'!$A$12:$G$39,7,0)</f>
        <v>SORIA, MANUEL EMILIO</v>
      </c>
      <c r="D157" s="76"/>
      <c r="E157" s="76"/>
      <c r="F157" s="76"/>
      <c r="G157" s="100" t="s">
        <v>134</v>
      </c>
      <c r="H157" s="89"/>
    </row>
    <row r="158" spans="1:8">
      <c r="A158" s="75"/>
      <c r="B158" s="76" t="s">
        <v>91</v>
      </c>
      <c r="C158" s="76" t="str">
        <f>+'13_1'!$H$2</f>
        <v>Hijuela El Confín</v>
      </c>
      <c r="D158" s="76"/>
      <c r="E158" s="76"/>
      <c r="F158" s="76"/>
      <c r="G158" s="100">
        <v>10</v>
      </c>
      <c r="H158" s="89"/>
    </row>
    <row r="159" spans="1:8">
      <c r="A159" s="75"/>
      <c r="B159" s="76"/>
      <c r="C159" s="76"/>
      <c r="D159" s="76"/>
      <c r="E159" s="76"/>
      <c r="F159" s="76"/>
      <c r="G159" s="76"/>
      <c r="H159" s="89"/>
    </row>
    <row r="160" spans="1:8">
      <c r="A160" s="75"/>
      <c r="B160" s="635" t="s">
        <v>183</v>
      </c>
      <c r="C160" s="331">
        <f>VLOOKUP(G158,'13_1'!$A$12:$B$38,2,0)</f>
        <v>1248</v>
      </c>
      <c r="D160" s="76"/>
      <c r="E160" s="635" t="s">
        <v>184</v>
      </c>
      <c r="F160" s="397">
        <f>DSUM('13_1'!A$12:J$38,'13_1'!$J$12,G157:G158)</f>
        <v>3.9343972523934963E-2</v>
      </c>
      <c r="G160" s="76"/>
      <c r="H160" s="89"/>
    </row>
    <row r="161" spans="1:8">
      <c r="A161" s="75"/>
      <c r="B161" s="635" t="s">
        <v>185</v>
      </c>
      <c r="C161" s="374">
        <v>30</v>
      </c>
      <c r="D161" s="76"/>
      <c r="E161" s="635" t="s">
        <v>186</v>
      </c>
      <c r="F161" s="368" t="str">
        <f>IF(VLOOKUP(G158,'13_1'!$A$12:$D$38,4,0)=2,"Eventual 80%","Definitivo 100%")</f>
        <v>Eventual 80%</v>
      </c>
      <c r="G161" s="76"/>
      <c r="H161" s="89"/>
    </row>
    <row r="162" spans="1:8">
      <c r="A162" s="75"/>
      <c r="B162" s="635" t="s">
        <v>187</v>
      </c>
      <c r="C162" s="375">
        <f>DSUM('13_1'!$A$12:$H$38,'13_1'!$H$12,G157:G158)</f>
        <v>4.0179200000000002</v>
      </c>
      <c r="D162" s="76"/>
      <c r="E162" s="635" t="s">
        <v>188</v>
      </c>
      <c r="F162" s="369" t="str">
        <f>+Hijuelas!$G$5</f>
        <v>fracción</v>
      </c>
      <c r="G162" s="106"/>
      <c r="H162" s="89"/>
    </row>
    <row r="163" spans="1:8" ht="15.75">
      <c r="A163" s="75"/>
      <c r="B163" s="76"/>
      <c r="C163" s="635" t="s">
        <v>189</v>
      </c>
      <c r="D163" s="107">
        <f>DMIN('13_1'!A$12:K$38,'13_1'!$K$12,G157:G158)</f>
        <v>42975.145106689626</v>
      </c>
      <c r="E163" s="127" t="str">
        <f>IF(F163=1,"Domingo",IF(F163=2,"Lunes",IF(F163=3,"Martes",IF(F163=4,"Miercoles",IF(F163=5,"Jueves",IF(F163=6,"Viernes",IF(F163=7,"Sábado",0)))))))</f>
        <v>Lunes</v>
      </c>
      <c r="F163" s="128">
        <f>WEEKDAY(D163)</f>
        <v>2</v>
      </c>
      <c r="G163" s="103"/>
      <c r="H163" s="89"/>
    </row>
    <row r="164" spans="1:8" ht="15.75">
      <c r="A164" s="75"/>
      <c r="B164" s="76"/>
      <c r="C164" s="635" t="s">
        <v>190</v>
      </c>
      <c r="D164" s="107">
        <f>DMAX('13_1'!A$12:L$39,'13_1'!$L$12,G157:G158)</f>
        <v>42975.184450662149</v>
      </c>
      <c r="E164" s="127" t="str">
        <f>IF(F164=1,"Domingo",IF(F164=2,"Lunes",IF(F164=3,"Martes",IF(F164=4,"Miercoles",IF(F164=5,"Jueves",IF(F164=6,"Viernes",IF(F164=7,"Sábado",0)))))))</f>
        <v>Lunes</v>
      </c>
      <c r="F164" s="128">
        <f>WEEKDAY(D164)</f>
        <v>2</v>
      </c>
      <c r="G164" s="103"/>
      <c r="H164" s="89"/>
    </row>
    <row r="165" spans="1:8">
      <c r="A165" s="75"/>
      <c r="B165" s="76"/>
      <c r="C165" s="76"/>
      <c r="D165" s="76"/>
      <c r="E165" s="76"/>
      <c r="F165" s="106"/>
      <c r="G165" s="106"/>
      <c r="H165" s="89"/>
    </row>
    <row r="166" spans="1:8">
      <c r="A166" s="75"/>
      <c r="B166" s="331" t="str">
        <f>+Mensajes!$B$7</f>
        <v>PARA CUALQUIER MODIFICACION EN EL CUADRO DE TURNO COMUNIQUESE CON SU TOMERO</v>
      </c>
      <c r="C166" s="279"/>
      <c r="D166" s="76"/>
      <c r="E166" s="76"/>
      <c r="F166" s="76"/>
      <c r="G166" s="76"/>
      <c r="H166" s="89"/>
    </row>
    <row r="167" spans="1:8">
      <c r="A167" s="75"/>
      <c r="B167" s="332" t="str">
        <f>+Mensajes!$B$12</f>
        <v>Recuerde que con 1 (una) cuotas vigentes impagas se restringirá el servicio.</v>
      </c>
      <c r="C167" s="280"/>
      <c r="D167" s="76"/>
      <c r="E167" s="76"/>
      <c r="F167" s="76"/>
      <c r="G167" s="76"/>
      <c r="H167" s="89"/>
    </row>
    <row r="168" spans="1:8">
      <c r="A168" s="75"/>
      <c r="B168" s="108"/>
      <c r="C168" s="76"/>
      <c r="D168" s="76"/>
      <c r="E168" s="76"/>
      <c r="F168" s="76"/>
      <c r="G168" s="76"/>
      <c r="H168" s="89"/>
    </row>
    <row r="169" spans="1:8">
      <c r="A169" s="101"/>
      <c r="B169" s="126" t="str">
        <f>IF(DSUM('13_1'!$A$12:$P$89,16,G157:G158)=COUNTIF('13_1'!$A$12:$A$89,G158),"","Regularice su Deuda")</f>
        <v/>
      </c>
      <c r="C169" s="77"/>
      <c r="D169" s="77"/>
      <c r="E169" s="77"/>
      <c r="F169" s="77"/>
      <c r="G169" s="77"/>
      <c r="H169" s="78"/>
    </row>
    <row r="171" spans="1:8">
      <c r="A171" s="86"/>
      <c r="B171" s="87"/>
      <c r="C171" s="87"/>
      <c r="D171" s="87"/>
      <c r="E171" s="87"/>
      <c r="F171" s="87"/>
      <c r="G171" s="87"/>
      <c r="H171" s="88"/>
    </row>
    <row r="172" spans="1:8">
      <c r="A172" s="75"/>
      <c r="B172" s="109" t="s">
        <v>82</v>
      </c>
      <c r="C172" s="76"/>
      <c r="D172" s="76"/>
      <c r="E172" s="76"/>
      <c r="F172" s="76"/>
      <c r="G172" s="76"/>
      <c r="H172" s="89"/>
    </row>
    <row r="173" spans="1:8">
      <c r="A173" s="75"/>
      <c r="B173" s="76"/>
      <c r="C173" s="76"/>
      <c r="D173" s="76"/>
      <c r="E173" s="76"/>
      <c r="F173" s="76"/>
      <c r="G173" s="76"/>
      <c r="H173" s="89"/>
    </row>
    <row r="174" spans="1:8">
      <c r="A174" s="75"/>
      <c r="B174" s="76" t="s">
        <v>182</v>
      </c>
      <c r="C174" s="76" t="str">
        <f>VLOOKUP(G175,'13_1'!$A$12:$G$39,7,0)</f>
        <v>VARGAS RODRIGUEZ, JUAN</v>
      </c>
      <c r="D174" s="76"/>
      <c r="E174" s="76"/>
      <c r="F174" s="76"/>
      <c r="G174" s="100" t="s">
        <v>134</v>
      </c>
      <c r="H174" s="89"/>
    </row>
    <row r="175" spans="1:8">
      <c r="A175" s="75"/>
      <c r="B175" s="76" t="s">
        <v>91</v>
      </c>
      <c r="C175" s="76" t="str">
        <f>+'13_1'!$H$2</f>
        <v>Hijuela El Confín</v>
      </c>
      <c r="D175" s="76"/>
      <c r="E175" s="76"/>
      <c r="F175" s="76"/>
      <c r="G175" s="100">
        <v>11</v>
      </c>
      <c r="H175" s="89"/>
    </row>
    <row r="176" spans="1:8">
      <c r="A176" s="75"/>
      <c r="B176" s="76"/>
      <c r="C176" s="76"/>
      <c r="D176" s="76"/>
      <c r="E176" s="76"/>
      <c r="F176" s="76"/>
      <c r="G176" s="76"/>
      <c r="H176" s="89"/>
    </row>
    <row r="177" spans="1:8">
      <c r="A177" s="75"/>
      <c r="B177" s="635" t="s">
        <v>183</v>
      </c>
      <c r="C177" s="331">
        <f>VLOOKUP(G175,'13_1'!$A$12:$B$38,2,0)</f>
        <v>1248</v>
      </c>
      <c r="D177" s="76"/>
      <c r="E177" s="635" t="s">
        <v>184</v>
      </c>
      <c r="F177" s="397">
        <f>DSUM('13_1'!A$12:J$38,'13_1'!$J$12,G174:G175)</f>
        <v>4.6862757333681851E-2</v>
      </c>
      <c r="G177" s="76"/>
      <c r="H177" s="89"/>
    </row>
    <row r="178" spans="1:8">
      <c r="A178" s="75"/>
      <c r="B178" s="635" t="s">
        <v>185</v>
      </c>
      <c r="C178" s="374">
        <v>32</v>
      </c>
      <c r="D178" s="76"/>
      <c r="E178" s="635" t="s">
        <v>186</v>
      </c>
      <c r="F178" s="368" t="str">
        <f>IF(VLOOKUP(G175,'13_1'!$A$12:$D$38,4,0)=2,"Eventual 80%","Definitivo 100%")</f>
        <v>Eventual 80%</v>
      </c>
      <c r="G178" s="76"/>
      <c r="H178" s="89"/>
    </row>
    <row r="179" spans="1:8">
      <c r="A179" s="75"/>
      <c r="B179" s="635" t="s">
        <v>187</v>
      </c>
      <c r="C179" s="375">
        <f>DSUM('13_1'!$A$12:$H$38,'13_1'!$H$12,G174:G175)</f>
        <v>4.7857599999999998</v>
      </c>
      <c r="D179" s="76"/>
      <c r="E179" s="635" t="s">
        <v>188</v>
      </c>
      <c r="F179" s="369" t="str">
        <f>+Hijuelas!$G$5</f>
        <v>fracción</v>
      </c>
      <c r="G179" s="106"/>
      <c r="H179" s="89"/>
    </row>
    <row r="180" spans="1:8" ht="15.75">
      <c r="A180" s="75"/>
      <c r="B180" s="76"/>
      <c r="C180" s="635" t="s">
        <v>189</v>
      </c>
      <c r="D180" s="107">
        <f>DMIN('13_1'!A$12:K$38,'13_1'!$K$12,G174:G175)</f>
        <v>42975.184450662149</v>
      </c>
      <c r="E180" s="127" t="str">
        <f>IF(F180=1,"Domingo",IF(F180=2,"Lunes",IF(F180=3,"Martes",IF(F180=4,"Miercoles",IF(F180=5,"Jueves",IF(F180=6,"Viernes",IF(F180=7,"Sábado",0)))))))</f>
        <v>Lunes</v>
      </c>
      <c r="F180" s="128">
        <f>WEEKDAY(D180)</f>
        <v>2</v>
      </c>
      <c r="G180" s="103"/>
      <c r="H180" s="89"/>
    </row>
    <row r="181" spans="1:8" ht="15.75">
      <c r="A181" s="75"/>
      <c r="B181" s="76"/>
      <c r="C181" s="635" t="s">
        <v>190</v>
      </c>
      <c r="D181" s="107">
        <f>DMAX('13_1'!A$12:L$39,'13_1'!$L$12,G174:G175)</f>
        <v>42975.231313419485</v>
      </c>
      <c r="E181" s="127" t="str">
        <f>IF(F181=1,"Domingo",IF(F181=2,"Lunes",IF(F181=3,"Martes",IF(F181=4,"Miercoles",IF(F181=5,"Jueves",IF(F181=6,"Viernes",IF(F181=7,"Sábado",0)))))))</f>
        <v>Lunes</v>
      </c>
      <c r="F181" s="128">
        <f>WEEKDAY(D181)</f>
        <v>2</v>
      </c>
      <c r="G181" s="103"/>
      <c r="H181" s="89"/>
    </row>
    <row r="182" spans="1:8">
      <c r="A182" s="75"/>
      <c r="B182" s="76"/>
      <c r="C182" s="76"/>
      <c r="D182" s="76"/>
      <c r="E182" s="76"/>
      <c r="F182" s="106"/>
      <c r="G182" s="106"/>
      <c r="H182" s="89"/>
    </row>
    <row r="183" spans="1:8">
      <c r="A183" s="75"/>
      <c r="B183" s="331" t="str">
        <f>+Mensajes!$B$7</f>
        <v>PARA CUALQUIER MODIFICACION EN EL CUADRO DE TURNO COMUNIQUESE CON SU TOMERO</v>
      </c>
      <c r="C183" s="279"/>
      <c r="D183" s="76"/>
      <c r="E183" s="76"/>
      <c r="F183" s="76"/>
      <c r="G183" s="76"/>
      <c r="H183" s="89"/>
    </row>
    <row r="184" spans="1:8">
      <c r="A184" s="75"/>
      <c r="B184" s="332" t="str">
        <f>+Mensajes!$B$12</f>
        <v>Recuerde que con 1 (una) cuotas vigentes impagas se restringirá el servicio.</v>
      </c>
      <c r="C184" s="280"/>
      <c r="D184" s="76"/>
      <c r="E184" s="76"/>
      <c r="F184" s="76"/>
      <c r="G184" s="76"/>
      <c r="H184" s="89"/>
    </row>
    <row r="185" spans="1:8">
      <c r="A185" s="75"/>
      <c r="B185" s="108"/>
      <c r="C185" s="76"/>
      <c r="D185" s="76"/>
      <c r="E185" s="76"/>
      <c r="F185" s="76"/>
      <c r="G185" s="76"/>
      <c r="H185" s="89"/>
    </row>
    <row r="186" spans="1:8">
      <c r="A186" s="101"/>
      <c r="B186" s="126" t="str">
        <f>IF(DSUM('13_1'!$A$12:$P$89,16,G174:G175)=COUNTIF('13_1'!$A$12:$A$89,G175),"","Regularice su Deuda")</f>
        <v/>
      </c>
      <c r="C186" s="77"/>
      <c r="D186" s="77"/>
      <c r="E186" s="77"/>
      <c r="F186" s="77"/>
      <c r="G186" s="77"/>
      <c r="H186" s="78"/>
    </row>
    <row r="188" spans="1:8">
      <c r="A188" s="86"/>
      <c r="B188" s="87"/>
      <c r="C188" s="87"/>
      <c r="D188" s="87"/>
      <c r="E188" s="87"/>
      <c r="F188" s="87"/>
      <c r="G188" s="87"/>
      <c r="H188" s="88"/>
    </row>
    <row r="189" spans="1:8">
      <c r="A189" s="75"/>
      <c r="B189" s="109" t="s">
        <v>82</v>
      </c>
      <c r="C189" s="76"/>
      <c r="D189" s="76"/>
      <c r="E189" s="76"/>
      <c r="F189" s="76"/>
      <c r="G189" s="76"/>
      <c r="H189" s="89"/>
    </row>
    <row r="190" spans="1:8">
      <c r="A190" s="75"/>
      <c r="B190" s="76"/>
      <c r="C190" s="76"/>
      <c r="D190" s="76"/>
      <c r="E190" s="76"/>
      <c r="F190" s="76"/>
      <c r="G190" s="76"/>
      <c r="H190" s="89"/>
    </row>
    <row r="191" spans="1:8">
      <c r="A191" s="75"/>
      <c r="B191" s="76" t="s">
        <v>182</v>
      </c>
      <c r="C191" s="76" t="str">
        <f>VLOOKUP(G192,'13_1'!$A$12:$G$39,7,0)</f>
        <v>COSTA DE ARAUJO S.A.A.I.C.</v>
      </c>
      <c r="D191" s="76"/>
      <c r="E191" s="76"/>
      <c r="F191" s="76"/>
      <c r="G191" s="100" t="s">
        <v>134</v>
      </c>
      <c r="H191" s="89"/>
    </row>
    <row r="192" spans="1:8">
      <c r="A192" s="75"/>
      <c r="B192" s="76" t="s">
        <v>91</v>
      </c>
      <c r="C192" s="76" t="str">
        <f>+'13_1'!$H$2</f>
        <v>Hijuela El Confín</v>
      </c>
      <c r="D192" s="76"/>
      <c r="E192" s="76"/>
      <c r="F192" s="76"/>
      <c r="G192" s="100">
        <v>12</v>
      </c>
      <c r="H192" s="89"/>
    </row>
    <row r="193" spans="1:8">
      <c r="A193" s="75"/>
      <c r="B193" s="76"/>
      <c r="C193" s="76"/>
      <c r="D193" s="76"/>
      <c r="E193" s="76"/>
      <c r="F193" s="76"/>
      <c r="G193" s="76"/>
      <c r="H193" s="89"/>
    </row>
    <row r="194" spans="1:8">
      <c r="A194" s="75"/>
      <c r="B194" s="635" t="s">
        <v>183</v>
      </c>
      <c r="C194" s="331">
        <f>VLOOKUP(G192,'13_1'!$A$12:$B$38,2,0)</f>
        <v>1248</v>
      </c>
      <c r="D194" s="76"/>
      <c r="E194" s="635" t="s">
        <v>184</v>
      </c>
      <c r="F194" s="397">
        <f>DSUM('13_1'!A$12:J$38,'13_1'!$J$12,G191:G192)</f>
        <v>1.5131182328887898</v>
      </c>
      <c r="G194" s="76"/>
      <c r="H194" s="89"/>
    </row>
    <row r="195" spans="1:8">
      <c r="A195" s="75"/>
      <c r="B195" s="635" t="s">
        <v>185</v>
      </c>
      <c r="C195" s="374" t="s">
        <v>504</v>
      </c>
      <c r="D195" s="76"/>
      <c r="E195" s="635" t="s">
        <v>186</v>
      </c>
      <c r="F195" s="368" t="str">
        <f>IF(VLOOKUP(G192,'13_1'!$A$12:$D$38,4,0)=2,"Eventual 80%","Definitivo 100%")</f>
        <v>Eventual 80%</v>
      </c>
      <c r="G195" s="76"/>
      <c r="H195" s="89"/>
    </row>
    <row r="196" spans="1:8">
      <c r="A196" s="75"/>
      <c r="B196" s="635" t="s">
        <v>187</v>
      </c>
      <c r="C196" s="375">
        <f>DSUM('13_1'!$A$12:$H$38,'13_1'!$H$12,G191:G192)</f>
        <v>154.524</v>
      </c>
      <c r="D196" s="76"/>
      <c r="E196" s="635" t="s">
        <v>188</v>
      </c>
      <c r="F196" s="369" t="str">
        <f>+Hijuelas!$G$5</f>
        <v>fracción</v>
      </c>
      <c r="G196" s="106"/>
      <c r="H196" s="89"/>
    </row>
    <row r="197" spans="1:8" ht="15.75">
      <c r="A197" s="75"/>
      <c r="B197" s="76"/>
      <c r="C197" s="635" t="s">
        <v>189</v>
      </c>
      <c r="D197" s="107">
        <f>DMIN('13_1'!A$12:K$38,'13_1'!$K$12,G191:G192)</f>
        <v>42975.231313419485</v>
      </c>
      <c r="E197" s="127" t="str">
        <f>IF(F197=1,"Domingo",IF(F197=2,"Lunes",IF(F197=3,"Martes",IF(F197=4,"Miercoles",IF(F197=5,"Jueves",IF(F197=6,"Viernes",IF(F197=7,"Sábado",0)))))))</f>
        <v>Lunes</v>
      </c>
      <c r="F197" s="128">
        <f>WEEKDAY(D197)</f>
        <v>2</v>
      </c>
      <c r="G197" s="103"/>
      <c r="H197" s="89"/>
    </row>
    <row r="198" spans="1:8" ht="15.75">
      <c r="A198" s="75"/>
      <c r="B198" s="76"/>
      <c r="C198" s="635" t="s">
        <v>190</v>
      </c>
      <c r="D198" s="107">
        <f>DMAX('13_1'!A$12:L$39,'13_1'!$L$12,G191:G192)</f>
        <v>42976.744431652369</v>
      </c>
      <c r="E198" s="127" t="str">
        <f>IF(F198=1,"Domingo",IF(F198=2,"Lunes",IF(F198=3,"Martes",IF(F198=4,"Miercoles",IF(F198=5,"Jueves",IF(F198=6,"Viernes",IF(F198=7,"Sábado",0)))))))</f>
        <v>Martes</v>
      </c>
      <c r="F198" s="128">
        <f>WEEKDAY(D198)</f>
        <v>3</v>
      </c>
      <c r="G198" s="103"/>
      <c r="H198" s="89"/>
    </row>
    <row r="199" spans="1:8">
      <c r="A199" s="75"/>
      <c r="B199" s="76"/>
      <c r="C199" s="76"/>
      <c r="D199" s="76"/>
      <c r="E199" s="76"/>
      <c r="F199" s="106"/>
      <c r="G199" s="106"/>
      <c r="H199" s="89"/>
    </row>
    <row r="200" spans="1:8">
      <c r="A200" s="75"/>
      <c r="B200" s="331" t="str">
        <f>+Mensajes!$B$7</f>
        <v>PARA CUALQUIER MODIFICACION EN EL CUADRO DE TURNO COMUNIQUESE CON SU TOMERO</v>
      </c>
      <c r="C200" s="279"/>
      <c r="D200" s="76"/>
      <c r="E200" s="76"/>
      <c r="F200" s="76"/>
      <c r="G200" s="76"/>
      <c r="H200" s="89"/>
    </row>
    <row r="201" spans="1:8">
      <c r="A201" s="75"/>
      <c r="B201" s="332" t="str">
        <f>+Mensajes!$B$12</f>
        <v>Recuerde que con 1 (una) cuotas vigentes impagas se restringirá el servicio.</v>
      </c>
      <c r="C201" s="280"/>
      <c r="D201" s="76"/>
      <c r="E201" s="76"/>
      <c r="F201" s="76"/>
      <c r="G201" s="76"/>
      <c r="H201" s="89"/>
    </row>
    <row r="202" spans="1:8">
      <c r="A202" s="75"/>
      <c r="B202" s="108"/>
      <c r="C202" s="76"/>
      <c r="D202" s="76"/>
      <c r="E202" s="76"/>
      <c r="F202" s="76"/>
      <c r="G202" s="76"/>
      <c r="H202" s="89"/>
    </row>
    <row r="203" spans="1:8">
      <c r="A203" s="101"/>
      <c r="B203" s="126" t="str">
        <f>IF(DSUM('13_1'!$A$12:$P$89,16,G191:G192)=COUNTIF('13_1'!$A$12:$A$89,G192),"","Regularice su Deuda")</f>
        <v/>
      </c>
      <c r="C203" s="77"/>
      <c r="D203" s="77"/>
      <c r="E203" s="77"/>
      <c r="F203" s="77"/>
      <c r="G203" s="77"/>
      <c r="H203" s="78"/>
    </row>
    <row r="205" spans="1:8">
      <c r="A205" s="86"/>
      <c r="B205" s="87"/>
      <c r="C205" s="87"/>
      <c r="D205" s="87"/>
      <c r="E205" s="87"/>
      <c r="F205" s="87"/>
      <c r="G205" s="87"/>
      <c r="H205" s="88"/>
    </row>
    <row r="206" spans="1:8">
      <c r="A206" s="75"/>
      <c r="B206" s="109" t="s">
        <v>82</v>
      </c>
      <c r="C206" s="76"/>
      <c r="D206" s="76"/>
      <c r="E206" s="76"/>
      <c r="F206" s="76"/>
      <c r="G206" s="76"/>
      <c r="H206" s="89"/>
    </row>
    <row r="207" spans="1:8">
      <c r="A207" s="75"/>
      <c r="B207" s="76"/>
      <c r="C207" s="76"/>
      <c r="D207" s="76"/>
      <c r="E207" s="76"/>
      <c r="F207" s="76"/>
      <c r="G207" s="76"/>
      <c r="H207" s="89"/>
    </row>
    <row r="208" spans="1:8">
      <c r="A208" s="75"/>
      <c r="B208" s="76" t="s">
        <v>182</v>
      </c>
      <c r="C208" s="76" t="str">
        <f>VLOOKUP(G209,'13_1'!$A$12:$G$39,7,0)</f>
        <v>MANRESA, CRISTOBAL HUGO</v>
      </c>
      <c r="D208" s="76"/>
      <c r="E208" s="76"/>
      <c r="F208" s="76"/>
      <c r="G208" s="100" t="s">
        <v>134</v>
      </c>
      <c r="H208" s="89"/>
    </row>
    <row r="209" spans="1:8">
      <c r="A209" s="75"/>
      <c r="B209" s="76" t="s">
        <v>91</v>
      </c>
      <c r="C209" s="76" t="str">
        <f>+'13_1'!$H$2</f>
        <v>Hijuela El Confín</v>
      </c>
      <c r="D209" s="76"/>
      <c r="E209" s="76"/>
      <c r="F209" s="76"/>
      <c r="G209" s="100">
        <v>13</v>
      </c>
      <c r="H209" s="89"/>
    </row>
    <row r="210" spans="1:8">
      <c r="A210" s="75"/>
      <c r="B210" s="76"/>
      <c r="C210" s="76"/>
      <c r="D210" s="76"/>
      <c r="E210" s="76"/>
      <c r="F210" s="76"/>
      <c r="G210" s="76"/>
      <c r="H210" s="89"/>
    </row>
    <row r="211" spans="1:8">
      <c r="A211" s="75"/>
      <c r="B211" s="635" t="s">
        <v>183</v>
      </c>
      <c r="C211" s="331">
        <f>VLOOKUP(G209,'13_1'!$A$12:$B$38,2,0)</f>
        <v>1248</v>
      </c>
      <c r="D211" s="76"/>
      <c r="E211" s="635" t="s">
        <v>184</v>
      </c>
      <c r="F211" s="397">
        <f>DSUM('13_1'!A$12:J$38,'13_1'!$J$12,G208:G209)</f>
        <v>0.60201432535911814</v>
      </c>
      <c r="G211" s="76"/>
      <c r="H211" s="89"/>
    </row>
    <row r="212" spans="1:8">
      <c r="A212" s="75"/>
      <c r="B212" s="635" t="s">
        <v>185</v>
      </c>
      <c r="C212" s="374" t="s">
        <v>505</v>
      </c>
      <c r="D212" s="76"/>
      <c r="E212" s="635" t="s">
        <v>186</v>
      </c>
      <c r="F212" s="368" t="str">
        <f>IF(VLOOKUP(G209,'13_1'!$A$12:$D$38,4,0)=2,"Eventual 80%","Definitivo 100%")</f>
        <v>Eventual 80%</v>
      </c>
      <c r="G212" s="76"/>
      <c r="H212" s="89"/>
    </row>
    <row r="213" spans="1:8">
      <c r="A213" s="75"/>
      <c r="B213" s="635" t="s">
        <v>187</v>
      </c>
      <c r="C213" s="375">
        <f>DSUM('13_1'!$A$12:$H$38,'13_1'!$H$12,G208:G209)</f>
        <v>61.479439999999997</v>
      </c>
      <c r="D213" s="76"/>
      <c r="E213" s="635" t="s">
        <v>188</v>
      </c>
      <c r="F213" s="369" t="str">
        <f>+Hijuelas!$G$5</f>
        <v>fracción</v>
      </c>
      <c r="G213" s="106"/>
      <c r="H213" s="89"/>
    </row>
    <row r="214" spans="1:8" ht="15.75">
      <c r="A214" s="75"/>
      <c r="B214" s="76"/>
      <c r="C214" s="635" t="s">
        <v>189</v>
      </c>
      <c r="D214" s="107">
        <f>DMIN('13_1'!A$12:K$38,'13_1'!$K$12,G208:G209)</f>
        <v>42976.744431652369</v>
      </c>
      <c r="E214" s="127" t="str">
        <f>IF(F214=1,"Domingo",IF(F214=2,"Lunes",IF(F214=3,"Martes",IF(F214=4,"Miercoles",IF(F214=5,"Jueves",IF(F214=6,"Viernes",IF(F214=7,"Sábado",0)))))))</f>
        <v>Martes</v>
      </c>
      <c r="F214" s="128">
        <f>WEEKDAY(D214)</f>
        <v>3</v>
      </c>
      <c r="G214" s="103"/>
      <c r="H214" s="89"/>
    </row>
    <row r="215" spans="1:8" ht="15.75">
      <c r="A215" s="75"/>
      <c r="B215" s="76"/>
      <c r="C215" s="635" t="s">
        <v>190</v>
      </c>
      <c r="D215" s="107">
        <f>DMAX('13_1'!A$12:L$39,'13_1'!$L$12,G208:G209)</f>
        <v>42977.346445977724</v>
      </c>
      <c r="E215" s="127" t="str">
        <f>IF(F215=1,"Domingo",IF(F215=2,"Lunes",IF(F215=3,"Martes",IF(F215=4,"Miercoles",IF(F215=5,"Jueves",IF(F215=6,"Viernes",IF(F215=7,"Sábado",0)))))))</f>
        <v>Miercoles</v>
      </c>
      <c r="F215" s="128">
        <f>WEEKDAY(D215)</f>
        <v>4</v>
      </c>
      <c r="G215" s="103"/>
      <c r="H215" s="89"/>
    </row>
    <row r="216" spans="1:8">
      <c r="A216" s="75"/>
      <c r="B216" s="76"/>
      <c r="C216" s="76"/>
      <c r="D216" s="76"/>
      <c r="E216" s="76"/>
      <c r="F216" s="106"/>
      <c r="G216" s="106"/>
      <c r="H216" s="89"/>
    </row>
    <row r="217" spans="1:8">
      <c r="A217" s="75"/>
      <c r="B217" s="331" t="str">
        <f>+Mensajes!$B$7</f>
        <v>PARA CUALQUIER MODIFICACION EN EL CUADRO DE TURNO COMUNIQUESE CON SU TOMERO</v>
      </c>
      <c r="C217" s="279"/>
      <c r="D217" s="76"/>
      <c r="E217" s="76"/>
      <c r="F217" s="76"/>
      <c r="G217" s="76"/>
      <c r="H217" s="89"/>
    </row>
    <row r="218" spans="1:8">
      <c r="A218" s="75"/>
      <c r="B218" s="332" t="str">
        <f>+Mensajes!$B$12</f>
        <v>Recuerde que con 1 (una) cuotas vigentes impagas se restringirá el servicio.</v>
      </c>
      <c r="C218" s="280"/>
      <c r="D218" s="76"/>
      <c r="E218" s="76"/>
      <c r="F218" s="76"/>
      <c r="G218" s="76"/>
      <c r="H218" s="89"/>
    </row>
    <row r="219" spans="1:8">
      <c r="A219" s="75"/>
      <c r="B219" s="108"/>
      <c r="C219" s="76"/>
      <c r="D219" s="76"/>
      <c r="E219" s="76"/>
      <c r="F219" s="76"/>
      <c r="G219" s="76"/>
      <c r="H219" s="89"/>
    </row>
    <row r="220" spans="1:8">
      <c r="A220" s="101"/>
      <c r="B220" s="126" t="str">
        <f>IF(DSUM('13_1'!$A$12:$P$89,16,G208:G209)=COUNTIF('13_1'!$A$12:$A$89,G209),"","Regularice su Deuda")</f>
        <v>Regularice su Deuda</v>
      </c>
      <c r="C220" s="77"/>
      <c r="D220" s="77"/>
      <c r="E220" s="77"/>
      <c r="F220" s="77"/>
      <c r="G220" s="77"/>
      <c r="H220" s="78"/>
    </row>
    <row r="222" spans="1:8">
      <c r="A222" s="86"/>
      <c r="B222" s="87"/>
      <c r="C222" s="87"/>
      <c r="D222" s="87"/>
      <c r="E222" s="87"/>
      <c r="F222" s="87"/>
      <c r="G222" s="87"/>
      <c r="H222" s="88"/>
    </row>
    <row r="223" spans="1:8">
      <c r="A223" s="75"/>
      <c r="B223" s="109" t="s">
        <v>82</v>
      </c>
      <c r="C223" s="76"/>
      <c r="D223" s="76"/>
      <c r="E223" s="76"/>
      <c r="F223" s="76"/>
      <c r="G223" s="76"/>
      <c r="H223" s="89"/>
    </row>
    <row r="224" spans="1:8">
      <c r="A224" s="75"/>
      <c r="B224" s="76"/>
      <c r="C224" s="76"/>
      <c r="D224" s="76"/>
      <c r="E224" s="76"/>
      <c r="F224" s="76"/>
      <c r="G224" s="76"/>
      <c r="H224" s="89"/>
    </row>
    <row r="225" spans="1:8">
      <c r="A225" s="75"/>
      <c r="B225" s="76" t="s">
        <v>182</v>
      </c>
      <c r="C225" s="76" t="str">
        <f>VLOOKUP(G226,'13_1'!$A$12:$G$39,7,0)</f>
        <v>MURATORI, ALDO VIRGILIO</v>
      </c>
      <c r="D225" s="76"/>
      <c r="E225" s="76"/>
      <c r="F225" s="76"/>
      <c r="G225" s="100" t="s">
        <v>134</v>
      </c>
      <c r="H225" s="89"/>
    </row>
    <row r="226" spans="1:8">
      <c r="A226" s="75"/>
      <c r="B226" s="76" t="s">
        <v>91</v>
      </c>
      <c r="C226" s="76" t="str">
        <f>+'13_1'!$H$2</f>
        <v>Hijuela El Confín</v>
      </c>
      <c r="D226" s="76"/>
      <c r="E226" s="76"/>
      <c r="F226" s="76"/>
      <c r="G226" s="100">
        <v>14</v>
      </c>
      <c r="H226" s="89"/>
    </row>
    <row r="227" spans="1:8">
      <c r="A227" s="75"/>
      <c r="B227" s="76"/>
      <c r="C227" s="76"/>
      <c r="D227" s="76"/>
      <c r="E227" s="76"/>
      <c r="F227" s="76"/>
      <c r="G227" s="76"/>
      <c r="H227" s="89"/>
    </row>
    <row r="228" spans="1:8">
      <c r="A228" s="75"/>
      <c r="B228" s="635" t="s">
        <v>183</v>
      </c>
      <c r="C228" s="331">
        <f>VLOOKUP(G226,'13_1'!$A$12:$B$38,2,0)</f>
        <v>1248</v>
      </c>
      <c r="D228" s="76"/>
      <c r="E228" s="635" t="s">
        <v>184</v>
      </c>
      <c r="F228" s="397">
        <f>DSUM('13_1'!A$12:J$38,'13_1'!$J$12,G225:G226)</f>
        <v>0.18480402226324016</v>
      </c>
      <c r="G228" s="76"/>
      <c r="H228" s="89"/>
    </row>
    <row r="229" spans="1:8">
      <c r="A229" s="75"/>
      <c r="B229" s="635" t="s">
        <v>185</v>
      </c>
      <c r="C229" s="374">
        <v>16</v>
      </c>
      <c r="D229" s="76"/>
      <c r="E229" s="635" t="s">
        <v>186</v>
      </c>
      <c r="F229" s="368" t="str">
        <f>IF(VLOOKUP(G226,'13_1'!$A$12:$D$38,4,0)=2,"Eventual 80%","Definitivo 100%")</f>
        <v>Eventual 80%</v>
      </c>
      <c r="G229" s="76"/>
      <c r="H229" s="89"/>
    </row>
    <row r="230" spans="1:8">
      <c r="A230" s="75"/>
      <c r="B230" s="635" t="s">
        <v>187</v>
      </c>
      <c r="C230" s="375">
        <f>DSUM('13_1'!$A$12:$H$38,'13_1'!$H$12,G225:G226)</f>
        <v>18.872720000000001</v>
      </c>
      <c r="D230" s="76"/>
      <c r="E230" s="635" t="s">
        <v>188</v>
      </c>
      <c r="F230" s="369" t="str">
        <f>+Hijuelas!$G$5</f>
        <v>fracción</v>
      </c>
      <c r="G230" s="106"/>
      <c r="H230" s="89"/>
    </row>
    <row r="231" spans="1:8" ht="15.75">
      <c r="A231" s="75"/>
      <c r="B231" s="76"/>
      <c r="C231" s="635" t="s">
        <v>189</v>
      </c>
      <c r="D231" s="107">
        <f>DMIN('13_1'!A$12:K$38,'13_1'!$K$12,G225:G226)</f>
        <v>42977.346445977724</v>
      </c>
      <c r="E231" s="127" t="str">
        <f>IF(F231=1,"Domingo",IF(F231=2,"Lunes",IF(F231=3,"Martes",IF(F231=4,"Miercoles",IF(F231=5,"Jueves",IF(F231=6,"Viernes",IF(F231=7,"Sábado",0)))))))</f>
        <v>Miercoles</v>
      </c>
      <c r="F231" s="128">
        <f>WEEKDAY(D231)</f>
        <v>4</v>
      </c>
      <c r="G231" s="103"/>
      <c r="H231" s="89"/>
    </row>
    <row r="232" spans="1:8" ht="15.75">
      <c r="A232" s="75"/>
      <c r="B232" s="76"/>
      <c r="C232" s="635" t="s">
        <v>190</v>
      </c>
      <c r="D232" s="107">
        <f>DMAX('13_1'!A$12:L$39,'13_1'!$L$12,G225:G226)</f>
        <v>42977.531249999985</v>
      </c>
      <c r="E232" s="127" t="str">
        <f>IF(F232=1,"Domingo",IF(F232=2,"Lunes",IF(F232=3,"Martes",IF(F232=4,"Miercoles",IF(F232=5,"Jueves",IF(F232=6,"Viernes",IF(F232=7,"Sábado",0)))))))</f>
        <v>Miercoles</v>
      </c>
      <c r="F232" s="128">
        <f>WEEKDAY(D232)</f>
        <v>4</v>
      </c>
      <c r="G232" s="103"/>
      <c r="H232" s="89"/>
    </row>
    <row r="233" spans="1:8">
      <c r="A233" s="75"/>
      <c r="B233" s="76"/>
      <c r="C233" s="76"/>
      <c r="D233" s="76"/>
      <c r="E233" s="76"/>
      <c r="F233" s="106"/>
      <c r="G233" s="106"/>
      <c r="H233" s="89"/>
    </row>
    <row r="234" spans="1:8">
      <c r="A234" s="75"/>
      <c r="B234" s="331" t="str">
        <f>+Mensajes!$B$7</f>
        <v>PARA CUALQUIER MODIFICACION EN EL CUADRO DE TURNO COMUNIQUESE CON SU TOMERO</v>
      </c>
      <c r="C234" s="279"/>
      <c r="D234" s="76"/>
      <c r="E234" s="76"/>
      <c r="F234" s="76"/>
      <c r="G234" s="76"/>
      <c r="H234" s="89"/>
    </row>
    <row r="235" spans="1:8">
      <c r="A235" s="75"/>
      <c r="B235" s="332" t="str">
        <f>+Mensajes!$B$12</f>
        <v>Recuerde que con 1 (una) cuotas vigentes impagas se restringirá el servicio.</v>
      </c>
      <c r="C235" s="280"/>
      <c r="D235" s="76"/>
      <c r="E235" s="76"/>
      <c r="F235" s="76"/>
      <c r="G235" s="76"/>
      <c r="H235" s="89"/>
    </row>
    <row r="236" spans="1:8">
      <c r="A236" s="75"/>
      <c r="B236" s="108"/>
      <c r="C236" s="76"/>
      <c r="D236" s="76"/>
      <c r="E236" s="76"/>
      <c r="F236" s="76"/>
      <c r="G236" s="76"/>
      <c r="H236" s="89"/>
    </row>
    <row r="237" spans="1:8">
      <c r="A237" s="101"/>
      <c r="B237" s="126" t="str">
        <f>IF(DSUM('13_1'!$A$12:$P$89,16,G225:G226)=COUNTIF('13_1'!$A$12:$A$89,G226),"","Regularice su Deuda")</f>
        <v/>
      </c>
      <c r="C237" s="77"/>
      <c r="D237" s="77"/>
      <c r="E237" s="77"/>
      <c r="F237" s="77"/>
      <c r="G237" s="77"/>
      <c r="H237" s="78"/>
    </row>
    <row r="239" spans="1:8">
      <c r="A239" s="86"/>
      <c r="B239" s="87"/>
      <c r="C239" s="87"/>
      <c r="D239" s="87"/>
      <c r="E239" s="87"/>
      <c r="F239" s="87"/>
      <c r="G239" s="87"/>
      <c r="H239" s="88"/>
    </row>
    <row r="240" spans="1:8">
      <c r="A240" s="75"/>
      <c r="B240" s="109" t="s">
        <v>82</v>
      </c>
      <c r="C240" s="76"/>
      <c r="D240" s="76"/>
      <c r="E240" s="76"/>
      <c r="F240" s="76"/>
      <c r="G240" s="76"/>
      <c r="H240" s="89"/>
    </row>
    <row r="241" spans="1:8">
      <c r="A241" s="75"/>
      <c r="B241" s="76"/>
      <c r="C241" s="76"/>
      <c r="D241" s="76"/>
      <c r="E241" s="76"/>
      <c r="F241" s="76"/>
      <c r="G241" s="76"/>
      <c r="H241" s="89"/>
    </row>
    <row r="242" spans="1:8">
      <c r="A242" s="75"/>
      <c r="B242" s="76" t="s">
        <v>182</v>
      </c>
      <c r="C242" s="76" t="str">
        <f>VLOOKUP(G243,'13_1'!$A$12:$G$39,7,0)</f>
        <v>GARCIA, DOMINGO</v>
      </c>
      <c r="D242" s="76"/>
      <c r="E242" s="76"/>
      <c r="F242" s="76"/>
      <c r="G242" s="100" t="s">
        <v>134</v>
      </c>
      <c r="H242" s="89"/>
    </row>
    <row r="243" spans="1:8">
      <c r="A243" s="75"/>
      <c r="B243" s="76" t="s">
        <v>91</v>
      </c>
      <c r="C243" s="76" t="str">
        <f>+'13_1'!$H$2</f>
        <v>Hijuela El Confín</v>
      </c>
      <c r="D243" s="76"/>
      <c r="E243" s="76"/>
      <c r="F243" s="76"/>
      <c r="G243" s="100">
        <v>15</v>
      </c>
      <c r="H243" s="89"/>
    </row>
    <row r="244" spans="1:8">
      <c r="A244" s="75"/>
      <c r="B244" s="76"/>
      <c r="C244" s="76"/>
      <c r="D244" s="76"/>
      <c r="E244" s="76"/>
      <c r="F244" s="76"/>
      <c r="G244" s="76"/>
      <c r="H244" s="89"/>
    </row>
    <row r="245" spans="1:8">
      <c r="A245" s="75"/>
      <c r="B245" s="635" t="s">
        <v>183</v>
      </c>
      <c r="C245" s="331">
        <f>VLOOKUP(G243,'13_1'!$A$12:$B$38,2,0)</f>
        <v>1248</v>
      </c>
      <c r="D245" s="76"/>
      <c r="E245" s="635" t="s">
        <v>184</v>
      </c>
      <c r="F245" s="397">
        <f>DSUM('13_1'!A$12:J$38,'13_1'!$J$12,G242:G243)</f>
        <v>0</v>
      </c>
      <c r="G245" s="76"/>
      <c r="H245" s="89"/>
    </row>
    <row r="246" spans="1:8">
      <c r="A246" s="75"/>
      <c r="B246" s="635" t="s">
        <v>185</v>
      </c>
      <c r="C246" s="374">
        <v>14</v>
      </c>
      <c r="D246" s="76"/>
      <c r="E246" s="635" t="s">
        <v>186</v>
      </c>
      <c r="F246" s="368" t="str">
        <f>IF(VLOOKUP(G243,'13_1'!$A$12:$D$38,4,0)=2,"Eventual 80%","Definitivo 100%")</f>
        <v>Eventual 80%</v>
      </c>
      <c r="G246" s="76"/>
      <c r="H246" s="89"/>
    </row>
    <row r="247" spans="1:8">
      <c r="A247" s="75"/>
      <c r="B247" s="635" t="s">
        <v>187</v>
      </c>
      <c r="C247" s="375">
        <f>DSUM('13_1'!$A$12:$H$38,'13_1'!$H$12,G242:G243)</f>
        <v>0</v>
      </c>
      <c r="D247" s="76"/>
      <c r="E247" s="635" t="s">
        <v>188</v>
      </c>
      <c r="F247" s="369" t="str">
        <f>+Hijuelas!$G$5</f>
        <v>fracción</v>
      </c>
      <c r="G247" s="106"/>
      <c r="H247" s="89"/>
    </row>
    <row r="248" spans="1:8" ht="15.75">
      <c r="A248" s="75"/>
      <c r="B248" s="76"/>
      <c r="C248" s="635" t="s">
        <v>189</v>
      </c>
      <c r="D248" s="107">
        <f>DMIN('13_1'!A$12:K$38,'13_1'!$K$12,G242:G243)</f>
        <v>42977.531249999985</v>
      </c>
      <c r="E248" s="127" t="str">
        <f>IF(F248=1,"Domingo",IF(F248=2,"Lunes",IF(F248=3,"Martes",IF(F248=4,"Miercoles",IF(F248=5,"Jueves",IF(F248=6,"Viernes",IF(F248=7,"Sábado",0)))))))</f>
        <v>Miercoles</v>
      </c>
      <c r="F248" s="128">
        <f>WEEKDAY(D248)</f>
        <v>4</v>
      </c>
      <c r="G248" s="103"/>
      <c r="H248" s="89"/>
    </row>
    <row r="249" spans="1:8" ht="15.75">
      <c r="A249" s="75"/>
      <c r="B249" s="76"/>
      <c r="C249" s="635" t="s">
        <v>190</v>
      </c>
      <c r="D249" s="107">
        <f>DMAX('13_1'!A$12:L$39,'13_1'!$L$12,G242:G243)</f>
        <v>42977.531249999985</v>
      </c>
      <c r="E249" s="127" t="str">
        <f>IF(F249=1,"Domingo",IF(F249=2,"Lunes",IF(F249=3,"Martes",IF(F249=4,"Miercoles",IF(F249=5,"Jueves",IF(F249=6,"Viernes",IF(F249=7,"Sábado",0)))))))</f>
        <v>Miercoles</v>
      </c>
      <c r="F249" s="128">
        <f>WEEKDAY(D249)</f>
        <v>4</v>
      </c>
      <c r="G249" s="103"/>
      <c r="H249" s="89"/>
    </row>
    <row r="250" spans="1:8">
      <c r="A250" s="75"/>
      <c r="B250" s="76"/>
      <c r="C250" s="76"/>
      <c r="D250" s="76"/>
      <c r="E250" s="76"/>
      <c r="F250" s="106"/>
      <c r="G250" s="106"/>
      <c r="H250" s="89"/>
    </row>
    <row r="251" spans="1:8">
      <c r="A251" s="75"/>
      <c r="B251" s="331" t="str">
        <f>+Mensajes!$B$7</f>
        <v>PARA CUALQUIER MODIFICACION EN EL CUADRO DE TURNO COMUNIQUESE CON SU TOMERO</v>
      </c>
      <c r="C251" s="279"/>
      <c r="D251" s="76"/>
      <c r="E251" s="76"/>
      <c r="F251" s="76"/>
      <c r="G251" s="76"/>
      <c r="H251" s="89"/>
    </row>
    <row r="252" spans="1:8">
      <c r="A252" s="75"/>
      <c r="B252" s="332" t="str">
        <f>+Mensajes!$B$12</f>
        <v>Recuerde que con 1 (una) cuotas vigentes impagas se restringirá el servicio.</v>
      </c>
      <c r="C252" s="280"/>
      <c r="D252" s="76"/>
      <c r="E252" s="76"/>
      <c r="F252" s="76"/>
      <c r="G252" s="76"/>
      <c r="H252" s="89"/>
    </row>
    <row r="253" spans="1:8">
      <c r="A253" s="75"/>
      <c r="B253" s="108"/>
      <c r="C253" s="76"/>
      <c r="D253" s="76"/>
      <c r="E253" s="76"/>
      <c r="F253" s="76"/>
      <c r="G253" s="76"/>
      <c r="H253" s="89"/>
    </row>
    <row r="254" spans="1:8">
      <c r="A254" s="101"/>
      <c r="B254" s="126" t="str">
        <f>IF(DSUM('13_1'!$A$12:$P$89,16,G242:G243)=COUNTIF('13_1'!$A$12:$A$89,G243),"","Regularice su Deuda")</f>
        <v>Regularice su Deuda</v>
      </c>
      <c r="C254" s="77"/>
      <c r="D254" s="77"/>
      <c r="E254" s="77"/>
      <c r="F254" s="77"/>
      <c r="G254" s="77"/>
      <c r="H254" s="78"/>
    </row>
    <row r="256" spans="1:8">
      <c r="A256" s="86"/>
      <c r="B256" s="87"/>
      <c r="C256" s="87"/>
      <c r="D256" s="87"/>
      <c r="E256" s="87"/>
      <c r="F256" s="87"/>
      <c r="G256" s="87"/>
      <c r="H256" s="88"/>
    </row>
    <row r="257" spans="1:8">
      <c r="A257" s="75"/>
      <c r="B257" s="109" t="s">
        <v>82</v>
      </c>
      <c r="C257" s="76"/>
      <c r="D257" s="76"/>
      <c r="E257" s="76"/>
      <c r="F257" s="76"/>
      <c r="G257" s="76"/>
      <c r="H257" s="89"/>
    </row>
    <row r="258" spans="1:8">
      <c r="A258" s="75"/>
      <c r="B258" s="76"/>
      <c r="C258" s="76"/>
      <c r="D258" s="76"/>
      <c r="E258" s="76"/>
      <c r="F258" s="76"/>
      <c r="G258" s="76"/>
      <c r="H258" s="89"/>
    </row>
    <row r="259" spans="1:8">
      <c r="A259" s="75"/>
      <c r="B259" s="76" t="s">
        <v>182</v>
      </c>
      <c r="C259" s="76" t="str">
        <f>VLOOKUP(G260,'13_1'!$A$12:$G$39,7,0)</f>
        <v xml:space="preserve">MONFARRELL, RICARDO FELIPE </v>
      </c>
      <c r="D259" s="76"/>
      <c r="E259" s="76"/>
      <c r="F259" s="76"/>
      <c r="G259" s="100" t="s">
        <v>134</v>
      </c>
      <c r="H259" s="89"/>
    </row>
    <row r="260" spans="1:8">
      <c r="A260" s="75"/>
      <c r="B260" s="76" t="s">
        <v>91</v>
      </c>
      <c r="C260" s="76" t="str">
        <f>+'13_1'!$H$2</f>
        <v>Hijuela El Confín</v>
      </c>
      <c r="D260" s="76"/>
      <c r="E260" s="76"/>
      <c r="F260" s="76"/>
      <c r="G260" s="100">
        <v>16</v>
      </c>
      <c r="H260" s="89"/>
    </row>
    <row r="261" spans="1:8">
      <c r="A261" s="75"/>
      <c r="B261" s="76"/>
      <c r="C261" s="76"/>
      <c r="D261" s="76"/>
      <c r="E261" s="76"/>
      <c r="F261" s="76"/>
      <c r="G261" s="76"/>
      <c r="H261" s="89"/>
    </row>
    <row r="262" spans="1:8">
      <c r="A262" s="75"/>
      <c r="B262" s="635" t="s">
        <v>183</v>
      </c>
      <c r="C262" s="331">
        <f>VLOOKUP(G260,'13_1'!$A$12:$B$38,2,0)</f>
        <v>1248</v>
      </c>
      <c r="D262" s="76"/>
      <c r="E262" s="635" t="s">
        <v>184</v>
      </c>
      <c r="F262" s="397">
        <f>DSUM('13_1'!A$12:J$38,'13_1'!$J$12,G259:G260)</f>
        <v>0</v>
      </c>
      <c r="G262" s="76"/>
      <c r="H262" s="89"/>
    </row>
    <row r="263" spans="1:8">
      <c r="A263" s="75"/>
      <c r="B263" s="635" t="s">
        <v>185</v>
      </c>
      <c r="C263" s="374">
        <v>21</v>
      </c>
      <c r="D263" s="76"/>
      <c r="E263" s="635" t="s">
        <v>186</v>
      </c>
      <c r="F263" s="368" t="str">
        <f>IF(VLOOKUP(G260,'13_1'!$A$12:$D$38,4,0)=2,"Eventual 80%","Definitivo 100%")</f>
        <v>Eventual 80%</v>
      </c>
      <c r="G263" s="76"/>
      <c r="H263" s="89"/>
    </row>
    <row r="264" spans="1:8">
      <c r="A264" s="75"/>
      <c r="B264" s="635" t="s">
        <v>187</v>
      </c>
      <c r="C264" s="375">
        <f>DSUM('13_1'!$A$12:$H$38,'13_1'!$H$12,G259:G260)</f>
        <v>0</v>
      </c>
      <c r="D264" s="76"/>
      <c r="E264" s="635" t="s">
        <v>188</v>
      </c>
      <c r="F264" s="369" t="str">
        <f>+Hijuelas!$G$5</f>
        <v>fracción</v>
      </c>
      <c r="G264" s="106"/>
      <c r="H264" s="89"/>
    </row>
    <row r="265" spans="1:8" ht="15.75">
      <c r="A265" s="75"/>
      <c r="B265" s="76"/>
      <c r="C265" s="635" t="s">
        <v>189</v>
      </c>
      <c r="D265" s="107">
        <f>DMIN('13_1'!A$12:K$38,'13_1'!$K$12,G259:G260)</f>
        <v>42977.531249999985</v>
      </c>
      <c r="E265" s="127" t="str">
        <f>IF(F265=1,"Domingo",IF(F265=2,"Lunes",IF(F265=3,"Martes",IF(F265=4,"Miercoles",IF(F265=5,"Jueves",IF(F265=6,"Viernes",IF(F265=7,"Sábado",0)))))))</f>
        <v>Miercoles</v>
      </c>
      <c r="F265" s="128">
        <f>WEEKDAY(D265)</f>
        <v>4</v>
      </c>
      <c r="G265" s="103"/>
      <c r="H265" s="89"/>
    </row>
    <row r="266" spans="1:8" ht="15.75">
      <c r="A266" s="75"/>
      <c r="B266" s="76"/>
      <c r="C266" s="635" t="s">
        <v>190</v>
      </c>
      <c r="D266" s="107">
        <f>DMAX('13_1'!A$12:L$39,'13_1'!$L$12,G259:G260)</f>
        <v>42977.531249999985</v>
      </c>
      <c r="E266" s="127" t="str">
        <f>IF(F266=1,"Domingo",IF(F266=2,"Lunes",IF(F266=3,"Martes",IF(F266=4,"Miercoles",IF(F266=5,"Jueves",IF(F266=6,"Viernes",IF(F266=7,"Sábado",0)))))))</f>
        <v>Miercoles</v>
      </c>
      <c r="F266" s="128">
        <f>WEEKDAY(D266)</f>
        <v>4</v>
      </c>
      <c r="G266" s="103"/>
      <c r="H266" s="89"/>
    </row>
    <row r="267" spans="1:8">
      <c r="A267" s="75"/>
      <c r="B267" s="76"/>
      <c r="C267" s="76"/>
      <c r="D267" s="76"/>
      <c r="E267" s="76"/>
      <c r="F267" s="106"/>
      <c r="G267" s="106"/>
      <c r="H267" s="89"/>
    </row>
    <row r="268" spans="1:8">
      <c r="A268" s="75"/>
      <c r="B268" s="331" t="str">
        <f>+Mensajes!$B$7</f>
        <v>PARA CUALQUIER MODIFICACION EN EL CUADRO DE TURNO COMUNIQUESE CON SU TOMERO</v>
      </c>
      <c r="C268" s="279"/>
      <c r="D268" s="76"/>
      <c r="E268" s="76"/>
      <c r="F268" s="76"/>
      <c r="G268" s="76"/>
      <c r="H268" s="89"/>
    </row>
    <row r="269" spans="1:8">
      <c r="A269" s="75"/>
      <c r="B269" s="332" t="str">
        <f>+Mensajes!$B$12</f>
        <v>Recuerde que con 1 (una) cuotas vigentes impagas se restringirá el servicio.</v>
      </c>
      <c r="C269" s="280"/>
      <c r="D269" s="76"/>
      <c r="E269" s="76"/>
      <c r="F269" s="76"/>
      <c r="G269" s="76"/>
      <c r="H269" s="89"/>
    </row>
    <row r="270" spans="1:8">
      <c r="A270" s="75"/>
      <c r="B270" s="108"/>
      <c r="C270" s="76"/>
      <c r="D270" s="76"/>
      <c r="E270" s="76"/>
      <c r="F270" s="76"/>
      <c r="G270" s="76"/>
      <c r="H270" s="89"/>
    </row>
    <row r="271" spans="1:8">
      <c r="A271" s="101"/>
      <c r="B271" s="126" t="str">
        <f>IF(DSUM('13_1'!$A$12:$P$89,16,G259:G260)=COUNTIF('13_1'!$A$12:$A$89,G260),"","Regularice su Deuda")</f>
        <v>Regularice su Deuda</v>
      </c>
      <c r="C271" s="77"/>
      <c r="D271" s="77"/>
      <c r="E271" s="77"/>
      <c r="F271" s="77"/>
      <c r="G271" s="77"/>
      <c r="H271" s="78"/>
    </row>
    <row r="273" spans="1:8">
      <c r="A273" s="86"/>
      <c r="B273" s="87"/>
      <c r="C273" s="87"/>
      <c r="D273" s="87"/>
      <c r="E273" s="87"/>
      <c r="F273" s="87"/>
      <c r="G273" s="87"/>
      <c r="H273" s="88"/>
    </row>
    <row r="274" spans="1:8">
      <c r="A274" s="75"/>
      <c r="B274" s="109" t="s">
        <v>82</v>
      </c>
      <c r="C274" s="76"/>
      <c r="D274" s="76"/>
      <c r="E274" s="76"/>
      <c r="F274" s="76"/>
      <c r="G274" s="76"/>
      <c r="H274" s="89"/>
    </row>
    <row r="275" spans="1:8">
      <c r="A275" s="75"/>
      <c r="B275" s="76"/>
      <c r="C275" s="76"/>
      <c r="D275" s="76"/>
      <c r="E275" s="76"/>
      <c r="F275" s="76"/>
      <c r="G275" s="76"/>
      <c r="H275" s="89"/>
    </row>
    <row r="276" spans="1:8">
      <c r="A276" s="75"/>
      <c r="B276" s="76" t="s">
        <v>182</v>
      </c>
      <c r="C276" s="76" t="e">
        <f>VLOOKUP(G277,'13_1'!$A$12:$G$39,7,0)</f>
        <v>#N/A</v>
      </c>
      <c r="D276" s="76"/>
      <c r="E276" s="76"/>
      <c r="F276" s="76"/>
      <c r="G276" s="100" t="s">
        <v>134</v>
      </c>
      <c r="H276" s="89"/>
    </row>
    <row r="277" spans="1:8">
      <c r="A277" s="75"/>
      <c r="B277" s="76" t="s">
        <v>91</v>
      </c>
      <c r="C277" s="76" t="str">
        <f>+'13_1'!$H$2</f>
        <v>Hijuela El Confín</v>
      </c>
      <c r="D277" s="76"/>
      <c r="E277" s="76"/>
      <c r="F277" s="76"/>
      <c r="G277" s="100">
        <v>17</v>
      </c>
      <c r="H277" s="89"/>
    </row>
    <row r="278" spans="1:8">
      <c r="A278" s="75"/>
      <c r="B278" s="76"/>
      <c r="C278" s="76"/>
      <c r="D278" s="76"/>
      <c r="E278" s="76"/>
      <c r="F278" s="76"/>
      <c r="G278" s="76"/>
      <c r="H278" s="89"/>
    </row>
    <row r="279" spans="1:8">
      <c r="A279" s="75"/>
      <c r="B279" s="635" t="s">
        <v>183</v>
      </c>
      <c r="C279" s="331" t="e">
        <f>VLOOKUP(G277,'13_1'!$A$12:$B$38,2,0)</f>
        <v>#N/A</v>
      </c>
      <c r="D279" s="76"/>
      <c r="E279" s="635" t="s">
        <v>184</v>
      </c>
      <c r="F279" s="397">
        <f>DSUM('13_1'!A$12:J$38,'13_1'!$J$12,G276:G277)</f>
        <v>0</v>
      </c>
      <c r="G279" s="76"/>
      <c r="H279" s="89"/>
    </row>
    <row r="280" spans="1:8">
      <c r="A280" s="75"/>
      <c r="B280" s="635" t="s">
        <v>185</v>
      </c>
      <c r="C280" s="374">
        <v>21</v>
      </c>
      <c r="D280" s="76"/>
      <c r="E280" s="635" t="s">
        <v>186</v>
      </c>
      <c r="F280" s="368" t="e">
        <f>IF(VLOOKUP(G277,'13_1'!$A$12:$D$38,4,0)=2,"Eventual 80%","Definitivo 100%")</f>
        <v>#N/A</v>
      </c>
      <c r="G280" s="76"/>
      <c r="H280" s="89"/>
    </row>
    <row r="281" spans="1:8">
      <c r="A281" s="75"/>
      <c r="B281" s="635" t="s">
        <v>187</v>
      </c>
      <c r="C281" s="375">
        <f>DSUM('13_1'!$A$12:$H$38,'13_1'!$H$12,G276:G277)</f>
        <v>0</v>
      </c>
      <c r="D281" s="76"/>
      <c r="E281" s="635" t="s">
        <v>188</v>
      </c>
      <c r="F281" s="369" t="str">
        <f>+Hijuelas!$G$5</f>
        <v>fracción</v>
      </c>
      <c r="G281" s="106"/>
      <c r="H281" s="89"/>
    </row>
    <row r="282" spans="1:8" ht="15.75">
      <c r="A282" s="75"/>
      <c r="B282" s="76"/>
      <c r="C282" s="635" t="s">
        <v>189</v>
      </c>
      <c r="D282" s="107">
        <f>DMIN('13_1'!A$12:K$38,'13_1'!$K$12,G276:G277)</f>
        <v>0</v>
      </c>
      <c r="E282" s="127" t="str">
        <f>IF(F282=1,"Domingo",IF(F282=2,"Lunes",IF(F282=3,"Martes",IF(F282=4,"Miercoles",IF(F282=5,"Jueves",IF(F282=6,"Viernes",IF(F282=7,"Sábado",0)))))))</f>
        <v>Sábado</v>
      </c>
      <c r="F282" s="128">
        <f>WEEKDAY(D282)</f>
        <v>7</v>
      </c>
      <c r="G282" s="103"/>
      <c r="H282" s="89"/>
    </row>
    <row r="283" spans="1:8" ht="15.75">
      <c r="A283" s="75"/>
      <c r="B283" s="76"/>
      <c r="C283" s="635" t="s">
        <v>190</v>
      </c>
      <c r="D283" s="107">
        <f>DMAX('13_1'!A$12:L$39,'13_1'!$L$12,G276:G277)</f>
        <v>0</v>
      </c>
      <c r="E283" s="127" t="str">
        <f>IF(F283=1,"Domingo",IF(F283=2,"Lunes",IF(F283=3,"Martes",IF(F283=4,"Miercoles",IF(F283=5,"Jueves",IF(F283=6,"Viernes",IF(F283=7,"Sábado",0)))))))</f>
        <v>Sábado</v>
      </c>
      <c r="F283" s="128">
        <f>WEEKDAY(D283)</f>
        <v>7</v>
      </c>
      <c r="G283" s="103"/>
      <c r="H283" s="89"/>
    </row>
    <row r="284" spans="1:8">
      <c r="A284" s="75"/>
      <c r="B284" s="76"/>
      <c r="C284" s="76"/>
      <c r="D284" s="76"/>
      <c r="E284" s="76"/>
      <c r="F284" s="106"/>
      <c r="G284" s="106"/>
      <c r="H284" s="89"/>
    </row>
    <row r="285" spans="1:8">
      <c r="A285" s="75"/>
      <c r="B285" s="331" t="str">
        <f>+Mensajes!$B$7</f>
        <v>PARA CUALQUIER MODIFICACION EN EL CUADRO DE TURNO COMUNIQUESE CON SU TOMERO</v>
      </c>
      <c r="C285" s="279"/>
      <c r="D285" s="76"/>
      <c r="E285" s="76"/>
      <c r="F285" s="76"/>
      <c r="G285" s="76"/>
      <c r="H285" s="89"/>
    </row>
    <row r="286" spans="1:8">
      <c r="A286" s="75"/>
      <c r="B286" s="332" t="str">
        <f>+Mensajes!$B$12</f>
        <v>Recuerde que con 1 (una) cuotas vigentes impagas se restringirá el servicio.</v>
      </c>
      <c r="C286" s="280"/>
      <c r="D286" s="76"/>
      <c r="E286" s="76"/>
      <c r="F286" s="76"/>
      <c r="G286" s="76"/>
      <c r="H286" s="89"/>
    </row>
    <row r="287" spans="1:8">
      <c r="A287" s="75"/>
      <c r="B287" s="108"/>
      <c r="C287" s="76"/>
      <c r="D287" s="76"/>
      <c r="E287" s="76"/>
      <c r="F287" s="76"/>
      <c r="G287" s="76"/>
      <c r="H287" s="89"/>
    </row>
    <row r="288" spans="1:8">
      <c r="A288" s="101"/>
      <c r="B288" s="126" t="str">
        <f>IF(DSUM('13_1'!$A$12:$P$89,16,G276:G277)=COUNTIF('13_1'!$A$12:$A$89,G277),"","Regularice su Deuda")</f>
        <v/>
      </c>
      <c r="C288" s="77"/>
      <c r="D288" s="77"/>
      <c r="E288" s="77"/>
      <c r="F288" s="77"/>
      <c r="G288" s="77"/>
      <c r="H288" s="78"/>
    </row>
  </sheetData>
  <phoneticPr fontId="0" type="noConversion"/>
  <pageMargins left="0.39370078740157483" right="0.59055118110236227" top="0.55118110236220474" bottom="0.19685039370078741" header="0" footer="0"/>
  <pageSetup paperSize="9" scale="59" orientation="portrait" r:id="rId1"/>
  <headerFooter alignWithMargins="0"/>
  <rowBreaks count="2" manualBreakCount="2">
    <brk id="101" max="7" man="1"/>
    <brk id="203" max="7" man="1"/>
  </rowBreaks>
  <colBreaks count="2" manualBreakCount="2">
    <brk id="8" max="288" man="1"/>
    <brk id="9" max="1048575" man="1"/>
  </col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21"/>
  <dimension ref="A1:T25"/>
  <sheetViews>
    <sheetView topLeftCell="A2" zoomScale="75" zoomScaleNormal="75" zoomScaleSheetLayoutView="75" workbookViewId="0" xr3:uid="{62E455AB-44C1-5DAA-A80F-CFF2989D01C0}">
      <selection activeCell="H26" sqref="H26"/>
    </sheetView>
  </sheetViews>
  <sheetFormatPr defaultRowHeight="12.75"/>
  <cols>
    <col min="1" max="1" width="7.5703125" customWidth="1"/>
    <col min="2" max="2" width="6.42578125" bestFit="1" customWidth="1"/>
    <col min="3" max="4" width="10" bestFit="1" customWidth="1"/>
    <col min="5" max="6" width="12.7109375" customWidth="1"/>
    <col min="7" max="7" width="25.42578125" customWidth="1"/>
    <col min="8" max="8" width="12.7109375" customWidth="1"/>
    <col min="9" max="9" width="9.85546875" customWidth="1"/>
    <col min="10" max="10" width="7.7109375" customWidth="1"/>
    <col min="11" max="11" width="15.28515625" bestFit="1" customWidth="1"/>
    <col min="12" max="12" width="18.42578125" bestFit="1" customWidth="1"/>
    <col min="13" max="13" width="23.28515625" customWidth="1"/>
    <col min="14" max="14" width="18.28515625" customWidth="1"/>
    <col min="15" max="15" width="13.85546875" customWidth="1"/>
    <col min="16" max="18" width="11.42578125" customWidth="1"/>
    <col min="19" max="19" width="11.5703125" bestFit="1" customWidth="1"/>
    <col min="20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0">
      <c r="A2" s="99"/>
      <c r="B2" s="99"/>
      <c r="C2" s="671" t="s">
        <v>123</v>
      </c>
      <c r="D2" s="671"/>
      <c r="E2" s="671"/>
      <c r="F2" s="671"/>
      <c r="G2" s="671"/>
      <c r="H2" s="681" t="s">
        <v>506</v>
      </c>
      <c r="I2" s="681"/>
      <c r="J2" s="681"/>
      <c r="K2" s="99"/>
      <c r="L2" s="99"/>
      <c r="M2" s="99"/>
      <c r="N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20">
      <c r="A5" s="662" t="s">
        <v>124</v>
      </c>
      <c r="B5" s="663"/>
      <c r="C5" s="659">
        <f>+Hijuelas!D23</f>
        <v>42973.541666666664</v>
      </c>
      <c r="D5" s="667"/>
      <c r="E5" s="660"/>
      <c r="F5" s="305"/>
      <c r="G5" s="306" t="s">
        <v>125</v>
      </c>
      <c r="H5" s="307">
        <f>+Hijuelas!G4</f>
        <v>3.9895833333333335</v>
      </c>
      <c r="I5" s="318"/>
      <c r="J5" s="99"/>
      <c r="K5" s="99"/>
      <c r="L5" s="99"/>
      <c r="M5" s="99"/>
      <c r="N5" s="99"/>
    </row>
    <row r="6" spans="1:20" ht="13.5" thickBot="1">
      <c r="A6" s="664" t="s">
        <v>126</v>
      </c>
      <c r="B6" s="665"/>
      <c r="C6" s="668">
        <f>+C5+H5</f>
        <v>42977.53125</v>
      </c>
      <c r="D6" s="669"/>
      <c r="E6" s="670"/>
      <c r="F6" s="305"/>
      <c r="G6" s="265" t="s">
        <v>127</v>
      </c>
      <c r="H6" s="308">
        <v>0.16666666666666666</v>
      </c>
      <c r="I6" s="318"/>
      <c r="J6" s="99"/>
      <c r="K6" s="99"/>
      <c r="L6" s="99"/>
      <c r="M6" s="99"/>
      <c r="N6" s="99"/>
    </row>
    <row r="7" spans="1:20">
      <c r="A7" s="99"/>
      <c r="B7" s="99"/>
      <c r="C7" s="99"/>
      <c r="D7" s="99"/>
      <c r="E7" s="99"/>
      <c r="F7" s="99"/>
      <c r="G7" s="418" t="s">
        <v>128</v>
      </c>
      <c r="H7" s="419">
        <v>0</v>
      </c>
      <c r="I7" s="318"/>
      <c r="J7" s="99"/>
      <c r="K7" s="99"/>
      <c r="L7" s="99"/>
      <c r="M7" s="99"/>
      <c r="N7" s="99"/>
    </row>
    <row r="8" spans="1:20" ht="13.5" thickBot="1">
      <c r="A8" s="99"/>
      <c r="B8" s="99"/>
      <c r="C8" s="99"/>
      <c r="D8" s="99"/>
      <c r="E8" s="99"/>
      <c r="F8" s="99"/>
      <c r="G8" s="310" t="s">
        <v>255</v>
      </c>
      <c r="H8" s="311">
        <f>+I25</f>
        <v>6.25E-2</v>
      </c>
      <c r="I8" s="99"/>
      <c r="J8" s="99"/>
      <c r="K8" s="99"/>
      <c r="L8" s="99"/>
      <c r="M8" s="99"/>
      <c r="N8" s="99"/>
    </row>
    <row r="9" spans="1:20">
      <c r="A9" s="666" t="s">
        <v>129</v>
      </c>
      <c r="B9" s="666"/>
      <c r="C9" s="312">
        <f>+H5-H6-H8</f>
        <v>3.760416666666667</v>
      </c>
      <c r="D9" s="636" t="s">
        <v>130</v>
      </c>
      <c r="E9" s="313">
        <f>+C9*60</f>
        <v>225.62500000000003</v>
      </c>
      <c r="F9" s="636" t="s">
        <v>131</v>
      </c>
      <c r="G9" s="315">
        <f>+H25</f>
        <v>133.11250000000001</v>
      </c>
      <c r="H9" s="636" t="s">
        <v>132</v>
      </c>
      <c r="I9" s="312">
        <f>+E9/G9</f>
        <v>1.6949948351957931</v>
      </c>
      <c r="J9" s="99"/>
      <c r="K9" s="99"/>
      <c r="L9" s="99"/>
      <c r="M9" s="99"/>
      <c r="N9" s="99"/>
    </row>
    <row r="10" spans="1:20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</row>
    <row r="11" spans="1:20" ht="13.5" thickBot="1">
      <c r="A11" s="99"/>
      <c r="B11" s="99"/>
      <c r="C11" s="99"/>
      <c r="D11" s="99"/>
      <c r="E11" s="99"/>
      <c r="F11" s="99"/>
      <c r="G11" s="99"/>
      <c r="I11" s="99"/>
      <c r="J11" s="99"/>
      <c r="K11" s="99"/>
      <c r="L11" s="99"/>
      <c r="M11" s="99"/>
      <c r="N11" s="99"/>
    </row>
    <row r="12" spans="1:20">
      <c r="A12" s="612" t="s">
        <v>134</v>
      </c>
      <c r="B12" s="613" t="s">
        <v>135</v>
      </c>
      <c r="C12" s="613" t="s">
        <v>136</v>
      </c>
      <c r="D12" s="613" t="s">
        <v>137</v>
      </c>
      <c r="E12" s="613" t="s">
        <v>138</v>
      </c>
      <c r="F12" s="613" t="s">
        <v>141</v>
      </c>
      <c r="G12" s="613" t="s">
        <v>140</v>
      </c>
      <c r="H12" s="613" t="s">
        <v>139</v>
      </c>
      <c r="I12" s="613" t="s">
        <v>142</v>
      </c>
      <c r="J12" s="613" t="s">
        <v>143</v>
      </c>
      <c r="K12" s="613" t="s">
        <v>193</v>
      </c>
      <c r="L12" s="614" t="s">
        <v>194</v>
      </c>
      <c r="M12" s="613" t="s">
        <v>146</v>
      </c>
      <c r="N12" s="613" t="s">
        <v>204</v>
      </c>
      <c r="O12" s="613" t="s">
        <v>148</v>
      </c>
      <c r="P12" s="613" t="s">
        <v>149</v>
      </c>
      <c r="Q12" s="613" t="s">
        <v>150</v>
      </c>
      <c r="R12" s="613" t="s">
        <v>151</v>
      </c>
      <c r="S12" s="613" t="s">
        <v>152</v>
      </c>
      <c r="T12" s="615" t="s">
        <v>153</v>
      </c>
    </row>
    <row r="13" spans="1:20" ht="24.95" customHeight="1">
      <c r="A13" s="6">
        <v>11</v>
      </c>
      <c r="B13" s="6">
        <v>1243</v>
      </c>
      <c r="C13" s="6">
        <v>7</v>
      </c>
      <c r="D13" s="6">
        <v>2</v>
      </c>
      <c r="E13" s="6">
        <v>11.5434</v>
      </c>
      <c r="F13" s="9" t="str">
        <f>IF(P13=0,"NO",IF(P13=1,"SI","CONDICIONAL"))</f>
        <v>SI</v>
      </c>
      <c r="G13" s="617" t="s">
        <v>172</v>
      </c>
      <c r="H13" s="125">
        <v>6</v>
      </c>
      <c r="I13" s="616">
        <v>0</v>
      </c>
      <c r="J13" s="119">
        <f t="shared" ref="J13:J24" si="0">+H13*$I$9/60</f>
        <v>0.1694994835195793</v>
      </c>
      <c r="K13" s="262">
        <f>+C5+H6</f>
        <v>42973.708333333328</v>
      </c>
      <c r="L13" s="262">
        <f>+K13+J13</f>
        <v>42973.877832816848</v>
      </c>
      <c r="M13" s="6"/>
      <c r="N13" s="6"/>
      <c r="O13" s="5" t="str">
        <f t="shared" ref="O13:O24" si="1">+CONCATENATE(B13,C13)</f>
        <v>12437</v>
      </c>
      <c r="P13" s="6">
        <f>VLOOKUP(O13,deuda!$A$1:$H$501,4,0)</f>
        <v>1</v>
      </c>
      <c r="Q13" s="6">
        <f>VLOOKUP(O13,deuda!A16:H514,5,0)</f>
        <v>0</v>
      </c>
      <c r="R13" s="6" t="str">
        <f>IF(VLOOKUP(O13,deuda!A16:H514,6,0)=0,"",VLOOKUP(O13,deuda!A16:H514,6,0))</f>
        <v/>
      </c>
      <c r="S13" s="111" t="str">
        <f>IF((VLOOKUP(O13,deuda!A16:H514,7,0))=0,"",VLOOKUP(O13,deuda!A16:H514,7,0))</f>
        <v/>
      </c>
      <c r="T13" s="111" t="str">
        <f>IF((VLOOKUP(O13,deuda!A16:H514,8,0))=0,"",VLOOKUP(O13,deuda!A16:H514,8,0))</f>
        <v/>
      </c>
    </row>
    <row r="14" spans="1:20" ht="24.95" customHeight="1">
      <c r="A14" s="6">
        <v>10</v>
      </c>
      <c r="B14" s="6">
        <v>1243</v>
      </c>
      <c r="C14" s="6">
        <v>38</v>
      </c>
      <c r="D14" s="6">
        <v>2</v>
      </c>
      <c r="E14" s="6">
        <v>12.278600000000001</v>
      </c>
      <c r="F14" s="9" t="str">
        <f t="shared" ref="F14:F24" si="2">IF(P14=0,"NO",IF(P14=1,"SI","CONDICIONAL"))</f>
        <v>SI</v>
      </c>
      <c r="G14" s="617" t="s">
        <v>507</v>
      </c>
      <c r="H14" s="125">
        <f>IF(Hijuelas!$G$5="fracción",IF(F14="NO",0,IF(Hijuelas!$G$6="si",IF(D14=1,E14,E14*0.8),E14)),IF(F14="NO",0,IF(Hijuelas!$G$6="si",IF(D14=1,ROUNDUP(E14,0),ROUNDUP(E14*0.8,0)),ROUNDUP(E14,0))))</f>
        <v>9.8228800000000014</v>
      </c>
      <c r="I14" s="616">
        <v>4.1666666666666664E-2</v>
      </c>
      <c r="J14" s="119">
        <f>+H14*$I$9/60</f>
        <v>0.27749551444580089</v>
      </c>
      <c r="K14" s="262">
        <f>+L13</f>
        <v>42973.877832816848</v>
      </c>
      <c r="L14" s="262">
        <f>+K14+J14+I14</f>
        <v>42974.196994997961</v>
      </c>
      <c r="M14" s="6"/>
      <c r="N14" s="6"/>
      <c r="O14" s="5" t="str">
        <f>+CONCATENATE(B14,C14)</f>
        <v>124338</v>
      </c>
      <c r="P14" s="6">
        <f>VLOOKUP(O14,deuda!$A$1:$H$501,4,0)</f>
        <v>1</v>
      </c>
      <c r="Q14" s="6">
        <f>VLOOKUP(O14,deuda!A15:H513,5,0)</f>
        <v>1</v>
      </c>
      <c r="R14" s="6" t="str">
        <f>IF(VLOOKUP(O14,deuda!A15:H513,6,0)=0,"",VLOOKUP(O14,deuda!A15:H513,6,0))</f>
        <v/>
      </c>
      <c r="S14" s="111" t="str">
        <f>IF((VLOOKUP(O14,deuda!A15:H513,7,0))=0,"",VLOOKUP(O14,deuda!A15:H513,7,0))</f>
        <v/>
      </c>
      <c r="T14" s="111" t="str">
        <f>IF((VLOOKUP(O14,deuda!A15:H513,8,0))=0,"",VLOOKUP(O14,deuda!A15:H513,8,0))</f>
        <v/>
      </c>
    </row>
    <row r="15" spans="1:20" ht="30" customHeight="1">
      <c r="A15" s="6">
        <v>9</v>
      </c>
      <c r="B15" s="6">
        <v>1243</v>
      </c>
      <c r="C15" s="250">
        <v>14</v>
      </c>
      <c r="D15" s="250">
        <v>2</v>
      </c>
      <c r="E15" s="9">
        <v>4.9997999999999996</v>
      </c>
      <c r="F15" s="9" t="str">
        <f t="shared" si="2"/>
        <v>SI</v>
      </c>
      <c r="G15" s="335" t="s">
        <v>167</v>
      </c>
      <c r="H15" s="125">
        <f>IF(Hijuelas!$G$5="fracción",IF(F15="NO",0,IF(Hijuelas!$G$6="si",IF(D15=1,E15,E15*0.8),E15)),IF(F15="NO",0,IF(Hijuelas!$G$6="si",IF(D15=1,ROUNDUP(E15,0),ROUNDUP(E15*0.8,0)),ROUNDUP(E15,0))))</f>
        <v>3.9998399999999998</v>
      </c>
      <c r="I15" s="119">
        <v>0</v>
      </c>
      <c r="J15" s="119">
        <f t="shared" si="0"/>
        <v>0.11299513569349234</v>
      </c>
      <c r="K15" s="262">
        <f t="shared" ref="K15:K24" si="3">+L14</f>
        <v>42974.196994997961</v>
      </c>
      <c r="L15" s="262">
        <f t="shared" ref="L15:L24" si="4">+K15+J15+I15</f>
        <v>42974.309990133654</v>
      </c>
      <c r="M15" s="5"/>
      <c r="N15" s="5"/>
      <c r="O15" s="5" t="str">
        <f t="shared" si="1"/>
        <v>124314</v>
      </c>
      <c r="P15" s="6">
        <f>VLOOKUP(O15,deuda!$A$1:$H$501,4,0)</f>
        <v>1</v>
      </c>
      <c r="Q15" s="6">
        <f>VLOOKUP(O15,deuda!A17:H515,5,0)</f>
        <v>0</v>
      </c>
      <c r="R15" s="6" t="str">
        <f>IF(VLOOKUP(O15,deuda!A17:H515,6,0)=0,"",VLOOKUP(O15,deuda!A17:H515,6,0))</f>
        <v/>
      </c>
      <c r="S15" s="111" t="str">
        <f>IF((VLOOKUP(O15,deuda!A17:H515,7,0))=0,"",VLOOKUP(O15,deuda!A17:H515,7,0))</f>
        <v/>
      </c>
      <c r="T15" s="111" t="str">
        <f>IF((VLOOKUP(O15,deuda!A17:H515,8,0))=0,"",VLOOKUP(O15,deuda!A17:H515,8,0))</f>
        <v/>
      </c>
    </row>
    <row r="16" spans="1:20" ht="30" customHeight="1">
      <c r="A16" s="31">
        <v>8</v>
      </c>
      <c r="B16" s="6">
        <v>1243</v>
      </c>
      <c r="C16" s="250">
        <v>50</v>
      </c>
      <c r="D16" s="250">
        <v>2</v>
      </c>
      <c r="E16" s="9">
        <v>4.8246000000000002</v>
      </c>
      <c r="F16" s="9" t="str">
        <f t="shared" si="2"/>
        <v>SI</v>
      </c>
      <c r="G16" s="335" t="s">
        <v>168</v>
      </c>
      <c r="H16" s="125">
        <f>IF(Hijuelas!$G$5="fracción",IF(F16="NO",0,IF(Hijuelas!$G$6="si",IF(D16=1,E16,E16*0.8),E16)),IF(F16="NO",0,IF(Hijuelas!$G$6="si",IF(D16=1,ROUNDUP(E16,0),ROUNDUP(E16*0.8,0)),ROUNDUP(E16,0))))</f>
        <v>3.8596800000000004</v>
      </c>
      <c r="I16" s="119">
        <v>0</v>
      </c>
      <c r="J16" s="119">
        <f t="shared" si="0"/>
        <v>0.10903562775847499</v>
      </c>
      <c r="K16" s="262">
        <f t="shared" si="3"/>
        <v>42974.309990133654</v>
      </c>
      <c r="L16" s="262">
        <f t="shared" si="4"/>
        <v>42974.41902576141</v>
      </c>
      <c r="M16" s="5"/>
      <c r="N16" s="5"/>
      <c r="O16" s="5" t="str">
        <f t="shared" si="1"/>
        <v>124350</v>
      </c>
      <c r="P16" s="6">
        <f>VLOOKUP(O16,deuda!$A$1:$H$501,4,0)</f>
        <v>1</v>
      </c>
      <c r="Q16" s="6">
        <f>VLOOKUP(O16,deuda!A18:H516,5,0)</f>
        <v>0</v>
      </c>
      <c r="R16" s="6" t="str">
        <f>IF(VLOOKUP(O16,deuda!A18:H516,6,0)=0,"",VLOOKUP(O16,deuda!A18:H516,6,0))</f>
        <v/>
      </c>
      <c r="S16" s="111" t="str">
        <f>IF((VLOOKUP(O16,deuda!A18:H516,7,0))=0,"",VLOOKUP(O16,deuda!A18:H516,7,0))</f>
        <v/>
      </c>
      <c r="T16" s="111" t="str">
        <f>IF((VLOOKUP(O16,deuda!A18:H516,8,0))=0,"",VLOOKUP(O16,deuda!A18:H516,8,0))</f>
        <v/>
      </c>
    </row>
    <row r="17" spans="1:20" ht="30" customHeight="1">
      <c r="A17" s="31">
        <v>7</v>
      </c>
      <c r="B17" s="6">
        <v>1243</v>
      </c>
      <c r="C17" s="250">
        <v>42</v>
      </c>
      <c r="D17" s="250">
        <v>2</v>
      </c>
      <c r="E17" s="9">
        <v>4.1951000000000001</v>
      </c>
      <c r="F17" s="9" t="str">
        <f t="shared" si="2"/>
        <v>SI</v>
      </c>
      <c r="G17" s="335" t="s">
        <v>508</v>
      </c>
      <c r="H17" s="125">
        <f>IF(Hijuelas!$G$5="fracción",IF(F17="NO",0,IF(Hijuelas!$G$6="si",IF(D17=1,E17,E17*0.8),E17)),IF(F17="NO",0,IF(Hijuelas!$G$6="si",IF(D17=1,ROUNDUP(E17,0),ROUNDUP(E17*0.8,0)),ROUNDUP(E17,0))))</f>
        <v>3.3560800000000004</v>
      </c>
      <c r="I17" s="119">
        <v>2.0833333333333332E-2</v>
      </c>
      <c r="J17" s="119">
        <f t="shared" si="0"/>
        <v>9.4808971108398296E-2</v>
      </c>
      <c r="K17" s="262">
        <f t="shared" si="3"/>
        <v>42974.41902576141</v>
      </c>
      <c r="L17" s="262">
        <f t="shared" si="4"/>
        <v>42974.534668065855</v>
      </c>
      <c r="M17" s="5"/>
      <c r="N17" s="5"/>
      <c r="O17" s="5" t="str">
        <f t="shared" si="1"/>
        <v>124342</v>
      </c>
      <c r="P17" s="6">
        <f>VLOOKUP(O17,deuda!$A$1:$H$501,4,0)</f>
        <v>1</v>
      </c>
      <c r="Q17" s="6">
        <f>VLOOKUP(O17,deuda!A19:H517,5,0)</f>
        <v>0</v>
      </c>
      <c r="R17" s="6" t="str">
        <f>IF(VLOOKUP(O17,deuda!A19:H517,6,0)=0,"",VLOOKUP(O17,deuda!A19:H517,6,0))</f>
        <v/>
      </c>
      <c r="S17" s="111" t="str">
        <f>IF((VLOOKUP(O17,deuda!A19:H517,7,0))=0,"",VLOOKUP(O17,deuda!A19:H517,7,0))</f>
        <v/>
      </c>
      <c r="T17" s="111" t="str">
        <f>IF((VLOOKUP(O17,deuda!A19:H517,8,0))=0,"",VLOOKUP(O17,deuda!A19:H517,8,0))</f>
        <v/>
      </c>
    </row>
    <row r="18" spans="1:20" ht="30" customHeight="1">
      <c r="A18" s="46">
        <v>6</v>
      </c>
      <c r="B18" s="112">
        <v>1243</v>
      </c>
      <c r="C18" s="260">
        <v>37</v>
      </c>
      <c r="D18" s="260">
        <v>2</v>
      </c>
      <c r="E18" s="85">
        <v>11.900600000000001</v>
      </c>
      <c r="F18" s="9" t="str">
        <f t="shared" si="2"/>
        <v>SI</v>
      </c>
      <c r="G18" s="334" t="s">
        <v>172</v>
      </c>
      <c r="H18" s="125">
        <v>15.5205</v>
      </c>
      <c r="I18" s="123">
        <v>0</v>
      </c>
      <c r="J18" s="119">
        <f t="shared" si="0"/>
        <v>0.43845278899427176</v>
      </c>
      <c r="K18" s="262">
        <f t="shared" si="3"/>
        <v>42974.534668065855</v>
      </c>
      <c r="L18" s="262">
        <f t="shared" si="4"/>
        <v>42974.973120854847</v>
      </c>
      <c r="M18" s="47"/>
      <c r="N18" s="47"/>
      <c r="O18" s="5" t="str">
        <f t="shared" si="1"/>
        <v>124337</v>
      </c>
      <c r="P18" s="6">
        <f>VLOOKUP(O18,deuda!$A$1:$H$501,4,0)</f>
        <v>1</v>
      </c>
      <c r="Q18" s="6">
        <f>VLOOKUP(O18,deuda!A20:H518,5,0)</f>
        <v>0</v>
      </c>
      <c r="R18" s="6" t="str">
        <f>IF(VLOOKUP(O18,deuda!A20:H518,6,0)=0,"",VLOOKUP(O18,deuda!A20:H518,6,0))</f>
        <v/>
      </c>
      <c r="S18" s="111" t="str">
        <f>IF((VLOOKUP(O18,deuda!A20:H518,7,0))=0,"",VLOOKUP(O18,deuda!A20:H518,7,0))</f>
        <v/>
      </c>
      <c r="T18" s="111" t="str">
        <f>IF((VLOOKUP(O18,deuda!A20:H518,8,0))=0,"",VLOOKUP(O18,deuda!A20:H518,8,0))</f>
        <v/>
      </c>
    </row>
    <row r="19" spans="1:20" ht="30" customHeight="1">
      <c r="A19" s="31">
        <v>5</v>
      </c>
      <c r="B19" s="6">
        <v>1243</v>
      </c>
      <c r="C19" s="179">
        <v>53</v>
      </c>
      <c r="D19" s="250">
        <v>2</v>
      </c>
      <c r="E19" s="9">
        <v>17.110399999999998</v>
      </c>
      <c r="F19" s="9" t="str">
        <f t="shared" si="2"/>
        <v>SI</v>
      </c>
      <c r="G19" s="392" t="s">
        <v>509</v>
      </c>
      <c r="H19" s="125">
        <f>IF(Hijuelas!$G$5="fracción",IF(F19="NO",0,IF(Hijuelas!$G$6="si",IF(D19=1,E19,E19*0.8),E19)),IF(F19="NO",0,IF(Hijuelas!$G$6="si",IF(D19=1,ROUNDUP(E19,0),ROUNDUP(E19*0.8,0)),ROUNDUP(E19,0))))</f>
        <v>13.688319999999999</v>
      </c>
      <c r="I19" s="119">
        <v>0</v>
      </c>
      <c r="J19" s="119">
        <f t="shared" si="0"/>
        <v>0.38669386170845466</v>
      </c>
      <c r="K19" s="262">
        <f t="shared" si="3"/>
        <v>42974.973120854847</v>
      </c>
      <c r="L19" s="262">
        <f t="shared" si="4"/>
        <v>42975.359814716554</v>
      </c>
      <c r="M19" s="5"/>
      <c r="N19" s="5"/>
      <c r="O19" s="5" t="str">
        <f t="shared" si="1"/>
        <v>124353</v>
      </c>
      <c r="P19" s="6">
        <f>VLOOKUP(O19,deuda!$A$1:$H$501,4,0)</f>
        <v>1</v>
      </c>
      <c r="Q19" s="6">
        <f>VLOOKUP(O19,deuda!A21:H519,5,0)</f>
        <v>0</v>
      </c>
      <c r="R19" s="6" t="str">
        <f>IF(VLOOKUP(O19,deuda!A21:H519,6,0)=0,"",VLOOKUP(O19,deuda!A21:H519,6,0))</f>
        <v/>
      </c>
      <c r="S19" s="111" t="str">
        <f>IF((VLOOKUP(O19,deuda!A21:H519,7,0))=0,"",VLOOKUP(O19,deuda!A21:H519,7,0))</f>
        <v/>
      </c>
      <c r="T19" s="111" t="str">
        <f>IF((VLOOKUP(O19,deuda!A21:H519,8,0))=0,"",VLOOKUP(O19,deuda!A21:H519,8,0))</f>
        <v/>
      </c>
    </row>
    <row r="20" spans="1:20" ht="30" customHeight="1">
      <c r="A20" s="31">
        <v>5</v>
      </c>
      <c r="B20" s="6">
        <v>1243</v>
      </c>
      <c r="C20" s="179">
        <v>21</v>
      </c>
      <c r="D20" s="251">
        <v>2</v>
      </c>
      <c r="E20" s="252">
        <v>9</v>
      </c>
      <c r="F20" s="9" t="str">
        <f t="shared" si="2"/>
        <v>SI</v>
      </c>
      <c r="G20" s="392" t="s">
        <v>174</v>
      </c>
      <c r="H20" s="125">
        <f>IF(Hijuelas!$G$5="fracción",IF(F20="NO",0,IF(Hijuelas!$G$6="si",IF(D20=1,E20,E20*0.8),E20)),IF(F20="NO",0,IF(Hijuelas!$G$6="si",IF(D20=1,ROUNDUP(E20,0),ROUNDUP(E20*0.8,0)),ROUNDUP(E20,0))))</f>
        <v>7.2</v>
      </c>
      <c r="I20" s="119">
        <v>0</v>
      </c>
      <c r="J20" s="119">
        <f t="shared" si="0"/>
        <v>0.20339938022349516</v>
      </c>
      <c r="K20" s="262">
        <f t="shared" si="3"/>
        <v>42975.359814716554</v>
      </c>
      <c r="L20" s="262">
        <f t="shared" si="4"/>
        <v>42975.563214096779</v>
      </c>
      <c r="M20" s="5"/>
      <c r="N20" s="5"/>
      <c r="O20" s="5" t="str">
        <f t="shared" si="1"/>
        <v>124321</v>
      </c>
      <c r="P20" s="6">
        <f>VLOOKUP(O20,deuda!$A$1:$H$501,4,0)</f>
        <v>1</v>
      </c>
      <c r="Q20" s="6">
        <f>VLOOKUP(O20,deuda!A22:H520,5,0)</f>
        <v>0</v>
      </c>
      <c r="R20" s="6" t="str">
        <f>IF(VLOOKUP(O20,deuda!A22:H520,6,0)=0,"",VLOOKUP(O20,deuda!A22:H520,6,0))</f>
        <v/>
      </c>
      <c r="S20" s="111" t="str">
        <f>IF((VLOOKUP(O20,deuda!A22:H520,7,0))=0,"",VLOOKUP(O20,deuda!A22:H520,7,0))</f>
        <v/>
      </c>
      <c r="T20" s="111" t="str">
        <f>IF((VLOOKUP(O20,deuda!A22:H520,8,0))=0,"",VLOOKUP(O20,deuda!A22:H520,8,0))</f>
        <v/>
      </c>
    </row>
    <row r="21" spans="1:20" ht="30" customHeight="1">
      <c r="A21" s="31">
        <v>4</v>
      </c>
      <c r="B21" s="6">
        <v>1243</v>
      </c>
      <c r="C21" s="250">
        <v>10</v>
      </c>
      <c r="D21" s="250">
        <v>2</v>
      </c>
      <c r="E21" s="9">
        <v>4.4955999999999996</v>
      </c>
      <c r="F21" s="9" t="str">
        <f t="shared" si="2"/>
        <v>NO</v>
      </c>
      <c r="G21" s="335" t="s">
        <v>175</v>
      </c>
      <c r="H21" s="125">
        <f>IF(Hijuelas!$G$5="fracción",IF(F21="NO",0,IF(Hijuelas!$G$6="si",IF(D21=1,E21,E21*0.8),E21)),IF(F21="NO",0,IF(Hijuelas!$G$6="si",IF(D21=1,ROUNDUP(E21,0),ROUNDUP(E21*0.8,0)),ROUNDUP(E21,0))))</f>
        <v>0</v>
      </c>
      <c r="I21" s="119">
        <v>0</v>
      </c>
      <c r="J21" s="119">
        <f t="shared" si="0"/>
        <v>0</v>
      </c>
      <c r="K21" s="262">
        <f t="shared" si="3"/>
        <v>42975.563214096779</v>
      </c>
      <c r="L21" s="262">
        <f t="shared" si="4"/>
        <v>42975.563214096779</v>
      </c>
      <c r="M21" s="5"/>
      <c r="N21" s="5"/>
      <c r="O21" s="5" t="str">
        <f t="shared" si="1"/>
        <v>124310</v>
      </c>
      <c r="P21" s="6">
        <f>VLOOKUP(O21,deuda!$A$1:$H$501,4,0)</f>
        <v>0</v>
      </c>
      <c r="Q21" s="6">
        <f>VLOOKUP(O21,deuda!A23:H521,5,0)</f>
        <v>174</v>
      </c>
      <c r="R21" s="6" t="str">
        <f>IF(VLOOKUP(O21,deuda!A23:H521,6,0)=0,"",VLOOKUP(O21,deuda!A23:H521,6,0))</f>
        <v/>
      </c>
      <c r="S21" s="111" t="str">
        <f>IF((VLOOKUP(O21,deuda!A23:H521,7,0))=0,"",VLOOKUP(O21,deuda!A23:H521,7,0))</f>
        <v/>
      </c>
      <c r="T21" s="111" t="str">
        <f>IF((VLOOKUP(O21,deuda!A23:H521,8,0))=0,"",VLOOKUP(O21,deuda!A23:H521,8,0))</f>
        <v/>
      </c>
    </row>
    <row r="22" spans="1:20" ht="30" customHeight="1">
      <c r="A22" s="31">
        <v>3</v>
      </c>
      <c r="B22" s="6">
        <v>1243</v>
      </c>
      <c r="C22" s="250">
        <v>6</v>
      </c>
      <c r="D22" s="250">
        <v>2</v>
      </c>
      <c r="E22" s="9">
        <v>17.027200000000001</v>
      </c>
      <c r="F22" s="9" t="str">
        <f t="shared" si="2"/>
        <v>SI</v>
      </c>
      <c r="G22" s="335" t="s">
        <v>510</v>
      </c>
      <c r="H22" s="125">
        <f>IF(Hijuelas!$G$5="fracción",IF(F22="NO",0,IF(Hijuelas!$G$6="si",IF(D22=1,E22,E22*0.8),E22)),IF(F22="NO",0,IF(Hijuelas!$G$6="si",IF(D22=1,ROUNDUP(E22,0),ROUNDUP(E22*0.8,0)),ROUNDUP(E22,0))))</f>
        <v>13.621760000000002</v>
      </c>
      <c r="I22" s="119">
        <v>0</v>
      </c>
      <c r="J22" s="119">
        <f t="shared" si="0"/>
        <v>0.38481354743794416</v>
      </c>
      <c r="K22" s="262">
        <f t="shared" si="3"/>
        <v>42975.563214096779</v>
      </c>
      <c r="L22" s="262">
        <f t="shared" si="4"/>
        <v>42975.948027644219</v>
      </c>
      <c r="M22" s="5"/>
      <c r="N22" s="5"/>
      <c r="O22" s="5" t="str">
        <f t="shared" si="1"/>
        <v>12436</v>
      </c>
      <c r="P22" s="6">
        <f>VLOOKUP(O22,deuda!$A$1:$H$501,4,0)</f>
        <v>1</v>
      </c>
      <c r="Q22" s="6">
        <f>VLOOKUP(O22,deuda!A24:H522,5,0)</f>
        <v>0</v>
      </c>
      <c r="R22" s="6" t="str">
        <f>IF(VLOOKUP(O22,deuda!A24:H522,6,0)=0,"",VLOOKUP(O22,deuda!A24:H522,6,0))</f>
        <v/>
      </c>
      <c r="S22" s="111" t="str">
        <f>IF((VLOOKUP(O22,deuda!A24:H522,7,0))=0,"",VLOOKUP(O22,deuda!A24:H522,7,0))</f>
        <v/>
      </c>
      <c r="T22" s="111" t="str">
        <f>IF((VLOOKUP(O22,deuda!A24:H522,8,0))=0,"",VLOOKUP(O22,deuda!A24:H522,8,0))</f>
        <v/>
      </c>
    </row>
    <row r="23" spans="1:20" ht="30" customHeight="1">
      <c r="A23" s="31">
        <v>2</v>
      </c>
      <c r="B23" s="6">
        <v>1243</v>
      </c>
      <c r="C23" s="250">
        <v>11</v>
      </c>
      <c r="D23" s="250">
        <v>2</v>
      </c>
      <c r="E23" s="9">
        <v>12</v>
      </c>
      <c r="F23" s="9" t="str">
        <f t="shared" si="2"/>
        <v>SI</v>
      </c>
      <c r="G23" s="335" t="s">
        <v>511</v>
      </c>
      <c r="H23" s="125">
        <f>IF(Hijuelas!$G$5="fracción",IF(F23="NO",0,IF(Hijuelas!$G$6="si",IF(D23=1,E23,E23*0.8),E23)),IF(F23="NO",0,IF(Hijuelas!$G$6="si",IF(D23=1,ROUNDUP(E23,0),ROUNDUP(E23*0.8,0)),ROUNDUP(E23,0))))</f>
        <v>9.6000000000000014</v>
      </c>
      <c r="I23" s="119">
        <v>0</v>
      </c>
      <c r="J23" s="119">
        <f t="shared" si="0"/>
        <v>0.27119917363132695</v>
      </c>
      <c r="K23" s="262">
        <f t="shared" si="3"/>
        <v>42975.948027644219</v>
      </c>
      <c r="L23" s="262">
        <f t="shared" si="4"/>
        <v>42976.219226817848</v>
      </c>
      <c r="M23" s="5"/>
      <c r="N23" s="5"/>
      <c r="O23" s="5" t="str">
        <f t="shared" si="1"/>
        <v>124311</v>
      </c>
      <c r="P23" s="6">
        <f>VLOOKUP(O23,deuda!$A$1:$H$501,4,0)</f>
        <v>1</v>
      </c>
      <c r="Q23" s="6">
        <f>VLOOKUP(O23,deuda!A25:H523,5,0)</f>
        <v>0</v>
      </c>
      <c r="R23" s="6" t="str">
        <f>IF(VLOOKUP(O23,deuda!A25:H523,6,0)=0,"",VLOOKUP(O23,deuda!A25:H523,6,0))</f>
        <v/>
      </c>
      <c r="S23" s="111" t="str">
        <f>IF((VLOOKUP(O23,deuda!A25:H523,7,0))=0,"",VLOOKUP(O23,deuda!A25:H523,7,0))</f>
        <v/>
      </c>
      <c r="T23" s="111" t="str">
        <f>IF((VLOOKUP(O23,deuda!A25:H523,8,0))=0,"",VLOOKUP(O23,deuda!A25:H523,8,0))</f>
        <v/>
      </c>
    </row>
    <row r="24" spans="1:20" ht="30" customHeight="1" thickBot="1">
      <c r="A24" s="32">
        <v>1</v>
      </c>
      <c r="B24" s="29">
        <v>1243</v>
      </c>
      <c r="C24" s="256">
        <v>49</v>
      </c>
      <c r="D24" s="256">
        <v>2</v>
      </c>
      <c r="E24" s="138">
        <v>58.054299999999998</v>
      </c>
      <c r="F24" s="9" t="str">
        <f t="shared" si="2"/>
        <v>SI</v>
      </c>
      <c r="G24" s="337" t="s">
        <v>178</v>
      </c>
      <c r="H24" s="125">
        <f>IF(Hijuelas!$G$5="fracción",IF(F24="NO",0,IF(Hijuelas!$G$6="si",IF(D24=1,E24,E24*0.8),E24)),IF(F24="NO",0,IF(Hijuelas!$G$6="si",IF(D24=1,ROUNDUP(E24,0),ROUNDUP(E24*0.8,0)),ROUNDUP(E24,0))))</f>
        <v>46.443440000000002</v>
      </c>
      <c r="I24" s="120">
        <v>0</v>
      </c>
      <c r="J24" s="119">
        <f t="shared" si="0"/>
        <v>1.3120231821454285</v>
      </c>
      <c r="K24" s="262">
        <f t="shared" si="3"/>
        <v>42976.219226817848</v>
      </c>
      <c r="L24" s="262">
        <f t="shared" si="4"/>
        <v>42977.531249999993</v>
      </c>
      <c r="M24" s="27"/>
      <c r="N24" s="27"/>
      <c r="O24" s="5" t="str">
        <f t="shared" si="1"/>
        <v>124349</v>
      </c>
      <c r="P24" s="6">
        <f>VLOOKUP(O24,deuda!$A$1:$H$501,4,0)</f>
        <v>1</v>
      </c>
      <c r="Q24" s="6">
        <f>VLOOKUP(O24,deuda!A26:H524,5,0)</f>
        <v>2</v>
      </c>
      <c r="R24" s="6" t="str">
        <f>IF(VLOOKUP(O24,deuda!A26:H524,6,0)=0,"",VLOOKUP(O24,deuda!A26:H524,6,0))</f>
        <v/>
      </c>
      <c r="S24" s="111" t="str">
        <f>IF((VLOOKUP(O24,deuda!A26:H524,7,0))=0,"",VLOOKUP(O24,deuda!A26:H524,7,0))</f>
        <v/>
      </c>
      <c r="T24" s="111" t="str">
        <f>IF((VLOOKUP(O24,deuda!A26:H524,8,0))=0,"",VLOOKUP(O24,deuda!A26:H524,8,0))</f>
        <v/>
      </c>
    </row>
    <row r="25" spans="1:20" ht="18" customHeight="1">
      <c r="E25" s="482">
        <f>SUM(E13:E24)</f>
        <v>167.42959999999999</v>
      </c>
      <c r="F25" s="289"/>
      <c r="G25" s="290"/>
      <c r="H25" s="482">
        <f>SUM(H13:H24)</f>
        <v>133.11250000000001</v>
      </c>
      <c r="I25" s="67">
        <f>SUM(I13:I24)</f>
        <v>6.25E-2</v>
      </c>
      <c r="J25" s="137">
        <f>SUM(J13:J24)</f>
        <v>3.7604166666666665</v>
      </c>
    </row>
  </sheetData>
  <mergeCells count="7">
    <mergeCell ref="H2:J2"/>
    <mergeCell ref="A6:B6"/>
    <mergeCell ref="C6:E6"/>
    <mergeCell ref="A9:B9"/>
    <mergeCell ref="C2:G2"/>
    <mergeCell ref="A5:B5"/>
    <mergeCell ref="C5:E5"/>
  </mergeCells>
  <phoneticPr fontId="0" type="noConversion"/>
  <dataValidations disablePrompts="1" count="1">
    <dataValidation allowBlank="1" showInputMessage="1" showErrorMessage="1" errorTitle="ATENCIÓN" error="SOLO PUEDE INGRESAR EL &quot;2&quot;" promptTitle="RECORDAR" prompt="SI MODIFICA EL VALOR DE LA CELDA, RECUERDE VOLVER A COPIAR LA FÓRMULA." sqref="P13:P24" xr:uid="{00000000-0002-0000-2100-000000000000}"/>
  </dataValidations>
  <pageMargins left="0.39370078740157483" right="0.39370078740157483" top="0.98425196850393704" bottom="0.98425196850393704" header="0" footer="0"/>
  <pageSetup paperSize="9" scale="75" orientation="landscape" horizontalDpi="300" verticalDpi="3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9"/>
  <dimension ref="A1:I186"/>
  <sheetViews>
    <sheetView view="pageBreakPreview" zoomScale="60" zoomScaleNormal="75" workbookViewId="0" xr3:uid="{E6B2BAC2-667D-5CCD-8069-8C8F7D962337}">
      <selection activeCell="K19" sqref="K19"/>
    </sheetView>
  </sheetViews>
  <sheetFormatPr defaultRowHeight="12.75"/>
  <cols>
    <col min="1" max="2" width="11.42578125" customWidth="1"/>
    <col min="3" max="3" width="11.7109375" bestFit="1" customWidth="1"/>
    <col min="4" max="4" width="22.28515625" bestFit="1" customWidth="1"/>
    <col min="5" max="5" width="11.42578125" customWidth="1"/>
    <col min="6" max="6" width="11.7109375" bestFit="1" customWidth="1"/>
    <col min="7" max="7" width="19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</row>
    <row r="2" spans="1:9">
      <c r="A2" s="381"/>
      <c r="B2" s="109" t="s">
        <v>82</v>
      </c>
      <c r="C2" s="76"/>
      <c r="D2" s="76"/>
      <c r="E2" s="76"/>
      <c r="F2" s="76"/>
      <c r="G2" s="382"/>
      <c r="H2" s="76"/>
    </row>
    <row r="3" spans="1:9">
      <c r="A3" s="381"/>
      <c r="B3" s="76"/>
      <c r="C3" s="76"/>
      <c r="D3" s="76"/>
      <c r="E3" s="76"/>
      <c r="F3" s="76"/>
      <c r="G3" s="382"/>
      <c r="H3" s="76"/>
    </row>
    <row r="4" spans="1:9">
      <c r="A4" s="381"/>
      <c r="B4" s="76" t="s">
        <v>182</v>
      </c>
      <c r="C4" s="76" t="str">
        <f>VLOOKUP(G5,'14_1'!$A$12:$G$24,7,0)</f>
        <v>ROMERA PITT, DANIEL ADOLFO</v>
      </c>
      <c r="D4" s="76"/>
      <c r="E4" s="76"/>
      <c r="F4" s="76"/>
      <c r="G4" s="383" t="s">
        <v>134</v>
      </c>
      <c r="H4" s="76"/>
    </row>
    <row r="5" spans="1:9">
      <c r="A5" s="381"/>
      <c r="B5" s="76" t="s">
        <v>91</v>
      </c>
      <c r="C5" s="76" t="str">
        <f>+'14_1'!$H$2</f>
        <v>Hijuela Solanilla Romera</v>
      </c>
      <c r="D5" s="76"/>
      <c r="E5" s="76"/>
      <c r="F5" s="76"/>
      <c r="G5" s="383">
        <v>1</v>
      </c>
      <c r="H5" s="76"/>
    </row>
    <row r="6" spans="1:9">
      <c r="A6" s="381"/>
      <c r="B6" s="76"/>
      <c r="C6" s="76"/>
      <c r="D6" s="76"/>
      <c r="E6" s="76"/>
      <c r="F6" s="76"/>
      <c r="G6" s="382"/>
      <c r="H6" s="76"/>
    </row>
    <row r="7" spans="1:9">
      <c r="A7" s="381"/>
      <c r="B7" s="635" t="s">
        <v>183</v>
      </c>
      <c r="C7" s="331">
        <f>VLOOKUP(G5,'14_1'!$A$12:$B$24,2,0)</f>
        <v>1243</v>
      </c>
      <c r="D7" s="76"/>
      <c r="E7" s="635" t="s">
        <v>184</v>
      </c>
      <c r="F7" s="397">
        <f>DSUM('14_1'!A$12:J$24,'14_1'!$J$12,G4:G5)</f>
        <v>1.3120231821454285</v>
      </c>
      <c r="G7" s="382"/>
      <c r="H7" s="76"/>
    </row>
    <row r="8" spans="1:9">
      <c r="A8" s="381"/>
      <c r="B8" s="635" t="s">
        <v>185</v>
      </c>
      <c r="C8" s="374">
        <v>7</v>
      </c>
      <c r="D8" s="76"/>
      <c r="E8" s="635" t="s">
        <v>186</v>
      </c>
      <c r="F8" s="368" t="str">
        <f>IF(VLOOKUP(G5,'14_1'!$A$12:$D$24,4,0)=2,"Eventual 80%","Definitivo 100%")</f>
        <v>Eventual 80%</v>
      </c>
      <c r="G8" s="382"/>
      <c r="H8" s="76"/>
    </row>
    <row r="9" spans="1:9">
      <c r="A9" s="381"/>
      <c r="B9" s="635" t="s">
        <v>187</v>
      </c>
      <c r="C9" s="375">
        <f>DSUM('14_1'!$A$12:$H$24,'14_1'!$H$12,G4:G5)</f>
        <v>46.443440000000002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9" ht="15.75">
      <c r="A10" s="381"/>
      <c r="B10" s="76"/>
      <c r="C10" s="635" t="s">
        <v>189</v>
      </c>
      <c r="D10" s="107">
        <f>DMIN('14_1'!A$12:K$24,'14_1'!$K$12,G4:G5)</f>
        <v>42976.219226817848</v>
      </c>
      <c r="E10" s="127" t="str">
        <f>IF(F10=1,"Domingo",IF(F10=2,"Lunes",IF(F10=3,"Martes",IF(F10=4,"Miercoles",IF(F10=5,"Jueves",IF(F10=6,"Viernes",IF(F10=7,"Sábado",0)))))))</f>
        <v>Martes</v>
      </c>
      <c r="F10" s="128">
        <f>WEEKDAY(D10)</f>
        <v>3</v>
      </c>
      <c r="G10" s="385"/>
      <c r="H10" s="76"/>
    </row>
    <row r="11" spans="1:9" ht="15.75">
      <c r="A11" s="381"/>
      <c r="B11" s="76"/>
      <c r="C11" s="635" t="s">
        <v>190</v>
      </c>
      <c r="D11" s="107">
        <f>DMAX('14_1'!A$12:L$24,'14_1'!$L$12,G4:G5)</f>
        <v>42977.531249999993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385"/>
      <c r="H11" s="76"/>
    </row>
    <row r="12" spans="1:9">
      <c r="A12" s="381"/>
      <c r="B12" s="76"/>
      <c r="C12" s="76"/>
      <c r="D12" s="76"/>
      <c r="E12" s="76"/>
      <c r="F12" s="106"/>
      <c r="G12" s="384"/>
      <c r="H12" s="76"/>
    </row>
    <row r="13" spans="1:9">
      <c r="A13" s="405"/>
      <c r="B13" s="404" t="str">
        <f>+Mensajes!$B$7</f>
        <v>PARA CUALQUIER MODIFICACION EN EL CUADRO DE TURNO COMUNIQUESE CON SU TOMERO</v>
      </c>
      <c r="C13" s="279"/>
      <c r="D13" s="76"/>
      <c r="E13" s="76"/>
      <c r="F13" s="76"/>
      <c r="G13" s="382"/>
      <c r="H13" s="76"/>
    </row>
    <row r="14" spans="1:9">
      <c r="A14" s="406"/>
      <c r="B14" s="404" t="str">
        <f>+Mensajes!$B$12</f>
        <v>Recuerde que con 1 (una) cuotas vigentes impagas se restringirá el servicio.</v>
      </c>
      <c r="C14" s="280"/>
      <c r="D14" s="76"/>
      <c r="E14" s="76"/>
      <c r="F14" s="76"/>
      <c r="G14" s="382"/>
      <c r="H14" s="76"/>
    </row>
    <row r="15" spans="1:9">
      <c r="A15" s="381"/>
      <c r="B15" s="108"/>
      <c r="C15" s="76"/>
      <c r="D15" s="76"/>
      <c r="E15" s="76"/>
      <c r="F15" s="76"/>
      <c r="G15" s="382"/>
      <c r="H15" s="76"/>
    </row>
    <row r="16" spans="1:9" ht="13.5" thickBot="1">
      <c r="A16" s="386"/>
      <c r="B16" s="387" t="str">
        <f>IF(DSUM('14_1'!$A$12:$P$88,16,G4:G5)=COUNTIF('14_1'!$A$12:$A$88,G5),"","Regularice su Deuda")</f>
        <v/>
      </c>
      <c r="C16" s="326"/>
      <c r="D16" s="326"/>
      <c r="E16" s="326"/>
      <c r="F16" s="326"/>
      <c r="G16" s="388"/>
      <c r="H16" s="76"/>
      <c r="I16">
        <f>25*17</f>
        <v>425</v>
      </c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VLOOKUP(G22,'14_1'!$A$12:$G$24,7,0)</f>
        <v>STOIZIK, HUGO SEBASTIAN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+'14_1'!$H$2</f>
        <v>Hijuela Solanilla Romera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VLOOKUP(G22,'14_1'!$A$12:$B$24,2,0)</f>
        <v>1243</v>
      </c>
      <c r="D24" s="76"/>
      <c r="E24" s="635" t="s">
        <v>184</v>
      </c>
      <c r="F24" s="397">
        <f>DSUM('14_1'!A$12:J$24,'14_1'!$J$12,G21:G22)</f>
        <v>0.27119917363132695</v>
      </c>
      <c r="G24" s="382"/>
    </row>
    <row r="25" spans="1:7">
      <c r="A25" s="381"/>
      <c r="B25" s="635" t="s">
        <v>185</v>
      </c>
      <c r="C25" s="374">
        <v>38</v>
      </c>
      <c r="D25" s="76"/>
      <c r="E25" s="635" t="s">
        <v>186</v>
      </c>
      <c r="F25" s="368" t="str">
        <f>IF(VLOOKUP(G22,'14_1'!$A$12:$D$24,4,0)=2,"Eventual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DSUM('14_1'!$A$12:$H$24,'14_1'!$H$12,G21:G22)</f>
        <v>9.6000000000000014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DMIN('14_1'!A$12:K$24,'14_1'!$K$12,G21:G22)</f>
        <v>42975.948027644219</v>
      </c>
      <c r="E27" s="127" t="str">
        <f>IF(F27=1,"Domingo",IF(F27=2,"Lunes",IF(F27=3,"Martes",IF(F27=4,"Miercoles",IF(F27=5,"Jueves",IF(F27=6,"Viernes",IF(F27=7,"Sábado",0)))))))</f>
        <v>Lunes</v>
      </c>
      <c r="F27" s="128">
        <f>WEEKDAY(D27)</f>
        <v>2</v>
      </c>
      <c r="G27" s="385"/>
    </row>
    <row r="28" spans="1:7" ht="15.75">
      <c r="A28" s="381"/>
      <c r="B28" s="76"/>
      <c r="C28" s="635" t="s">
        <v>190</v>
      </c>
      <c r="D28" s="107">
        <f>DMAX('14_1'!A$12:L$24,'14_1'!$L$12,G21:G22)</f>
        <v>42976.219226817848</v>
      </c>
      <c r="E28" s="127" t="str">
        <f>IF(F28=1,"Domingo",IF(F28=2,"Lunes",IF(F28=3,"Martes",IF(F28=4,"Miercoles",IF(F28=5,"Jueves",IF(F28=6,"Viernes",IF(F28=7,"Sábado",0)))))))</f>
        <v>Martes</v>
      </c>
      <c r="F28" s="128">
        <f>WEEKDAY(D28)</f>
        <v>3</v>
      </c>
      <c r="G28" s="385"/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405"/>
      <c r="B30" s="404" t="str">
        <f>+Mensajes!$B$7</f>
        <v>PARA CUALQUIER MODIFICACION EN EL CUADRO DE TURNO COMUNIQUESE CON SU TOMERO</v>
      </c>
      <c r="C30" s="279"/>
      <c r="D30" s="76"/>
      <c r="E30" s="76"/>
      <c r="F30" s="76"/>
      <c r="G30" s="382"/>
    </row>
    <row r="31" spans="1:7">
      <c r="A31" s="406"/>
      <c r="B31" s="404" t="str">
        <f>+Mensajes!$B$12</f>
        <v>Recuerde que con 1 (una) cuotas vigentes impagas se restringirá el servicio.</v>
      </c>
      <c r="C31" s="280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IF(DSUM('14_1'!$A$12:$P$88,16,G21:G22)=COUNTIF('14_1'!$A$12:$A$88,G22),"","Regularice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VLOOKUP(G39,'14_1'!$A$12:$G$24,7,0)</f>
        <v>ELMELAJ, MARIA PATRICIA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+'14_1'!$H$2</f>
        <v>Hijuela Solanilla Romera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VLOOKUP(G39,'14_1'!$A$12:$B$24,2,0)</f>
        <v>1243</v>
      </c>
      <c r="D41" s="76"/>
      <c r="E41" s="635" t="s">
        <v>184</v>
      </c>
      <c r="F41" s="397">
        <f>DSUM('14_1'!A$12:J$24,'14_1'!$J$12,G38:G39)</f>
        <v>0.38481354743794416</v>
      </c>
      <c r="G41" s="382"/>
    </row>
    <row r="42" spans="1:7">
      <c r="A42" s="381"/>
      <c r="B42" s="635" t="s">
        <v>185</v>
      </c>
      <c r="C42" s="374">
        <v>14</v>
      </c>
      <c r="D42" s="76"/>
      <c r="E42" s="635" t="s">
        <v>186</v>
      </c>
      <c r="F42" s="368" t="str">
        <f>IF(VLOOKUP(G39,'14_1'!$A$12:$D$24,4,0)=2,"Eventual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DSUM('14_1'!$A$12:$H$24,'14_1'!$H$12,G38:G39)</f>
        <v>13.621760000000002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DMIN('14_1'!A$12:K$24,'14_1'!$K$12,G38:G39)</f>
        <v>42975.563214096779</v>
      </c>
      <c r="E44" s="127" t="str">
        <f>IF(F44=1,"Domingo",IF(F44=2,"Lunes",IF(F44=3,"Martes",IF(F44=4,"Miercoles",IF(F44=5,"Jueves",IF(F44=6,"Viernes",IF(F44=7,"Sábado",0)))))))</f>
        <v>Lunes</v>
      </c>
      <c r="F44" s="128">
        <f>WEEKDAY(D44)</f>
        <v>2</v>
      </c>
      <c r="G44" s="385"/>
    </row>
    <row r="45" spans="1:7" ht="15.75">
      <c r="A45" s="381"/>
      <c r="B45" s="76"/>
      <c r="C45" s="635" t="s">
        <v>190</v>
      </c>
      <c r="D45" s="107">
        <f>DMAX('14_1'!A$12:L$24,'14_1'!$L$12,G38:G39)</f>
        <v>42975.948027644219</v>
      </c>
      <c r="E45" s="127" t="str">
        <f>IF(F45=1,"Domingo",IF(F45=2,"Lunes",IF(F45=3,"Martes",IF(F45=4,"Miercoles",IF(F45=5,"Jueves",IF(F45=6,"Viernes",IF(F45=7,"Sábado",0)))))))</f>
        <v>Lunes</v>
      </c>
      <c r="F45" s="128">
        <f>WEEKDAY(D45)</f>
        <v>2</v>
      </c>
      <c r="G45" s="385"/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405"/>
      <c r="B47" s="404" t="str">
        <f>+Mensajes!$B$7</f>
        <v>PARA CUALQUIER MODIFICACION EN EL CUADRO DE TURNO COMUNIQUESE CON SU TOMERO</v>
      </c>
      <c r="C47" s="279"/>
      <c r="D47" s="76"/>
      <c r="E47" s="76"/>
      <c r="F47" s="76"/>
      <c r="G47" s="382"/>
    </row>
    <row r="48" spans="1:7">
      <c r="A48" s="406"/>
      <c r="B48" s="404" t="str">
        <f>+Mensajes!$B$12</f>
        <v>Recuerde que con 1 (una) cuotas vigentes impagas se restringirá el servicio.</v>
      </c>
      <c r="C48" s="280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IF(DSUM('14_1'!$A$12:$P$88,16,G38:G39)=COUNTIF('14_1'!$A$12:$A$88,G39),"","Regularice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VLOOKUP(G56,'14_1'!$A$12:$G$24,7,0)</f>
        <v>CASTRO, JOSE CANDIDO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+'14_1'!$H$2</f>
        <v>Hijuela Solanilla Romera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VLOOKUP(G56,'14_1'!$A$12:$B$24,2,0)</f>
        <v>1243</v>
      </c>
      <c r="D58" s="76"/>
      <c r="E58" s="635" t="s">
        <v>184</v>
      </c>
      <c r="F58" s="397">
        <f>DSUM('14_1'!A$12:J$24,'14_1'!$J$12,G55:G56)</f>
        <v>0</v>
      </c>
      <c r="G58" s="382"/>
    </row>
    <row r="59" spans="1:7">
      <c r="A59" s="381"/>
      <c r="B59" s="635" t="s">
        <v>185</v>
      </c>
      <c r="C59" s="374">
        <v>50</v>
      </c>
      <c r="D59" s="76"/>
      <c r="E59" s="635" t="s">
        <v>186</v>
      </c>
      <c r="F59" s="368" t="str">
        <f>IF(VLOOKUP(G56,'14_1'!$A$12:$D$24,4,0)=2,"Eventual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DSUM('14_1'!$A$12:$H$24,'14_1'!$H$12,G55:G56)</f>
        <v>0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DMIN('14_1'!A$12:K$24,'14_1'!$K$12,G55:G56)</f>
        <v>42975.563214096779</v>
      </c>
      <c r="E61" s="127" t="str">
        <f>IF(F61=1,"Domingo",IF(F61=2,"Lunes",IF(F61=3,"Martes",IF(F61=4,"Miercoles",IF(F61=5,"Jueves",IF(F61=6,"Viernes",IF(F61=7,"Sábado",0)))))))</f>
        <v>Lunes</v>
      </c>
      <c r="F61" s="128">
        <f>WEEKDAY(D61)</f>
        <v>2</v>
      </c>
      <c r="G61" s="385"/>
    </row>
    <row r="62" spans="1:7" ht="15.75">
      <c r="A62" s="381"/>
      <c r="B62" s="76"/>
      <c r="C62" s="635" t="s">
        <v>190</v>
      </c>
      <c r="D62" s="107">
        <f>DMAX('14_1'!A$12:L$24,'14_1'!$L$12,G55:G56)</f>
        <v>42975.563214096779</v>
      </c>
      <c r="E62" s="127" t="str">
        <f>IF(F62=1,"Domingo",IF(F62=2,"Lunes",IF(F62=3,"Martes",IF(F62=4,"Miercoles",IF(F62=5,"Jueves",IF(F62=6,"Viernes",IF(F62=7,"Sábado",0)))))))</f>
        <v>Lunes</v>
      </c>
      <c r="F62" s="128">
        <f>WEEKDAY(D62)</f>
        <v>2</v>
      </c>
      <c r="G62" s="385"/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405"/>
      <c r="B64" s="404" t="str">
        <f>+Mensajes!$B$7</f>
        <v>PARA CUALQUIER MODIFICACION EN EL CUADRO DE TURNO COMUNIQUESE CON SU TOMERO</v>
      </c>
      <c r="C64" s="279"/>
      <c r="D64" s="76"/>
      <c r="E64" s="76"/>
      <c r="F64" s="76"/>
      <c r="G64" s="382"/>
    </row>
    <row r="65" spans="1:7">
      <c r="A65" s="406"/>
      <c r="B65" s="404" t="str">
        <f>+Mensajes!$B$12</f>
        <v>Recuerde que con 1 (una) cuotas vigentes impagas se restringirá el servicio.</v>
      </c>
      <c r="C65" s="280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IF(DSUM('14_1'!$A$12:$P$88,16,G55:G56)=COUNTIF('14_1'!$A$12:$A$88,G56),"","Regularice su Deuda")</f>
        <v>Regularice su Deuda</v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VLOOKUP(G73,'14_1'!$A$12:$G$24,7,0)</f>
        <v>KRATEUS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+'14_1'!$H$2</f>
        <v>Hijuela Solanilla Romera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VLOOKUP(G73,'14_1'!$A$12:$B$24,2,0)</f>
        <v>1243</v>
      </c>
      <c r="D75" s="76"/>
      <c r="E75" s="635" t="s">
        <v>184</v>
      </c>
      <c r="F75" s="397">
        <f>DSUM('14_1'!A$12:J$24,'14_1'!$J$12,G72:G73)</f>
        <v>0.59009324193194979</v>
      </c>
      <c r="G75" s="382"/>
    </row>
    <row r="76" spans="1:7">
      <c r="A76" s="381"/>
      <c r="B76" s="635" t="s">
        <v>185</v>
      </c>
      <c r="C76" s="374">
        <v>42</v>
      </c>
      <c r="D76" s="76"/>
      <c r="E76" s="635" t="s">
        <v>186</v>
      </c>
      <c r="F76" s="368" t="str">
        <f>IF(VLOOKUP(G73,'14_1'!$A$12:$D$24,4,0)=2,"Eventual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DSUM('14_1'!$A$12:$H$24,'14_1'!$H$12,G72:G73)</f>
        <v>20.88832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DMIN('14_1'!A$12:K$24,'14_1'!$K$12,G72:G73)</f>
        <v>42974.973120854847</v>
      </c>
      <c r="E78" s="127" t="str">
        <f>IF(F78=1,"Domingo",IF(F78=2,"Lunes",IF(F78=3,"Martes",IF(F78=4,"Miercoles",IF(F78=5,"Jueves",IF(F78=6,"Viernes",IF(F78=7,"Sábado",0)))))))</f>
        <v>Domingo</v>
      </c>
      <c r="F78" s="128">
        <f>WEEKDAY(D78)</f>
        <v>1</v>
      </c>
      <c r="G78" s="385"/>
    </row>
    <row r="79" spans="1:7" ht="15.75">
      <c r="A79" s="381"/>
      <c r="B79" s="76"/>
      <c r="C79" s="635" t="s">
        <v>190</v>
      </c>
      <c r="D79" s="107">
        <f>DMAX('14_1'!A$12:L$24,'14_1'!$L$12,G72:G73)</f>
        <v>42975.563214096779</v>
      </c>
      <c r="E79" s="127" t="str">
        <f>IF(F79=1,"Domingo",IF(F79=2,"Lunes",IF(F79=3,"Martes",IF(F79=4,"Miercoles",IF(F79=5,"Jueves",IF(F79=6,"Viernes",IF(F79=7,"Sábado",0)))))))</f>
        <v>Lunes</v>
      </c>
      <c r="F79" s="128">
        <f>WEEKDAY(D79)</f>
        <v>2</v>
      </c>
      <c r="G79" s="385"/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405"/>
      <c r="B81" s="404" t="str">
        <f>+Mensajes!$B$7</f>
        <v>PARA CUALQUIER MODIFICACION EN EL CUADRO DE TURNO COMUNIQUESE CON SU TOMERO</v>
      </c>
      <c r="C81" s="279"/>
      <c r="D81" s="76"/>
      <c r="E81" s="76"/>
      <c r="F81" s="76"/>
      <c r="G81" s="382"/>
    </row>
    <row r="82" spans="1:7">
      <c r="A82" s="406"/>
      <c r="B82" s="404" t="str">
        <f>+Mensajes!$B$12</f>
        <v>Recuerde que con 1 (una) cuotas vigentes impagas se restringirá el servicio.</v>
      </c>
      <c r="C82" s="280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IF(DSUM('14_1'!$A$12:$P$88,16,G72:G73)=COUNTIF('14_1'!$A$12:$A$88,G73),"","Regularice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VLOOKUP(G90,'14_1'!$A$12:$G$24,7,0)</f>
        <v>HERAS, PABLO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+'14_1'!$H$2</f>
        <v>Hijuela Solanilla Romera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VLOOKUP(G90,'14_1'!$A$12:$B$24,2,0)</f>
        <v>1243</v>
      </c>
      <c r="D92" s="76"/>
      <c r="E92" s="635" t="s">
        <v>184</v>
      </c>
      <c r="F92" s="397">
        <f>DSUM('14_1'!A$12:J$24,'14_1'!$J$12,G89:G90)</f>
        <v>0.43845278899427176</v>
      </c>
      <c r="G92" s="382"/>
    </row>
    <row r="93" spans="1:7">
      <c r="A93" s="381"/>
      <c r="B93" s="635" t="s">
        <v>185</v>
      </c>
      <c r="C93" s="374">
        <v>37</v>
      </c>
      <c r="D93" s="76"/>
      <c r="E93" s="635" t="s">
        <v>186</v>
      </c>
      <c r="F93" s="368" t="str">
        <f>IF(VLOOKUP(G90,'14_1'!$A$12:$D$24,4,0)=2,"Eventual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DSUM('14_1'!$A$12:$H$24,'14_1'!$H$12,G89:G90)</f>
        <v>15.5205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DMIN('14_1'!A$12:K$24,'14_1'!$K$12,G89:G90)</f>
        <v>42974.534668065855</v>
      </c>
      <c r="E95" s="127" t="str">
        <f>IF(F95=1,"Domingo",IF(F95=2,"Lunes",IF(F95=3,"Martes",IF(F95=4,"Miercoles",IF(F95=5,"Jueves",IF(F95=6,"Viernes",IF(F95=7,"Sábado",0)))))))</f>
        <v>Domingo</v>
      </c>
      <c r="F95" s="128">
        <f>WEEKDAY(D95)</f>
        <v>1</v>
      </c>
      <c r="G95" s="385"/>
    </row>
    <row r="96" spans="1:7" ht="15.75">
      <c r="A96" s="381"/>
      <c r="B96" s="76"/>
      <c r="C96" s="635" t="s">
        <v>190</v>
      </c>
      <c r="D96" s="107">
        <f>DMAX('14_1'!A$12:L$24,'14_1'!$L$12,G89:G90)</f>
        <v>42974.973120854847</v>
      </c>
      <c r="E96" s="127" t="str">
        <f>IF(F96=1,"Domingo",IF(F96=2,"Lunes",IF(F96=3,"Martes",IF(F96=4,"Miercoles",IF(F96=5,"Jueves",IF(F96=6,"Viernes",IF(F96=7,"Sábado",0)))))))</f>
        <v>Domingo</v>
      </c>
      <c r="F96" s="128">
        <f>WEEKDAY(D96)</f>
        <v>1</v>
      </c>
      <c r="G96" s="385"/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405"/>
      <c r="B98" s="404" t="str">
        <f>+Mensajes!$B$7</f>
        <v>PARA CUALQUIER MODIFICACION EN EL CUADRO DE TURNO COMUNIQUESE CON SU TOMERO</v>
      </c>
      <c r="C98" s="279"/>
      <c r="D98" s="76"/>
      <c r="E98" s="76"/>
      <c r="F98" s="76"/>
      <c r="G98" s="382"/>
    </row>
    <row r="99" spans="1:7">
      <c r="A99" s="406"/>
      <c r="B99" s="404" t="str">
        <f>+Mensajes!$B$12</f>
        <v>Recuerde que con 1 (una) cuotas vigentes impagas se restringirá el servicio.</v>
      </c>
      <c r="C99" s="280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IF(DSUM('14_1'!$A$12:$P$88,16,G89:G90)=COUNTIF('14_1'!$A$12:$A$88,G90),"","Regularice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VLOOKUP(G107,'14_1'!$A$12:$G$24,7,0)</f>
        <v>ALONSO, RAFAEL FRANCISCO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+'14_1'!$H$2</f>
        <v>Hijuela Solanilla Romera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VLOOKUP(G107,'14_1'!$A$12:$B$24,2,0)</f>
        <v>1243</v>
      </c>
      <c r="D109" s="76"/>
      <c r="E109" s="635" t="s">
        <v>184</v>
      </c>
      <c r="F109" s="397">
        <f>DSUM('14_1'!A$12:J$24,'14_1'!$J$12,G106:G107)</f>
        <v>9.4808971108398296E-2</v>
      </c>
      <c r="G109" s="382"/>
    </row>
    <row r="110" spans="1:7">
      <c r="A110" s="381"/>
      <c r="B110" s="635" t="s">
        <v>185</v>
      </c>
      <c r="C110" s="374" t="s">
        <v>512</v>
      </c>
      <c r="D110" s="76"/>
      <c r="E110" s="635" t="s">
        <v>186</v>
      </c>
      <c r="F110" s="368" t="str">
        <f>IF(VLOOKUP(G107,'14_1'!$A$12:$D$24,4,0)=2,"Eventual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DSUM('14_1'!$A$12:$H$24,'14_1'!$H$12,G106:G107)</f>
        <v>3.3560800000000004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DMIN('14_1'!A$12:K$24,'14_1'!$K$12,G106:G107)</f>
        <v>42974.41902576141</v>
      </c>
      <c r="E112" s="127" t="str">
        <f>IF(F112=1,"Domingo",IF(F112=2,"Lunes",IF(F112=3,"Martes",IF(F112=4,"Miercoles",IF(F112=5,"Jueves",IF(F112=6,"Viernes",IF(F112=7,"Sábado",0)))))))</f>
        <v>Domingo</v>
      </c>
      <c r="F112" s="128">
        <f>WEEKDAY(D112)</f>
        <v>1</v>
      </c>
      <c r="G112" s="385"/>
    </row>
    <row r="113" spans="1:7" ht="15.75">
      <c r="A113" s="381"/>
      <c r="B113" s="76"/>
      <c r="C113" s="635" t="s">
        <v>190</v>
      </c>
      <c r="D113" s="107">
        <f>DMAX('14_1'!A$12:L$24,'14_1'!$L$12,G106:G107)</f>
        <v>42974.534668065855</v>
      </c>
      <c r="E113" s="127" t="str">
        <f>IF(F113=1,"Domingo",IF(F113=2,"Lunes",IF(F113=3,"Martes",IF(F113=4,"Miercoles",IF(F113=5,"Jueves",IF(F113=6,"Viernes",IF(F113=7,"Sábado",0)))))))</f>
        <v>Domingo</v>
      </c>
      <c r="F113" s="128">
        <f>WEEKDAY(D113)</f>
        <v>1</v>
      </c>
      <c r="G113" s="385"/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405"/>
      <c r="B115" s="404" t="str">
        <f>+Mensajes!$B$7</f>
        <v>PARA CUALQUIER MODIFICACION EN EL CUADRO DE TURNO COMUNIQUESE CON SU TOMERO</v>
      </c>
      <c r="C115" s="279"/>
      <c r="D115" s="76"/>
      <c r="E115" s="76"/>
      <c r="F115" s="76"/>
      <c r="G115" s="382"/>
    </row>
    <row r="116" spans="1:7">
      <c r="A116" s="406"/>
      <c r="B116" s="404" t="str">
        <f>+Mensajes!$B$12</f>
        <v>Recuerde que con 1 (una) cuotas vigentes impagas se restringirá el servicio.</v>
      </c>
      <c r="C116" s="280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IF(DSUM('14_1'!$A$12:$P$88,16,G106:G107)=COUNTIF('14_1'!$A$12:$A$88,G107),"","Regularice su Deuda")</f>
        <v/>
      </c>
      <c r="C118" s="326"/>
      <c r="D118" s="326"/>
      <c r="E118" s="326"/>
      <c r="F118" s="326"/>
      <c r="G118" s="388"/>
    </row>
    <row r="119" spans="1:7" ht="13.5" thickBot="1"/>
    <row r="120" spans="1:7">
      <c r="A120" s="378"/>
      <c r="B120" s="379"/>
      <c r="C120" s="379"/>
      <c r="D120" s="379"/>
      <c r="E120" s="379"/>
      <c r="F120" s="379"/>
      <c r="G120" s="380"/>
    </row>
    <row r="121" spans="1:7">
      <c r="A121" s="381"/>
      <c r="B121" s="109" t="s">
        <v>82</v>
      </c>
      <c r="C121" s="76"/>
      <c r="D121" s="76"/>
      <c r="E121" s="76"/>
      <c r="F121" s="76"/>
      <c r="G121" s="382"/>
    </row>
    <row r="122" spans="1:7">
      <c r="A122" s="381"/>
      <c r="B122" s="76"/>
      <c r="C122" s="76"/>
      <c r="D122" s="76"/>
      <c r="E122" s="76"/>
      <c r="F122" s="76"/>
      <c r="G122" s="382"/>
    </row>
    <row r="123" spans="1:7">
      <c r="A123" s="381"/>
      <c r="B123" s="76" t="s">
        <v>182</v>
      </c>
      <c r="C123" s="76" t="str">
        <f>VLOOKUP(G124,'14_1'!$A$12:$G$24,7,0)</f>
        <v>SANJURJO, ALDO BENITO</v>
      </c>
      <c r="D123" s="76"/>
      <c r="E123" s="76"/>
      <c r="F123" s="76"/>
      <c r="G123" s="383" t="s">
        <v>134</v>
      </c>
    </row>
    <row r="124" spans="1:7">
      <c r="A124" s="381"/>
      <c r="B124" s="76" t="s">
        <v>91</v>
      </c>
      <c r="C124" s="76" t="str">
        <f>+'14_1'!$H$2</f>
        <v>Hijuela Solanilla Romera</v>
      </c>
      <c r="D124" s="76"/>
      <c r="E124" s="76"/>
      <c r="F124" s="76"/>
      <c r="G124" s="383">
        <v>8</v>
      </c>
    </row>
    <row r="125" spans="1:7">
      <c r="A125" s="381"/>
      <c r="B125" s="76"/>
      <c r="C125" s="76"/>
      <c r="D125" s="76"/>
      <c r="E125" s="76"/>
      <c r="F125" s="76"/>
      <c r="G125" s="382"/>
    </row>
    <row r="126" spans="1:7">
      <c r="A126" s="381"/>
      <c r="B126" s="635" t="s">
        <v>183</v>
      </c>
      <c r="C126" s="331">
        <f>VLOOKUP(G124,'14_1'!$A$12:$B$24,2,0)</f>
        <v>1243</v>
      </c>
      <c r="D126" s="76"/>
      <c r="E126" s="635" t="s">
        <v>184</v>
      </c>
      <c r="F126" s="397">
        <f>DSUM('14_1'!A$12:J$24,'14_1'!$J$12,G123:G124)</f>
        <v>0.10903562775847499</v>
      </c>
      <c r="G126" s="382"/>
    </row>
    <row r="127" spans="1:7">
      <c r="A127" s="381"/>
      <c r="B127" s="635" t="s">
        <v>185</v>
      </c>
      <c r="C127" s="374">
        <v>10</v>
      </c>
      <c r="D127" s="76"/>
      <c r="E127" s="635" t="s">
        <v>186</v>
      </c>
      <c r="F127" s="368" t="str">
        <f>IF(VLOOKUP(G124,'14_1'!$A$12:$D$24,4,0)=2,"Eventual 80%","Definitivo 100%")</f>
        <v>Eventual 80%</v>
      </c>
      <c r="G127" s="382"/>
    </row>
    <row r="128" spans="1:7">
      <c r="A128" s="381"/>
      <c r="B128" s="635" t="s">
        <v>187</v>
      </c>
      <c r="C128" s="375">
        <f>DSUM('14_1'!$A$12:$H$24,'14_1'!$H$12,G123:G124)</f>
        <v>3.8596800000000004</v>
      </c>
      <c r="D128" s="76"/>
      <c r="E128" s="635" t="s">
        <v>188</v>
      </c>
      <c r="F128" s="369" t="str">
        <f>+Hijuelas!$G$5</f>
        <v>fracción</v>
      </c>
      <c r="G128" s="384"/>
    </row>
    <row r="129" spans="1:7" ht="15.75">
      <c r="A129" s="381"/>
      <c r="B129" s="76"/>
      <c r="C129" s="635" t="s">
        <v>189</v>
      </c>
      <c r="D129" s="107">
        <f>DMIN('14_1'!A$12:K$24,'14_1'!$K$12,G123:G124)</f>
        <v>42974.309990133654</v>
      </c>
      <c r="E129" s="127" t="str">
        <f>IF(F129=1,"Domingo",IF(F129=2,"Lunes",IF(F129=3,"Martes",IF(F129=4,"Miercoles",IF(F129=5,"Jueves",IF(F129=6,"Viernes",IF(F129=7,"Sábado",0)))))))</f>
        <v>Domingo</v>
      </c>
      <c r="F129" s="128">
        <f>WEEKDAY(D129)</f>
        <v>1</v>
      </c>
      <c r="G129" s="385"/>
    </row>
    <row r="130" spans="1:7" ht="15.75">
      <c r="A130" s="381"/>
      <c r="B130" s="76"/>
      <c r="C130" s="635" t="s">
        <v>190</v>
      </c>
      <c r="D130" s="107">
        <f>DMAX('14_1'!A$12:L$24,'14_1'!$L$12,G123:G124)</f>
        <v>42974.41902576141</v>
      </c>
      <c r="E130" s="127" t="str">
        <f>IF(F130=1,"Domingo",IF(F130=2,"Lunes",IF(F130=3,"Martes",IF(F130=4,"Miercoles",IF(F130=5,"Jueves",IF(F130=6,"Viernes",IF(F130=7,"Sábado",0)))))))</f>
        <v>Domingo</v>
      </c>
      <c r="F130" s="128">
        <f>WEEKDAY(D130)</f>
        <v>1</v>
      </c>
      <c r="G130" s="385"/>
    </row>
    <row r="131" spans="1:7">
      <c r="A131" s="381"/>
      <c r="B131" s="76"/>
      <c r="C131" s="76"/>
      <c r="D131" s="76"/>
      <c r="E131" s="76"/>
      <c r="F131" s="106"/>
      <c r="G131" s="384"/>
    </row>
    <row r="132" spans="1:7">
      <c r="A132" s="405"/>
      <c r="B132" s="404" t="str">
        <f>+Mensajes!$B$7</f>
        <v>PARA CUALQUIER MODIFICACION EN EL CUADRO DE TURNO COMUNIQUESE CON SU TOMERO</v>
      </c>
      <c r="C132" s="279"/>
      <c r="D132" s="76"/>
      <c r="E132" s="76"/>
      <c r="F132" s="76"/>
      <c r="G132" s="382"/>
    </row>
    <row r="133" spans="1:7">
      <c r="A133" s="406"/>
      <c r="B133" s="404" t="str">
        <f>+Mensajes!$B$12</f>
        <v>Recuerde que con 1 (una) cuotas vigentes impagas se restringirá el servicio.</v>
      </c>
      <c r="C133" s="280"/>
      <c r="D133" s="76"/>
      <c r="E133" s="76"/>
      <c r="F133" s="76"/>
      <c r="G133" s="382"/>
    </row>
    <row r="134" spans="1:7">
      <c r="A134" s="381"/>
      <c r="B134" s="108"/>
      <c r="C134" s="76"/>
      <c r="D134" s="76"/>
      <c r="E134" s="76"/>
      <c r="F134" s="76"/>
      <c r="G134" s="382"/>
    </row>
    <row r="135" spans="1:7" ht="13.5" thickBot="1">
      <c r="A135" s="386"/>
      <c r="B135" s="387" t="str">
        <f>IF(DSUM('14_1'!$A$12:$P$88,16,G123:G124)=COUNTIF('14_1'!$A$12:$A$88,G124),"","Regularice su Deuda")</f>
        <v/>
      </c>
      <c r="C135" s="326"/>
      <c r="D135" s="326"/>
      <c r="E135" s="326"/>
      <c r="F135" s="326"/>
      <c r="G135" s="388"/>
    </row>
    <row r="136" spans="1:7" ht="13.5" thickBot="1"/>
    <row r="137" spans="1:7">
      <c r="A137" s="378"/>
      <c r="B137" s="379"/>
      <c r="C137" s="379"/>
      <c r="D137" s="379"/>
      <c r="E137" s="379"/>
      <c r="F137" s="379"/>
      <c r="G137" s="380"/>
    </row>
    <row r="138" spans="1:7">
      <c r="A138" s="381"/>
      <c r="B138" s="109" t="s">
        <v>82</v>
      </c>
      <c r="C138" s="76"/>
      <c r="D138" s="76"/>
      <c r="E138" s="76"/>
      <c r="F138" s="76"/>
      <c r="G138" s="382"/>
    </row>
    <row r="139" spans="1:7">
      <c r="A139" s="381"/>
      <c r="B139" s="76"/>
      <c r="C139" s="76"/>
      <c r="D139" s="76"/>
      <c r="E139" s="76"/>
      <c r="F139" s="76"/>
      <c r="G139" s="382"/>
    </row>
    <row r="140" spans="1:7">
      <c r="A140" s="381"/>
      <c r="B140" s="76" t="s">
        <v>182</v>
      </c>
      <c r="C140" s="76" t="str">
        <f>VLOOKUP(G141,'14_1'!$A$12:$G$24,7,0)</f>
        <v>CALDENTEY PATRICIO</v>
      </c>
      <c r="D140" s="76"/>
      <c r="E140" s="76"/>
      <c r="F140" s="76"/>
      <c r="G140" s="383" t="s">
        <v>134</v>
      </c>
    </row>
    <row r="141" spans="1:7">
      <c r="A141" s="381"/>
      <c r="B141" s="76" t="s">
        <v>91</v>
      </c>
      <c r="C141" s="76" t="str">
        <f>+'14_1'!$H$2</f>
        <v>Hijuela Solanilla Romera</v>
      </c>
      <c r="D141" s="76"/>
      <c r="E141" s="76"/>
      <c r="F141" s="76"/>
      <c r="G141" s="383">
        <v>9</v>
      </c>
    </row>
    <row r="142" spans="1:7">
      <c r="A142" s="381"/>
      <c r="B142" s="76"/>
      <c r="C142" s="76"/>
      <c r="D142" s="76"/>
      <c r="E142" s="76"/>
      <c r="F142" s="76"/>
      <c r="G142" s="382"/>
    </row>
    <row r="143" spans="1:7">
      <c r="A143" s="381"/>
      <c r="B143" s="635" t="s">
        <v>183</v>
      </c>
      <c r="C143" s="331">
        <f>VLOOKUP(G141,'14_1'!$A$12:$B$24,2,0)</f>
        <v>1243</v>
      </c>
      <c r="D143" s="76"/>
      <c r="E143" s="635" t="s">
        <v>184</v>
      </c>
      <c r="F143" s="397">
        <f>DSUM('14_1'!A$12:J$24,'14_1'!$J$12,G140:G141)</f>
        <v>0.11299513569349234</v>
      </c>
      <c r="G143" s="382"/>
    </row>
    <row r="144" spans="1:7">
      <c r="A144" s="381"/>
      <c r="B144" s="635" t="s">
        <v>185</v>
      </c>
      <c r="C144" s="374">
        <v>6</v>
      </c>
      <c r="D144" s="76"/>
      <c r="E144" s="635" t="s">
        <v>186</v>
      </c>
      <c r="F144" s="368" t="str">
        <f>IF(VLOOKUP(G141,'14_1'!$A$12:$D$24,4,0)=2,"Eventual 80%","Definitivo 100%")</f>
        <v>Eventual 80%</v>
      </c>
      <c r="G144" s="382"/>
    </row>
    <row r="145" spans="1:7">
      <c r="A145" s="381"/>
      <c r="B145" s="635" t="s">
        <v>187</v>
      </c>
      <c r="C145" s="375">
        <f>DSUM('14_1'!$A$12:$H$24,'14_1'!$H$12,G140:G141)</f>
        <v>3.9998399999999998</v>
      </c>
      <c r="D145" s="76"/>
      <c r="E145" s="635" t="s">
        <v>188</v>
      </c>
      <c r="F145" s="369" t="str">
        <f>+Hijuelas!$G$5</f>
        <v>fracción</v>
      </c>
      <c r="G145" s="384"/>
    </row>
    <row r="146" spans="1:7" ht="15.75">
      <c r="A146" s="381"/>
      <c r="B146" s="76"/>
      <c r="C146" s="635" t="s">
        <v>189</v>
      </c>
      <c r="D146" s="107">
        <f>DMIN('14_1'!A$12:K$24,'14_1'!$K$12,G140:G141)</f>
        <v>42974.196994997961</v>
      </c>
      <c r="E146" s="127" t="str">
        <f>IF(F146=1,"Domingo",IF(F146=2,"Lunes",IF(F146=3,"Martes",IF(F146=4,"Miercoles",IF(F146=5,"Jueves",IF(F146=6,"Viernes",IF(F146=7,"Sábado",0)))))))</f>
        <v>Domingo</v>
      </c>
      <c r="F146" s="128">
        <f>WEEKDAY(D146)</f>
        <v>1</v>
      </c>
      <c r="G146" s="385"/>
    </row>
    <row r="147" spans="1:7" ht="15.75">
      <c r="A147" s="381"/>
      <c r="B147" s="76"/>
      <c r="C147" s="635" t="s">
        <v>190</v>
      </c>
      <c r="D147" s="107">
        <f>DMAX('14_1'!A$12:L$24,'14_1'!$L$12,G140:G141)</f>
        <v>42974.309990133654</v>
      </c>
      <c r="E147" s="127" t="str">
        <f>IF(F147=1,"Domingo",IF(F147=2,"Lunes",IF(F147=3,"Martes",IF(F147=4,"Miercoles",IF(F147=5,"Jueves",IF(F147=6,"Viernes",IF(F147=7,"Sábado",0)))))))</f>
        <v>Domingo</v>
      </c>
      <c r="F147" s="128">
        <f>WEEKDAY(D147)</f>
        <v>1</v>
      </c>
      <c r="G147" s="385"/>
    </row>
    <row r="148" spans="1:7">
      <c r="A148" s="381"/>
      <c r="B148" s="76"/>
      <c r="C148" s="76"/>
      <c r="D148" s="76"/>
      <c r="E148" s="76"/>
      <c r="F148" s="106"/>
      <c r="G148" s="384"/>
    </row>
    <row r="149" spans="1:7">
      <c r="A149" s="405"/>
      <c r="B149" s="404" t="str">
        <f>+Mensajes!$B$7</f>
        <v>PARA CUALQUIER MODIFICACION EN EL CUADRO DE TURNO COMUNIQUESE CON SU TOMERO</v>
      </c>
      <c r="C149" s="279"/>
      <c r="D149" s="76"/>
      <c r="E149" s="76"/>
      <c r="F149" s="76"/>
      <c r="G149" s="382"/>
    </row>
    <row r="150" spans="1:7">
      <c r="A150" s="406"/>
      <c r="B150" s="404" t="str">
        <f>+Mensajes!$B$12</f>
        <v>Recuerde que con 1 (una) cuotas vigentes impagas se restringirá el servicio.</v>
      </c>
      <c r="C150" s="280"/>
      <c r="D150" s="76"/>
      <c r="E150" s="76"/>
      <c r="F150" s="76"/>
      <c r="G150" s="382"/>
    </row>
    <row r="151" spans="1:7">
      <c r="A151" s="381"/>
      <c r="B151" s="108"/>
      <c r="C151" s="76"/>
      <c r="D151" s="76"/>
      <c r="E151" s="76"/>
      <c r="F151" s="76"/>
      <c r="G151" s="382"/>
    </row>
    <row r="152" spans="1:7" ht="13.5" thickBot="1">
      <c r="A152" s="386"/>
      <c r="B152" s="387" t="str">
        <f>IF(DSUM('14_1'!$A$12:$P$88,16,G140:G141)=COUNTIF('14_1'!$A$12:$A$88,G141),"","Regularice su Deuda")</f>
        <v/>
      </c>
      <c r="C152" s="326"/>
      <c r="D152" s="326"/>
      <c r="E152" s="326"/>
      <c r="F152" s="326"/>
      <c r="G152" s="388"/>
    </row>
    <row r="153" spans="1:7" ht="13.5" thickBot="1"/>
    <row r="154" spans="1:7">
      <c r="A154" s="378"/>
      <c r="B154" s="379"/>
      <c r="C154" s="379"/>
      <c r="D154" s="379"/>
      <c r="E154" s="379"/>
      <c r="F154" s="379"/>
      <c r="G154" s="380"/>
    </row>
    <row r="155" spans="1:7">
      <c r="A155" s="381"/>
      <c r="B155" s="109" t="s">
        <v>82</v>
      </c>
      <c r="C155" s="76"/>
      <c r="D155" s="76"/>
      <c r="E155" s="76"/>
      <c r="F155" s="76"/>
      <c r="G155" s="382"/>
    </row>
    <row r="156" spans="1:7">
      <c r="A156" s="381"/>
      <c r="B156" s="76"/>
      <c r="C156" s="76"/>
      <c r="D156" s="76"/>
      <c r="E156" s="76"/>
      <c r="F156" s="76"/>
      <c r="G156" s="382"/>
    </row>
    <row r="157" spans="1:7">
      <c r="A157" s="381"/>
      <c r="B157" s="76" t="s">
        <v>182</v>
      </c>
      <c r="C157" s="76" t="str">
        <f>VLOOKUP(G158,'14_1'!$A$12:$G$24,7,0)</f>
        <v>PALOMO MARMOLEJO</v>
      </c>
      <c r="D157" s="76"/>
      <c r="E157" s="76"/>
      <c r="F157" s="76"/>
      <c r="G157" s="383" t="s">
        <v>134</v>
      </c>
    </row>
    <row r="158" spans="1:7">
      <c r="A158" s="381"/>
      <c r="B158" s="76" t="s">
        <v>91</v>
      </c>
      <c r="C158" s="76" t="str">
        <f>+'14_1'!$H$2</f>
        <v>Hijuela Solanilla Romera</v>
      </c>
      <c r="D158" s="76"/>
      <c r="E158" s="76"/>
      <c r="F158" s="76"/>
      <c r="G158" s="383">
        <v>10</v>
      </c>
    </row>
    <row r="159" spans="1:7">
      <c r="A159" s="381"/>
      <c r="B159" s="76"/>
      <c r="C159" s="76"/>
      <c r="D159" s="76"/>
      <c r="E159" s="76"/>
      <c r="F159" s="76"/>
      <c r="G159" s="382"/>
    </row>
    <row r="160" spans="1:7">
      <c r="A160" s="381"/>
      <c r="B160" s="635" t="s">
        <v>183</v>
      </c>
      <c r="C160" s="331">
        <f>VLOOKUP(G158,'14_1'!$A$12:$B$24,2,0)</f>
        <v>1243</v>
      </c>
      <c r="D160" s="76"/>
      <c r="E160" s="635" t="s">
        <v>184</v>
      </c>
      <c r="F160" s="397">
        <f>DSUM('14_1'!A$12:J$24,'14_1'!$J$12,G157:G158)</f>
        <v>0.27749551444580089</v>
      </c>
      <c r="G160" s="382"/>
    </row>
    <row r="161" spans="1:7">
      <c r="A161" s="381"/>
      <c r="B161" s="635" t="s">
        <v>185</v>
      </c>
      <c r="C161" s="374">
        <v>11</v>
      </c>
      <c r="D161" s="76"/>
      <c r="E161" s="635" t="s">
        <v>186</v>
      </c>
      <c r="F161" s="368" t="str">
        <f>IF(VLOOKUP(G158,'14_1'!$A$12:$D$24,4,0)=2,"Eventual 80%","Definitivo 100%")</f>
        <v>Eventual 80%</v>
      </c>
      <c r="G161" s="382"/>
    </row>
    <row r="162" spans="1:7">
      <c r="A162" s="381"/>
      <c r="B162" s="635" t="s">
        <v>187</v>
      </c>
      <c r="C162" s="375">
        <f>DSUM('14_1'!$A$12:$H$24,'14_1'!$H$12,G157:G158)</f>
        <v>9.8228800000000014</v>
      </c>
      <c r="D162" s="76"/>
      <c r="E162" s="635" t="s">
        <v>188</v>
      </c>
      <c r="F162" s="369" t="str">
        <f>+Hijuelas!$G$5</f>
        <v>fracción</v>
      </c>
      <c r="G162" s="384"/>
    </row>
    <row r="163" spans="1:7" ht="15.75">
      <c r="A163" s="381"/>
      <c r="B163" s="76"/>
      <c r="C163" s="635" t="s">
        <v>189</v>
      </c>
      <c r="D163" s="107">
        <f>DMIN('14_1'!A$12:K$24,'14_1'!$K$12,G157:G158)</f>
        <v>42973.877832816848</v>
      </c>
      <c r="E163" s="127" t="str">
        <f>IF(F163=1,"Domingo",IF(F163=2,"Lunes",IF(F163=3,"Martes",IF(F163=4,"Miercoles",IF(F163=5,"Jueves",IF(F163=6,"Viernes",IF(F163=7,"Sábado",0)))))))</f>
        <v>Sábado</v>
      </c>
      <c r="F163" s="128">
        <f>WEEKDAY(D163)</f>
        <v>7</v>
      </c>
      <c r="G163" s="385"/>
    </row>
    <row r="164" spans="1:7" ht="15.75">
      <c r="A164" s="381"/>
      <c r="B164" s="76"/>
      <c r="C164" s="635" t="s">
        <v>190</v>
      </c>
      <c r="D164" s="107">
        <f>DMAX('14_1'!A$12:L$24,'14_1'!$L$12,G157:G158)</f>
        <v>42974.196994997961</v>
      </c>
      <c r="E164" s="127" t="str">
        <f>IF(F164=1,"Domingo",IF(F164=2,"Lunes",IF(F164=3,"Martes",IF(F164=4,"Miercoles",IF(F164=5,"Jueves",IF(F164=6,"Viernes",IF(F164=7,"Sábado",0)))))))</f>
        <v>Domingo</v>
      </c>
      <c r="F164" s="128">
        <f>WEEKDAY(D164)</f>
        <v>1</v>
      </c>
      <c r="G164" s="385"/>
    </row>
    <row r="165" spans="1:7">
      <c r="A165" s="381"/>
      <c r="B165" s="76"/>
      <c r="C165" s="76"/>
      <c r="D165" s="76"/>
      <c r="E165" s="76"/>
      <c r="F165" s="106"/>
      <c r="G165" s="384"/>
    </row>
    <row r="166" spans="1:7">
      <c r="A166" s="405"/>
      <c r="B166" s="404" t="str">
        <f>+Mensajes!$B$7</f>
        <v>PARA CUALQUIER MODIFICACION EN EL CUADRO DE TURNO COMUNIQUESE CON SU TOMERO</v>
      </c>
      <c r="C166" s="279"/>
      <c r="D166" s="76"/>
      <c r="E166" s="76"/>
      <c r="F166" s="76"/>
      <c r="G166" s="382"/>
    </row>
    <row r="167" spans="1:7">
      <c r="A167" s="406"/>
      <c r="B167" s="404" t="str">
        <f>+Mensajes!$B$12</f>
        <v>Recuerde que con 1 (una) cuotas vigentes impagas se restringirá el servicio.</v>
      </c>
      <c r="C167" s="280"/>
      <c r="D167" s="76"/>
      <c r="E167" s="76"/>
      <c r="F167" s="76"/>
      <c r="G167" s="382"/>
    </row>
    <row r="168" spans="1:7">
      <c r="A168" s="381"/>
      <c r="B168" s="108"/>
      <c r="C168" s="76"/>
      <c r="D168" s="76"/>
      <c r="E168" s="76"/>
      <c r="F168" s="76"/>
      <c r="G168" s="382"/>
    </row>
    <row r="169" spans="1:7" ht="13.5" thickBot="1">
      <c r="A169" s="386"/>
      <c r="B169" s="387" t="str">
        <f>IF(DSUM('14_1'!$A$12:$P$88,16,G157:G158)=COUNTIF('14_1'!$A$12:$A$88,G158),"","Regularice su Deuda")</f>
        <v/>
      </c>
      <c r="C169" s="326"/>
      <c r="D169" s="326"/>
      <c r="E169" s="326"/>
      <c r="F169" s="326"/>
      <c r="G169" s="388"/>
    </row>
    <row r="170" spans="1:7" ht="13.5" thickBot="1"/>
    <row r="171" spans="1:7">
      <c r="A171" s="378"/>
      <c r="B171" s="379"/>
      <c r="C171" s="379"/>
      <c r="D171" s="379"/>
      <c r="E171" s="379"/>
      <c r="F171" s="379"/>
      <c r="G171" s="380"/>
    </row>
    <row r="172" spans="1:7">
      <c r="A172" s="381"/>
      <c r="B172" s="109" t="s">
        <v>82</v>
      </c>
      <c r="C172" s="76"/>
      <c r="D172" s="76"/>
      <c r="E172" s="76"/>
      <c r="F172" s="76"/>
      <c r="G172" s="382"/>
    </row>
    <row r="173" spans="1:7">
      <c r="A173" s="381"/>
      <c r="B173" s="76"/>
      <c r="C173" s="76"/>
      <c r="D173" s="76"/>
      <c r="E173" s="76"/>
      <c r="F173" s="76"/>
      <c r="G173" s="382"/>
    </row>
    <row r="174" spans="1:7">
      <c r="A174" s="381"/>
      <c r="B174" s="76" t="s">
        <v>182</v>
      </c>
      <c r="C174" s="76" t="str">
        <f>VLOOKUP(G175,'14_1'!$A$12:$G$24,7,0)</f>
        <v>HERAS, PABLO</v>
      </c>
      <c r="D174" s="76"/>
      <c r="E174" s="76"/>
      <c r="F174" s="76"/>
      <c r="G174" s="383" t="s">
        <v>134</v>
      </c>
    </row>
    <row r="175" spans="1:7">
      <c r="A175" s="381"/>
      <c r="B175" s="76" t="s">
        <v>91</v>
      </c>
      <c r="C175" s="76" t="str">
        <f>+'14_1'!$H$2</f>
        <v>Hijuela Solanilla Romera</v>
      </c>
      <c r="D175" s="76"/>
      <c r="E175" s="76"/>
      <c r="F175" s="76"/>
      <c r="G175" s="383">
        <v>11</v>
      </c>
    </row>
    <row r="176" spans="1:7">
      <c r="A176" s="381"/>
      <c r="B176" s="76"/>
      <c r="C176" s="76"/>
      <c r="D176" s="76"/>
      <c r="E176" s="76"/>
      <c r="F176" s="76"/>
      <c r="G176" s="382"/>
    </row>
    <row r="177" spans="1:7">
      <c r="A177" s="381"/>
      <c r="B177" s="635" t="s">
        <v>183</v>
      </c>
      <c r="C177" s="331">
        <f>VLOOKUP(G175,'14_1'!$A$12:$B$24,2,0)</f>
        <v>1243</v>
      </c>
      <c r="D177" s="76"/>
      <c r="E177" s="635" t="s">
        <v>184</v>
      </c>
      <c r="F177" s="397">
        <f>DSUM('14_1'!A$12:J$24,'14_1'!$J$12,G174:G175)</f>
        <v>0.1694994835195793</v>
      </c>
      <c r="G177" s="382"/>
    </row>
    <row r="178" spans="1:7">
      <c r="A178" s="381"/>
      <c r="B178" s="635" t="s">
        <v>185</v>
      </c>
      <c r="C178" s="374">
        <v>49</v>
      </c>
      <c r="D178" s="76"/>
      <c r="E178" s="635" t="s">
        <v>186</v>
      </c>
      <c r="F178" s="368" t="str">
        <f>IF(VLOOKUP(G175,'14_1'!$A$12:$D$24,4,0)=2,"Eventual 80%","Definitivo 100%")</f>
        <v>Eventual 80%</v>
      </c>
      <c r="G178" s="382"/>
    </row>
    <row r="179" spans="1:7">
      <c r="A179" s="381"/>
      <c r="B179" s="635" t="s">
        <v>187</v>
      </c>
      <c r="C179" s="375">
        <f>DSUM('14_1'!$A$12:$H$24,'14_1'!$H$12,G174:G175)</f>
        <v>6</v>
      </c>
      <c r="D179" s="76"/>
      <c r="E179" s="635" t="s">
        <v>188</v>
      </c>
      <c r="F179" s="369" t="str">
        <f>+Hijuelas!$G$5</f>
        <v>fracción</v>
      </c>
      <c r="G179" s="384"/>
    </row>
    <row r="180" spans="1:7" ht="15.75">
      <c r="A180" s="381"/>
      <c r="B180" s="76"/>
      <c r="C180" s="635" t="s">
        <v>189</v>
      </c>
      <c r="D180" s="107">
        <f>DMIN('14_1'!A$12:K$24,'14_1'!$K$12,G174:G175)</f>
        <v>42973.708333333328</v>
      </c>
      <c r="E180" s="127" t="str">
        <f>IF(F180=1,"Domingo",IF(F180=2,"Lunes",IF(F180=3,"Martes",IF(F180=4,"Miercoles",IF(F180=5,"Jueves",IF(F180=6,"Viernes",IF(F180=7,"Sábado",0)))))))</f>
        <v>Sábado</v>
      </c>
      <c r="F180" s="128">
        <f>WEEKDAY(D180)</f>
        <v>7</v>
      </c>
      <c r="G180" s="385"/>
    </row>
    <row r="181" spans="1:7" ht="15.75">
      <c r="A181" s="381"/>
      <c r="B181" s="76"/>
      <c r="C181" s="635" t="s">
        <v>190</v>
      </c>
      <c r="D181" s="107">
        <f>DMAX('14_1'!A$12:L$24,'14_1'!$L$12,G174:G175)</f>
        <v>42973.877832816848</v>
      </c>
      <c r="E181" s="127" t="str">
        <f>IF(F181=1,"Domingo",IF(F181=2,"Lunes",IF(F181=3,"Martes",IF(F181=4,"Miercoles",IF(F181=5,"Jueves",IF(F181=6,"Viernes",IF(F181=7,"Sábado",0)))))))</f>
        <v>Sábado</v>
      </c>
      <c r="F181" s="128">
        <f>WEEKDAY(D181)</f>
        <v>7</v>
      </c>
      <c r="G181" s="385"/>
    </row>
    <row r="182" spans="1:7">
      <c r="A182" s="381"/>
      <c r="B182" s="76"/>
      <c r="C182" s="76"/>
      <c r="D182" s="76"/>
      <c r="E182" s="76"/>
      <c r="F182" s="106"/>
      <c r="G182" s="384"/>
    </row>
    <row r="183" spans="1:7">
      <c r="A183" s="405"/>
      <c r="B183" s="404" t="str">
        <f>+Mensajes!$B$7</f>
        <v>PARA CUALQUIER MODIFICACION EN EL CUADRO DE TURNO COMUNIQUESE CON SU TOMERO</v>
      </c>
      <c r="C183" s="279"/>
      <c r="D183" s="76"/>
      <c r="E183" s="76"/>
      <c r="F183" s="76"/>
      <c r="G183" s="382"/>
    </row>
    <row r="184" spans="1:7">
      <c r="A184" s="406"/>
      <c r="B184" s="404" t="str">
        <f>+Mensajes!$B$12</f>
        <v>Recuerde que con 1 (una) cuotas vigentes impagas se restringirá el servicio.</v>
      </c>
      <c r="C184" s="280"/>
      <c r="D184" s="76"/>
      <c r="E184" s="76"/>
      <c r="F184" s="76"/>
      <c r="G184" s="382"/>
    </row>
    <row r="185" spans="1:7">
      <c r="A185" s="381"/>
      <c r="B185" s="108"/>
      <c r="C185" s="76"/>
      <c r="D185" s="76"/>
      <c r="E185" s="76"/>
      <c r="F185" s="76"/>
      <c r="G185" s="382"/>
    </row>
    <row r="186" spans="1:7" ht="13.5" thickBot="1">
      <c r="A186" s="386"/>
      <c r="B186" s="387" t="str">
        <f>IF(DSUM('14_1'!$A$12:$P$88,16,G174:G175)=COUNTIF('14_1'!$A$12:$A$88,G175),"","Regularice su Deuda")</f>
        <v/>
      </c>
      <c r="C186" s="326"/>
      <c r="D186" s="326"/>
      <c r="E186" s="326"/>
      <c r="F186" s="326"/>
      <c r="G186" s="388"/>
    </row>
  </sheetData>
  <phoneticPr fontId="0" type="noConversion"/>
  <pageMargins left="0.59055118110236227" right="0.39370078740157483" top="0.15748031496062992" bottom="0.19685039370078741" header="0" footer="0"/>
  <pageSetup paperSize="9" scale="62" orientation="portrait" horizontalDpi="300" verticalDpi="300" r:id="rId1"/>
  <headerFooter alignWithMargins="0"/>
  <colBreaks count="1" manualBreakCount="1">
    <brk id="8" max="1048575" man="1"/>
  </col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22"/>
  <dimension ref="A1:T77"/>
  <sheetViews>
    <sheetView topLeftCell="A2" zoomScale="75" zoomScaleNormal="100" workbookViewId="0" xr3:uid="{BF3E6036-5CFF-541C-9DD1-8B260238869F}">
      <selection activeCell="C8" sqref="C8"/>
    </sheetView>
  </sheetViews>
  <sheetFormatPr defaultRowHeight="12.75"/>
  <cols>
    <col min="1" max="1" width="6.140625" bestFit="1" customWidth="1"/>
    <col min="2" max="2" width="7.28515625" customWidth="1"/>
    <col min="3" max="3" width="9.85546875" customWidth="1"/>
    <col min="4" max="4" width="4.7109375" customWidth="1"/>
    <col min="5" max="6" width="15.28515625" bestFit="1" customWidth="1"/>
    <col min="7" max="7" width="28.7109375" customWidth="1"/>
    <col min="8" max="8" width="10.42578125" bestFit="1" customWidth="1"/>
    <col min="9" max="9" width="8.42578125" bestFit="1" customWidth="1"/>
    <col min="10" max="10" width="6.85546875" bestFit="1" customWidth="1"/>
    <col min="11" max="11" width="17.140625" customWidth="1"/>
    <col min="12" max="12" width="17.5703125" customWidth="1"/>
    <col min="13" max="13" width="34.28515625" customWidth="1"/>
    <col min="14" max="14" width="14.5703125" bestFit="1" customWidth="1"/>
    <col min="15" max="15" width="7.5703125" customWidth="1"/>
    <col min="16" max="16" width="6.5703125" customWidth="1"/>
    <col min="17" max="17" width="9" customWidth="1"/>
    <col min="18" max="19" width="10.140625" customWidth="1"/>
    <col min="20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0">
      <c r="A3" s="99"/>
      <c r="B3" s="99"/>
      <c r="C3" s="671" t="s">
        <v>123</v>
      </c>
      <c r="D3" s="671"/>
      <c r="E3" s="671"/>
      <c r="F3" s="671"/>
      <c r="G3" s="671"/>
      <c r="H3" s="681" t="s">
        <v>513</v>
      </c>
      <c r="I3" s="681"/>
      <c r="J3" s="681"/>
      <c r="K3" s="681"/>
      <c r="L3" s="99"/>
      <c r="M3" s="99"/>
    </row>
    <row r="4" spans="1:20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 ht="13.5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20">
      <c r="A6" s="662" t="s">
        <v>124</v>
      </c>
      <c r="B6" s="663"/>
      <c r="C6" s="659">
        <f>+Hijuelas!D24</f>
        <v>42749.548611111109</v>
      </c>
      <c r="D6" s="667"/>
      <c r="E6" s="660"/>
      <c r="F6" s="305"/>
      <c r="G6" s="306" t="s">
        <v>125</v>
      </c>
      <c r="H6" s="307">
        <f>+Hijuelas!G4</f>
        <v>3.9895833333333335</v>
      </c>
      <c r="I6" s="318"/>
      <c r="J6" s="99"/>
      <c r="K6" s="99"/>
      <c r="L6" s="99"/>
      <c r="M6" s="99"/>
    </row>
    <row r="7" spans="1:20" ht="13.5" thickBot="1">
      <c r="A7" s="664" t="s">
        <v>126</v>
      </c>
      <c r="B7" s="665"/>
      <c r="C7" s="668">
        <f>+L25</f>
        <v>42753.538194444438</v>
      </c>
      <c r="D7" s="669"/>
      <c r="E7" s="670"/>
      <c r="F7" s="305"/>
      <c r="G7" s="265" t="s">
        <v>127</v>
      </c>
      <c r="H7" s="308">
        <v>8.3333333333333329E-2</v>
      </c>
      <c r="I7" s="318"/>
      <c r="J7" s="305"/>
      <c r="K7" s="99"/>
      <c r="L7" s="99"/>
      <c r="M7" s="99"/>
    </row>
    <row r="8" spans="1:20">
      <c r="A8" s="99"/>
      <c r="B8" s="99"/>
      <c r="C8" s="99"/>
      <c r="D8" s="99"/>
      <c r="E8" s="312">
        <f>C7-C6</f>
        <v>3.9895833333284827</v>
      </c>
      <c r="F8" s="99"/>
      <c r="G8" s="265" t="s">
        <v>128</v>
      </c>
      <c r="H8" s="308">
        <v>0.125</v>
      </c>
      <c r="I8" s="318"/>
      <c r="J8" s="99"/>
      <c r="K8" s="99"/>
      <c r="L8" s="99"/>
      <c r="M8" s="99"/>
    </row>
    <row r="9" spans="1:20" ht="13.5" thickBot="1">
      <c r="A9" s="99"/>
      <c r="B9" s="99"/>
      <c r="C9" s="99"/>
      <c r="D9" s="99"/>
      <c r="E9" s="99"/>
      <c r="F9" s="312"/>
      <c r="G9" s="310" t="s">
        <v>514</v>
      </c>
      <c r="H9" s="470">
        <f>+I26</f>
        <v>0.14583333333333331</v>
      </c>
      <c r="I9" s="99"/>
      <c r="J9" s="99"/>
      <c r="K9" s="99"/>
      <c r="L9" s="99"/>
      <c r="M9" s="99"/>
    </row>
    <row r="10" spans="1:20">
      <c r="A10" s="666" t="s">
        <v>129</v>
      </c>
      <c r="B10" s="666"/>
      <c r="C10" s="312">
        <f>+H6-H7-H8-H9</f>
        <v>3.6354166666666665</v>
      </c>
      <c r="D10" s="636" t="s">
        <v>130</v>
      </c>
      <c r="E10" s="317">
        <f>+C10*60</f>
        <v>218.125</v>
      </c>
      <c r="F10" s="636" t="s">
        <v>131</v>
      </c>
      <c r="G10" s="325">
        <f>+H26</f>
        <v>66.303680000000014</v>
      </c>
      <c r="H10" s="636" t="s">
        <v>132</v>
      </c>
      <c r="I10" s="314">
        <f>+E10/G10</f>
        <v>3.2897872335291187</v>
      </c>
      <c r="J10" s="99"/>
      <c r="K10" s="99"/>
      <c r="L10" s="99"/>
      <c r="M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76"/>
      <c r="N11" s="10"/>
      <c r="O11" s="10"/>
      <c r="P11" s="13"/>
      <c r="Q11" s="13"/>
      <c r="R11" s="13"/>
      <c r="S11" s="255"/>
      <c r="T11" s="255"/>
    </row>
    <row r="12" spans="1:20" s="431" customFormat="1" ht="13.5" thickBot="1">
      <c r="A12" s="428" t="s">
        <v>134</v>
      </c>
      <c r="B12" s="429" t="s">
        <v>135</v>
      </c>
      <c r="C12" s="429" t="s">
        <v>136</v>
      </c>
      <c r="D12" s="429" t="s">
        <v>137</v>
      </c>
      <c r="E12" s="429" t="s">
        <v>138</v>
      </c>
      <c r="F12" s="429" t="s">
        <v>192</v>
      </c>
      <c r="G12" s="429" t="s">
        <v>140</v>
      </c>
      <c r="H12" s="429" t="s">
        <v>257</v>
      </c>
      <c r="I12" s="429" t="s">
        <v>142</v>
      </c>
      <c r="J12" s="429" t="s">
        <v>143</v>
      </c>
      <c r="K12" s="429" t="s">
        <v>193</v>
      </c>
      <c r="L12" s="429" t="s">
        <v>194</v>
      </c>
      <c r="M12" s="429" t="s">
        <v>146</v>
      </c>
      <c r="N12" s="429" t="s">
        <v>204</v>
      </c>
      <c r="O12" s="429" t="s">
        <v>148</v>
      </c>
      <c r="P12" s="429" t="s">
        <v>149</v>
      </c>
      <c r="Q12" s="429" t="s">
        <v>150</v>
      </c>
      <c r="R12" s="429" t="s">
        <v>151</v>
      </c>
      <c r="S12" s="429" t="s">
        <v>152</v>
      </c>
      <c r="T12" s="430" t="s">
        <v>153</v>
      </c>
    </row>
    <row r="13" spans="1:20" s="10" customFormat="1" ht="24.95" customHeight="1">
      <c r="A13" s="265">
        <v>1</v>
      </c>
      <c r="B13" s="5">
        <v>1252</v>
      </c>
      <c r="C13" s="251">
        <v>58</v>
      </c>
      <c r="D13" s="251">
        <v>2</v>
      </c>
      <c r="E13" s="252">
        <v>17.116800000000001</v>
      </c>
      <c r="F13" s="85" t="str">
        <f t="shared" ref="F13:F25" si="0">IF(P13=0,"NO",IF(P13=1,"SI","CONDICIONAL"))</f>
        <v>NO</v>
      </c>
      <c r="G13" s="336" t="s">
        <v>331</v>
      </c>
      <c r="H13" s="125">
        <f>IF(Hijuelas!$G$5="fracción",IF(F13="NO",0,IF(Hijuelas!$G$6="si",IF(D13=1,E13,E13*0.8),E13)),IF(F13="NO",0,IF(Hijuelas!$G$6="si",IF(D13=1,ROUNDUP(E13,0),ROUNDUP(E13*0.8,0)),ROUNDUP(E13,0))))</f>
        <v>0</v>
      </c>
      <c r="I13" s="182">
        <v>0</v>
      </c>
      <c r="J13" s="269">
        <f t="shared" ref="J13:J25" si="1">+$I$10*H13/60</f>
        <v>0</v>
      </c>
      <c r="K13" s="95">
        <f>+C6+H7+H8</f>
        <v>42749.756944444445</v>
      </c>
      <c r="L13" s="95">
        <f>+K13+J13</f>
        <v>42749.756944444445</v>
      </c>
      <c r="M13" s="5"/>
      <c r="N13" s="5"/>
      <c r="O13" s="5" t="str">
        <f>+CONCATENATE(B13,C13)</f>
        <v>125258</v>
      </c>
      <c r="P13" s="6">
        <f>VLOOKUP(O13,deuda!$A$1:$H$501,4,0)</f>
        <v>0</v>
      </c>
      <c r="Q13" s="5">
        <f>VLOOKUP(O13,deuda!A17:H515,5,0)</f>
        <v>119</v>
      </c>
      <c r="R13" s="5" t="str">
        <f>IF(VLOOKUP(O13,deuda!A17:H515,6,0)=0,"",VLOOKUP(O13,deuda!A17:H515,6,0))</f>
        <v/>
      </c>
      <c r="S13" s="5" t="str">
        <f>IF((VLOOKUP(O13,deuda!A17:H515,7,0))=0,"",VLOOKUP(O13,deuda!A17:H515,7,0))</f>
        <v/>
      </c>
      <c r="T13" s="26" t="str">
        <f>IF((VLOOKUP(O13,deuda!A17:H515,8,0))=0,"",VLOOKUP(O13,deuda!A17:H515,8,0))</f>
        <v/>
      </c>
    </row>
    <row r="14" spans="1:20" ht="24.95" customHeight="1" thickBot="1">
      <c r="A14" s="265">
        <v>1</v>
      </c>
      <c r="B14" s="5">
        <v>1252</v>
      </c>
      <c r="C14" s="251">
        <v>73</v>
      </c>
      <c r="D14" s="251">
        <v>2</v>
      </c>
      <c r="E14" s="252">
        <v>5.9671000000000003</v>
      </c>
      <c r="F14" s="85" t="str">
        <f t="shared" si="0"/>
        <v>NO</v>
      </c>
      <c r="G14" s="336" t="s">
        <v>332</v>
      </c>
      <c r="H14" s="125">
        <f>IF(Hijuelas!$G$5="fracción",IF(F14="NO",0,IF(Hijuelas!$G$6="si",IF(D14=1,E14,E14*0.8),E14)),IF(F14="NO",0,IF(Hijuelas!$G$6="si",IF(D14=1,ROUNDUP(E14,0),ROUNDUP(E14*0.8,0)),ROUNDUP(E14,0))))</f>
        <v>0</v>
      </c>
      <c r="I14" s="180">
        <v>0</v>
      </c>
      <c r="J14" s="269">
        <f t="shared" si="1"/>
        <v>0</v>
      </c>
      <c r="K14" s="95">
        <f>+L13</f>
        <v>42749.756944444445</v>
      </c>
      <c r="L14" s="95">
        <f>+K14+J14+I14</f>
        <v>42749.756944444445</v>
      </c>
      <c r="M14" s="27"/>
      <c r="N14" s="27"/>
      <c r="O14" s="5" t="str">
        <f t="shared" ref="O14:O25" si="2">+CONCATENATE(B14,C14)</f>
        <v>125273</v>
      </c>
      <c r="P14" s="6">
        <f>VLOOKUP(O14,deuda!$A$1:$H$501,4,0)</f>
        <v>0</v>
      </c>
      <c r="Q14" s="5">
        <f>VLOOKUP(O14,deuda!A18:H516,5,0)</f>
        <v>145</v>
      </c>
      <c r="R14" s="5" t="str">
        <f>IF(VLOOKUP(O14,deuda!A18:H516,6,0)=0,"",VLOOKUP(O14,deuda!A18:H516,6,0))</f>
        <v/>
      </c>
      <c r="S14" s="5" t="str">
        <f>IF((VLOOKUP(O14,deuda!A18:H516,7,0))=0,"",VLOOKUP(O14,deuda!A18:H516,7,0))</f>
        <v/>
      </c>
      <c r="T14" s="26" t="str">
        <f>IF((VLOOKUP(O14,deuda!A18:H516,8,0))=0,"",VLOOKUP(O14,deuda!A18:H516,8,0))</f>
        <v/>
      </c>
    </row>
    <row r="15" spans="1:20" ht="24.95" customHeight="1">
      <c r="A15" s="60">
        <v>2</v>
      </c>
      <c r="B15" s="47">
        <v>1252</v>
      </c>
      <c r="C15" s="260">
        <v>25</v>
      </c>
      <c r="D15" s="260">
        <v>2</v>
      </c>
      <c r="E15" s="85">
        <v>12.9564</v>
      </c>
      <c r="F15" s="85" t="str">
        <f t="shared" si="0"/>
        <v>NO</v>
      </c>
      <c r="G15" s="466" t="s">
        <v>515</v>
      </c>
      <c r="H15" s="125">
        <f>IF(Hijuelas!$G$5="fracción",IF(F15="NO",0,IF(Hijuelas!$G$6="si",IF(D15=1,E15,E15*0.8),E15)),IF(F15="NO",0,IF(Hijuelas!$G$6="si",IF(D15=1,ROUNDUP(E15,0),ROUNDUP(E15*0.8,0)),ROUNDUP(E15,0))))</f>
        <v>0</v>
      </c>
      <c r="I15" s="182">
        <v>0</v>
      </c>
      <c r="J15" s="269">
        <f t="shared" si="1"/>
        <v>0</v>
      </c>
      <c r="K15" s="95">
        <f t="shared" ref="K15:K25" si="3">+L14</f>
        <v>42749.756944444445</v>
      </c>
      <c r="L15" s="95">
        <f t="shared" ref="L15:L25" si="4">+K15+J15+I15</f>
        <v>42749.756944444445</v>
      </c>
      <c r="M15" s="5"/>
      <c r="N15" s="8"/>
      <c r="O15" s="5" t="str">
        <f t="shared" si="2"/>
        <v>125225</v>
      </c>
      <c r="P15" s="6">
        <f>VLOOKUP(O15,deuda!$A$1:$H$501,4,0)</f>
        <v>0</v>
      </c>
      <c r="Q15" s="5">
        <f>VLOOKUP(O15,deuda!A19:H517,5,0)</f>
        <v>4</v>
      </c>
      <c r="R15" s="5" t="str">
        <f>IF(VLOOKUP(O15,deuda!A19:H517,6,0)=0,"",VLOOKUP(O15,deuda!A19:H517,6,0))</f>
        <v/>
      </c>
      <c r="S15" s="5" t="str">
        <f>IF((VLOOKUP(O15,deuda!A19:H517,7,0))=0,"",VLOOKUP(O15,deuda!A19:H517,7,0))</f>
        <v/>
      </c>
      <c r="T15" s="26" t="str">
        <f>IF((VLOOKUP(O15,deuda!A19:H517,8,0))=0,"",VLOOKUP(O15,deuda!A19:H517,8,0))</f>
        <v/>
      </c>
    </row>
    <row r="16" spans="1:20" ht="24.95" customHeight="1">
      <c r="A16" s="5">
        <v>2</v>
      </c>
      <c r="B16" s="5">
        <v>1252</v>
      </c>
      <c r="C16" s="250">
        <v>38</v>
      </c>
      <c r="D16" s="250">
        <v>2</v>
      </c>
      <c r="E16" s="9">
        <v>7.3971999999999998</v>
      </c>
      <c r="F16" s="85" t="str">
        <f t="shared" si="0"/>
        <v>NO</v>
      </c>
      <c r="G16" s="270" t="s">
        <v>515</v>
      </c>
      <c r="H16" s="125">
        <f>IF(Hijuelas!$G$5="fracción",IF(F16="NO",0,IF(Hijuelas!$G$6="si",IF(D16=1,E16,E16*0.8),E16)),IF(F16="NO",0,IF(Hijuelas!$G$6="si",IF(D16=1,ROUNDUP(E16,0),ROUNDUP(E16*0.8,0)),ROUNDUP(E16,0))))</f>
        <v>0</v>
      </c>
      <c r="I16" s="180">
        <v>0</v>
      </c>
      <c r="J16" s="269">
        <f t="shared" si="1"/>
        <v>0</v>
      </c>
      <c r="K16" s="95">
        <f t="shared" si="3"/>
        <v>42749.756944444445</v>
      </c>
      <c r="L16" s="95">
        <f t="shared" si="4"/>
        <v>42749.756944444445</v>
      </c>
      <c r="M16" s="5"/>
      <c r="N16" s="8"/>
      <c r="O16" s="5" t="str">
        <f t="shared" si="2"/>
        <v>125238</v>
      </c>
      <c r="P16" s="6">
        <f>VLOOKUP(O16,deuda!$A$1:$H$501,4,0)</f>
        <v>0</v>
      </c>
      <c r="Q16" s="5">
        <f>VLOOKUP(O16,deuda!A20:H518,5,0)</f>
        <v>4</v>
      </c>
      <c r="R16" s="5" t="str">
        <f>IF(VLOOKUP(O16,deuda!A20:H518,6,0)=0,"",VLOOKUP(O16,deuda!A20:H518,6,0))</f>
        <v/>
      </c>
      <c r="S16" s="5" t="str">
        <f>IF((VLOOKUP(O16,deuda!A20:H518,7,0))=0,"",VLOOKUP(O16,deuda!A20:H518,7,0))</f>
        <v/>
      </c>
      <c r="T16" s="26" t="str">
        <f>IF((VLOOKUP(O16,deuda!A20:H518,8,0))=0,"",VLOOKUP(O16,deuda!A20:H518,8,0))</f>
        <v/>
      </c>
    </row>
    <row r="17" spans="1:20" s="447" customFormat="1" ht="24.95" customHeight="1">
      <c r="A17" s="57">
        <v>2</v>
      </c>
      <c r="B17" s="5">
        <v>1252</v>
      </c>
      <c r="C17" s="250">
        <v>47</v>
      </c>
      <c r="D17" s="250">
        <v>2</v>
      </c>
      <c r="E17" s="9">
        <v>8.0847999999999995</v>
      </c>
      <c r="F17" s="85" t="str">
        <f t="shared" si="0"/>
        <v>NO</v>
      </c>
      <c r="G17" s="270" t="s">
        <v>515</v>
      </c>
      <c r="H17" s="125">
        <f>IF(Hijuelas!$G$5="fracción",IF(F17="NO",0,IF(Hijuelas!$G$6="si",IF(D17=1,E17,E17*0.8),E17)),IF(F17="NO",0,IF(Hijuelas!$G$6="si",IF(D17=1,ROUNDUP(E17,0),ROUNDUP(E17*0.8,0)),ROUNDUP(E17,0))))</f>
        <v>0</v>
      </c>
      <c r="I17" s="180">
        <v>0</v>
      </c>
      <c r="J17" s="269">
        <f t="shared" si="1"/>
        <v>0</v>
      </c>
      <c r="K17" s="95">
        <f t="shared" si="3"/>
        <v>42749.756944444445</v>
      </c>
      <c r="L17" s="95">
        <f t="shared" si="4"/>
        <v>42749.756944444445</v>
      </c>
      <c r="M17" s="5"/>
      <c r="N17" s="8"/>
      <c r="O17" s="5" t="str">
        <f t="shared" si="2"/>
        <v>125247</v>
      </c>
      <c r="P17" s="6">
        <f>VLOOKUP(O17,deuda!$A$1:$H$501,4,0)</f>
        <v>0</v>
      </c>
      <c r="Q17" s="5">
        <f>VLOOKUP(O17,deuda!A21:H519,5,0)</f>
        <v>4</v>
      </c>
      <c r="R17" s="5" t="str">
        <f>IF(VLOOKUP(O17,deuda!A21:H519,6,0)=0,"",VLOOKUP(O17,deuda!A21:H519,6,0))</f>
        <v/>
      </c>
      <c r="S17" s="5" t="str">
        <f>IF((VLOOKUP(O17,deuda!A21:H519,7,0))=0,"",VLOOKUP(O17,deuda!A21:H519,7,0))</f>
        <v/>
      </c>
      <c r="T17" s="26" t="str">
        <f>IF((VLOOKUP(O17,deuda!A21:H519,8,0))=0,"",VLOOKUP(O17,deuda!A21:H519,8,0))</f>
        <v/>
      </c>
    </row>
    <row r="18" spans="1:20" ht="24.95" customHeight="1">
      <c r="A18" s="57">
        <v>2</v>
      </c>
      <c r="B18" s="5">
        <v>1252</v>
      </c>
      <c r="C18" s="251">
        <v>21</v>
      </c>
      <c r="D18" s="251">
        <v>2</v>
      </c>
      <c r="E18" s="252">
        <v>28</v>
      </c>
      <c r="F18" s="85" t="str">
        <f t="shared" si="0"/>
        <v>SI</v>
      </c>
      <c r="G18" s="271" t="s">
        <v>516</v>
      </c>
      <c r="H18" s="125">
        <f>IF(Hijuelas!$G$5="fracción",IF(F18="NO",0,IF(Hijuelas!$G$6="si",IF(D18=1,E18,E18*0.8),E18)),IF(F18="NO",0,IF(Hijuelas!$G$6="si",IF(D18=1,ROUNDUP(E18,0),ROUNDUP(E18*0.8,0)),ROUNDUP(E18,0))))</f>
        <v>22.400000000000002</v>
      </c>
      <c r="I18" s="180">
        <v>0</v>
      </c>
      <c r="J18" s="269">
        <f t="shared" si="1"/>
        <v>1.228187233850871</v>
      </c>
      <c r="K18" s="95">
        <f t="shared" si="3"/>
        <v>42749.756944444445</v>
      </c>
      <c r="L18" s="95">
        <f t="shared" si="4"/>
        <v>42750.985131678295</v>
      </c>
      <c r="M18" s="5"/>
      <c r="N18" s="8"/>
      <c r="O18" s="5" t="str">
        <f t="shared" si="2"/>
        <v>125221</v>
      </c>
      <c r="P18" s="6">
        <f>VLOOKUP(O18,deuda!$A$1:$H$501,4,0)</f>
        <v>1</v>
      </c>
      <c r="Q18" s="5">
        <f>VLOOKUP(O18,deuda!A22:H520,5,0)</f>
        <v>0</v>
      </c>
      <c r="R18" s="5" t="str">
        <f>IF(VLOOKUP(O18,deuda!A22:H520,6,0)=0,"",VLOOKUP(O18,deuda!A22:H520,6,0))</f>
        <v/>
      </c>
      <c r="S18" s="5" t="str">
        <f>IF((VLOOKUP(O18,deuda!A22:H520,7,0))=0,"",VLOOKUP(O18,deuda!A22:H520,7,0))</f>
        <v/>
      </c>
      <c r="T18" s="26" t="str">
        <f>IF((VLOOKUP(O18,deuda!A22:H520,8,0))=0,"",VLOOKUP(O18,deuda!A22:H520,8,0))</f>
        <v/>
      </c>
    </row>
    <row r="19" spans="1:20" ht="24.95" customHeight="1">
      <c r="A19" s="5">
        <v>3</v>
      </c>
      <c r="B19" s="5">
        <v>1252</v>
      </c>
      <c r="C19" s="250">
        <v>43</v>
      </c>
      <c r="D19" s="250">
        <v>2</v>
      </c>
      <c r="E19" s="9">
        <v>5.8795999999999999</v>
      </c>
      <c r="F19" s="85" t="str">
        <f t="shared" si="0"/>
        <v>SI</v>
      </c>
      <c r="G19" s="270" t="s">
        <v>517</v>
      </c>
      <c r="H19" s="125">
        <f>IF(Hijuelas!$G$5="fracción",IF(F19="NO",0,IF(Hijuelas!$G$6="si",IF(D19=1,E19,E19*0.8),E19)),IF(F19="NO",0,IF(Hijuelas!$G$6="si",IF(D19=1,ROUNDUP(E19,0),ROUNDUP(E19*0.8,0)),ROUNDUP(E19,0))))</f>
        <v>4.7036800000000003</v>
      </c>
      <c r="I19" s="180">
        <v>0</v>
      </c>
      <c r="J19" s="269">
        <f t="shared" si="1"/>
        <v>0.2579017735767708</v>
      </c>
      <c r="K19" s="95">
        <f t="shared" si="3"/>
        <v>42750.985131678295</v>
      </c>
      <c r="L19" s="95">
        <f t="shared" si="4"/>
        <v>42751.243033451872</v>
      </c>
      <c r="M19" s="5"/>
      <c r="N19" s="8"/>
      <c r="O19" s="5" t="str">
        <f t="shared" si="2"/>
        <v>125243</v>
      </c>
      <c r="P19" s="6">
        <f>VLOOKUP(O19,deuda!$A$1:$H$501,4,0)</f>
        <v>1</v>
      </c>
      <c r="Q19" s="5">
        <f>VLOOKUP(O19,deuda!A23:H521,5,0)</f>
        <v>1</v>
      </c>
      <c r="R19" s="5" t="str">
        <f>IF(VLOOKUP(O19,deuda!A23:H521,6,0)=0,"",VLOOKUP(O19,deuda!A23:H521,6,0))</f>
        <v/>
      </c>
      <c r="S19" s="5" t="str">
        <f>IF((VLOOKUP(O19,deuda!A23:H521,7,0))=0,"",VLOOKUP(O19,deuda!A23:H521,7,0))</f>
        <v/>
      </c>
      <c r="T19" s="26" t="str">
        <f>IF((VLOOKUP(O19,deuda!A23:H521,8,0))=0,"",VLOOKUP(O19,deuda!A23:H521,8,0))</f>
        <v/>
      </c>
    </row>
    <row r="20" spans="1:20" ht="24.95" customHeight="1">
      <c r="A20" s="57">
        <v>4</v>
      </c>
      <c r="B20" s="5">
        <v>1252</v>
      </c>
      <c r="C20" s="250">
        <v>23</v>
      </c>
      <c r="D20" s="250">
        <v>2</v>
      </c>
      <c r="E20" s="9">
        <v>7.5</v>
      </c>
      <c r="F20" s="85" t="str">
        <f t="shared" si="0"/>
        <v>SI</v>
      </c>
      <c r="G20" s="270" t="s">
        <v>518</v>
      </c>
      <c r="H20" s="125">
        <f>IF(Hijuelas!$G$5="fracción",IF(F20="NO",0,IF(Hijuelas!$G$6="si",IF(D20=1,E20,E20*0.8),E20)),IF(F20="NO",0,IF(Hijuelas!$G$6="si",IF(D20=1,ROUNDUP(E20,0),ROUNDUP(E20*0.8,0)),ROUNDUP(E20,0))))</f>
        <v>6</v>
      </c>
      <c r="I20" s="180">
        <v>0</v>
      </c>
      <c r="J20" s="269">
        <f t="shared" si="1"/>
        <v>0.32897872335291189</v>
      </c>
      <c r="K20" s="95">
        <f t="shared" si="3"/>
        <v>42751.243033451872</v>
      </c>
      <c r="L20" s="95">
        <f t="shared" si="4"/>
        <v>42751.572012175224</v>
      </c>
      <c r="M20" s="5"/>
      <c r="N20" s="8"/>
      <c r="O20" s="5" t="str">
        <f t="shared" si="2"/>
        <v>125223</v>
      </c>
      <c r="P20" s="6">
        <f>VLOOKUP(O20,deuda!$A$1:$H$501,4,0)</f>
        <v>1</v>
      </c>
      <c r="Q20" s="5">
        <f>VLOOKUP(O20,deuda!A24:H522,5,0)</f>
        <v>0</v>
      </c>
      <c r="R20" s="5" t="str">
        <f>IF(VLOOKUP(O20,deuda!A24:H522,6,0)=0,"",VLOOKUP(O20,deuda!A24:H522,6,0))</f>
        <v/>
      </c>
      <c r="S20" s="5" t="str">
        <f>IF((VLOOKUP(O20,deuda!A24:H522,7,0))=0,"",VLOOKUP(O20,deuda!A24:H522,7,0))</f>
        <v/>
      </c>
      <c r="T20" s="26" t="str">
        <f>IF((VLOOKUP(O20,deuda!A24:H522,8,0))=0,"",VLOOKUP(O20,deuda!A24:H522,8,0))</f>
        <v/>
      </c>
    </row>
    <row r="21" spans="1:20" ht="24.95" customHeight="1">
      <c r="A21" s="57">
        <v>4</v>
      </c>
      <c r="B21" s="5">
        <v>1252</v>
      </c>
      <c r="C21" s="250">
        <v>23</v>
      </c>
      <c r="D21" s="250">
        <v>2</v>
      </c>
      <c r="E21" s="9">
        <v>12</v>
      </c>
      <c r="F21" s="85" t="s">
        <v>90</v>
      </c>
      <c r="G21" s="270" t="s">
        <v>518</v>
      </c>
      <c r="H21" s="125">
        <f>IF(Hijuelas!$G$5="fracción",IF(F21="NO",0,IF(Hijuelas!$G$6="si",IF(D21=1,E21,E21*0.8),E21)),IF(F21="NO",0,IF(Hijuelas!$G$6="si",IF(D21=1,ROUNDUP(E21,0),ROUNDUP(E21*0.8,0)),ROUNDUP(E21,0))))</f>
        <v>9.6000000000000014</v>
      </c>
      <c r="I21" s="180">
        <v>0</v>
      </c>
      <c r="J21" s="269">
        <f t="shared" si="1"/>
        <v>0.52636595736465908</v>
      </c>
      <c r="K21" s="95">
        <f t="shared" si="3"/>
        <v>42751.572012175224</v>
      </c>
      <c r="L21" s="95">
        <f t="shared" si="4"/>
        <v>42752.098378132585</v>
      </c>
      <c r="M21" s="5"/>
      <c r="N21" s="8"/>
      <c r="O21" s="5" t="str">
        <f t="shared" si="2"/>
        <v>125223</v>
      </c>
      <c r="P21" s="6">
        <f>VLOOKUP(O21,deuda!$A$1:$H$501,4,0)</f>
        <v>1</v>
      </c>
      <c r="Q21" s="5">
        <f>VLOOKUP(O21,deuda!A25:H523,5,0)</f>
        <v>0</v>
      </c>
      <c r="R21" s="5" t="str">
        <f>IF(VLOOKUP(O21,deuda!A25:H523,6,0)=0,"",VLOOKUP(O21,deuda!A25:H523,6,0))</f>
        <v/>
      </c>
      <c r="S21" s="5" t="str">
        <f>IF((VLOOKUP(O21,deuda!A25:H523,7,0))=0,"",VLOOKUP(O21,deuda!A25:H523,7,0))</f>
        <v/>
      </c>
      <c r="T21" s="26" t="str">
        <f>IF((VLOOKUP(O21,deuda!A25:H523,8,0))=0,"",VLOOKUP(O21,deuda!A25:H523,8,0))</f>
        <v/>
      </c>
    </row>
    <row r="22" spans="1:20" ht="24.95" customHeight="1">
      <c r="A22" s="5">
        <v>5</v>
      </c>
      <c r="B22" s="5">
        <v>1252</v>
      </c>
      <c r="C22" s="250">
        <v>24</v>
      </c>
      <c r="D22" s="250">
        <v>2</v>
      </c>
      <c r="E22" s="9">
        <v>4.5</v>
      </c>
      <c r="F22" s="85" t="str">
        <f t="shared" si="0"/>
        <v>SI</v>
      </c>
      <c r="G22" s="270" t="s">
        <v>519</v>
      </c>
      <c r="H22" s="125">
        <f>IF(Hijuelas!$G$5="fracción",IF(F22="NO",0,IF(Hijuelas!$G$6="si",IF(D22=1,E22,E22*0.8),E22)),IF(F22="NO",0,IF(Hijuelas!$G$6="si",IF(D22=1,ROUNDUP(E22,0),ROUNDUP(E22*0.8,0)),ROUNDUP(E22,0))))</f>
        <v>3.6</v>
      </c>
      <c r="I22" s="180">
        <v>2.0833333333333332E-2</v>
      </c>
      <c r="J22" s="269">
        <f t="shared" si="1"/>
        <v>0.19738723401174713</v>
      </c>
      <c r="K22" s="95">
        <f t="shared" si="3"/>
        <v>42752.098378132585</v>
      </c>
      <c r="L22" s="95">
        <f t="shared" si="4"/>
        <v>42752.31659869993</v>
      </c>
      <c r="M22" s="5"/>
      <c r="N22" s="8"/>
      <c r="O22" s="5" t="str">
        <f t="shared" si="2"/>
        <v>125224</v>
      </c>
      <c r="P22" s="6">
        <f>VLOOKUP(O22,deuda!$A$1:$H$501,4,0)</f>
        <v>1</v>
      </c>
      <c r="Q22" s="5">
        <f>VLOOKUP(O22,deuda!A26:H524,5,0)</f>
        <v>0</v>
      </c>
      <c r="R22" s="5" t="str">
        <f>IF(VLOOKUP(O22,deuda!A26:H524,6,0)=0,"",VLOOKUP(O22,deuda!A26:H524,6,0))</f>
        <v/>
      </c>
      <c r="S22" s="5" t="str">
        <f>IF((VLOOKUP(O22,deuda!A26:H524,7,0))=0,"",VLOOKUP(O22,deuda!A26:H524,7,0))</f>
        <v/>
      </c>
      <c r="T22" s="26" t="str">
        <f>IF((VLOOKUP(O22,deuda!A26:H524,8,0))=0,"",VLOOKUP(O22,deuda!A26:H524,8,0))</f>
        <v/>
      </c>
    </row>
    <row r="23" spans="1:20" ht="24.95" customHeight="1">
      <c r="A23" s="5">
        <v>6</v>
      </c>
      <c r="B23" s="5">
        <v>1252</v>
      </c>
      <c r="C23" s="250">
        <v>27</v>
      </c>
      <c r="D23" s="250">
        <v>2</v>
      </c>
      <c r="E23" s="9">
        <v>24.553699999999999</v>
      </c>
      <c r="F23" s="85" t="str">
        <f t="shared" si="0"/>
        <v>NO</v>
      </c>
      <c r="G23" s="270" t="s">
        <v>520</v>
      </c>
      <c r="H23" s="125">
        <f>IF(Hijuelas!$G$5="fracción",IF(F23="NO",0,IF(Hijuelas!$G$6="si",IF(D23=1,E23,E23*0.8),E23)),IF(F23="NO",0,IF(Hijuelas!$G$6="si",IF(D23=1,ROUNDUP(E23,0),ROUNDUP(E23*0.8,0)),ROUNDUP(E23,0))))</f>
        <v>0</v>
      </c>
      <c r="I23" s="180">
        <v>0</v>
      </c>
      <c r="J23" s="269">
        <f t="shared" si="1"/>
        <v>0</v>
      </c>
      <c r="K23" s="95">
        <f t="shared" si="3"/>
        <v>42752.31659869993</v>
      </c>
      <c r="L23" s="95">
        <f t="shared" si="4"/>
        <v>42752.31659869993</v>
      </c>
      <c r="M23" s="5"/>
      <c r="N23" s="8"/>
      <c r="O23" s="5" t="str">
        <f t="shared" si="2"/>
        <v>125227</v>
      </c>
      <c r="P23" s="6">
        <f>VLOOKUP(O23,deuda!$A$1:$H$501,4,0)</f>
        <v>0</v>
      </c>
      <c r="Q23" s="5">
        <f>VLOOKUP(O23,deuda!A27:H525,5,0)</f>
        <v>4</v>
      </c>
      <c r="R23" s="5" t="str">
        <f>IF(VLOOKUP(O23,deuda!A27:H525,6,0)=0,"",VLOOKUP(O23,deuda!A27:H525,6,0))</f>
        <v/>
      </c>
      <c r="S23" s="5" t="str">
        <f>IF((VLOOKUP(O23,deuda!A27:H525,7,0))=0,"",VLOOKUP(O23,deuda!A27:H525,7,0))</f>
        <v/>
      </c>
      <c r="T23" s="26" t="str">
        <f>IF((VLOOKUP(O23,deuda!A27:H525,8,0))=0,"",VLOOKUP(O23,deuda!A27:H525,8,0))</f>
        <v/>
      </c>
    </row>
    <row r="24" spans="1:20" ht="24.95" customHeight="1">
      <c r="A24" s="83">
        <v>6</v>
      </c>
      <c r="B24" s="5">
        <v>1252</v>
      </c>
      <c r="C24" s="250">
        <v>42</v>
      </c>
      <c r="D24" s="250">
        <v>2</v>
      </c>
      <c r="E24" s="9">
        <v>25</v>
      </c>
      <c r="F24" s="85" t="str">
        <f t="shared" si="0"/>
        <v>NO</v>
      </c>
      <c r="G24" s="270" t="s">
        <v>520</v>
      </c>
      <c r="H24" s="125">
        <f>IF(Hijuelas!$G$5="fracción",IF(F24="NO",0,IF(Hijuelas!$G$6="si",IF(D24=1,E24,E24*0.8),E24)),IF(F24="NO",0,IF(Hijuelas!$G$6="si",IF(D24=1,ROUNDUP(E24,0),ROUNDUP(E24*0.8,0)),ROUNDUP(E24,0))))</f>
        <v>0</v>
      </c>
      <c r="I24" s="180">
        <v>4.1666666666666664E-2</v>
      </c>
      <c r="J24" s="269">
        <f t="shared" si="1"/>
        <v>0</v>
      </c>
      <c r="K24" s="95">
        <f t="shared" si="3"/>
        <v>42752.31659869993</v>
      </c>
      <c r="L24" s="95">
        <f t="shared" si="4"/>
        <v>42752.358265366594</v>
      </c>
      <c r="M24" s="5"/>
      <c r="N24" s="8"/>
      <c r="O24" s="5" t="str">
        <f t="shared" si="2"/>
        <v>125242</v>
      </c>
      <c r="P24" s="6">
        <f>VLOOKUP(O24,deuda!$A$1:$H$501,4,0)</f>
        <v>0</v>
      </c>
      <c r="Q24" s="5">
        <f>VLOOKUP(O24,deuda!A28:H526,5,0)</f>
        <v>4</v>
      </c>
      <c r="R24" s="5" t="str">
        <f>IF(VLOOKUP(O24,deuda!A28:H526,6,0)=0,"",VLOOKUP(O24,deuda!A28:H526,6,0))</f>
        <v/>
      </c>
      <c r="S24" s="5" t="str">
        <f>IF((VLOOKUP(O24,deuda!A28:H526,7,0))=0,"",VLOOKUP(O24,deuda!A28:H526,7,0))</f>
        <v/>
      </c>
      <c r="T24" s="26" t="str">
        <f>IF((VLOOKUP(O24,deuda!A28:H526,8,0))=0,"",VLOOKUP(O24,deuda!A28:H526,8,0))</f>
        <v/>
      </c>
    </row>
    <row r="25" spans="1:20" ht="24.95" customHeight="1" thickBot="1">
      <c r="A25" s="5">
        <v>7</v>
      </c>
      <c r="B25" s="8">
        <v>1252</v>
      </c>
      <c r="C25" s="250">
        <v>20</v>
      </c>
      <c r="D25" s="250">
        <v>2</v>
      </c>
      <c r="E25" s="9">
        <v>25</v>
      </c>
      <c r="F25" s="85" t="str">
        <f t="shared" si="0"/>
        <v>SI</v>
      </c>
      <c r="G25" s="270" t="s">
        <v>521</v>
      </c>
      <c r="H25" s="125">
        <f>IF(Hijuelas!$G$5="fracción",IF(F25="NO",0,IF(Hijuelas!$G$6="si",IF(D25=1,E25,E25*0.8),E25)),IF(F25="NO",0,IF(Hijuelas!$G$6="si",IF(D25=1,ROUNDUP(E25,0),ROUNDUP(E25*0.8,0)),ROUNDUP(E25,0))))</f>
        <v>20</v>
      </c>
      <c r="I25" s="180">
        <v>8.3333333333333329E-2</v>
      </c>
      <c r="J25" s="269">
        <f t="shared" si="1"/>
        <v>1.0965957445097063</v>
      </c>
      <c r="K25" s="95">
        <f t="shared" si="3"/>
        <v>42752.358265366594</v>
      </c>
      <c r="L25" s="95">
        <f t="shared" si="4"/>
        <v>42753.538194444438</v>
      </c>
      <c r="M25" s="5"/>
      <c r="N25" s="36"/>
      <c r="O25" s="5" t="str">
        <f t="shared" si="2"/>
        <v>125220</v>
      </c>
      <c r="P25" s="6">
        <f>VLOOKUP(O25,deuda!$A$1:$H$501,4,0)</f>
        <v>1</v>
      </c>
      <c r="Q25" s="5">
        <f>VLOOKUP(O25,deuda!A29:H527,5,0)</f>
        <v>0</v>
      </c>
      <c r="R25" s="5" t="str">
        <f>IF(VLOOKUP(O25,deuda!A29:H527,6,0)=0,"",VLOOKUP(O25,deuda!A29:H527,6,0))</f>
        <v/>
      </c>
      <c r="S25" s="5" t="str">
        <f>IF((VLOOKUP(O25,deuda!A29:H527,7,0))=0,"",VLOOKUP(O25,deuda!A29:H527,7,0))</f>
        <v/>
      </c>
      <c r="T25" s="26" t="str">
        <f>IF((VLOOKUP(O25,deuda!A29:H527,8,0))=0,"",VLOOKUP(O25,deuda!A29:H527,8,0))</f>
        <v/>
      </c>
    </row>
    <row r="26" spans="1:20" ht="24.95" customHeight="1">
      <c r="A26" s="10"/>
      <c r="B26" s="10"/>
      <c r="C26" s="451"/>
      <c r="D26" s="468"/>
      <c r="E26" s="9">
        <f>SUM(E13:E25)</f>
        <v>183.9556</v>
      </c>
      <c r="F26" s="17"/>
      <c r="G26" s="467"/>
      <c r="H26" s="16">
        <f>SUM(H13:H25)</f>
        <v>66.303680000000014</v>
      </c>
      <c r="I26" s="180">
        <f>SUM(I13:I25)</f>
        <v>0.14583333333333331</v>
      </c>
      <c r="J26" s="269">
        <f>SUM(J13:J25)</f>
        <v>3.635416666666667</v>
      </c>
      <c r="K26" s="469"/>
      <c r="L26" s="273"/>
      <c r="M26" s="10"/>
      <c r="N26" s="342"/>
      <c r="O26" s="83"/>
      <c r="P26" s="139"/>
      <c r="Q26" s="139"/>
      <c r="R26" s="139"/>
      <c r="S26" s="414"/>
      <c r="T26" s="415"/>
    </row>
    <row r="27" spans="1:20" s="10" customFormat="1" ht="24.95" customHeight="1">
      <c r="A27" s="76"/>
      <c r="C27" s="454"/>
      <c r="D27" s="454"/>
      <c r="E27" s="130"/>
      <c r="F27" s="17"/>
      <c r="G27" s="455"/>
      <c r="H27" s="19"/>
      <c r="I27" s="453"/>
      <c r="J27" s="81"/>
      <c r="K27" s="273"/>
      <c r="L27" s="273"/>
      <c r="P27" s="13"/>
      <c r="Q27" s="13"/>
      <c r="R27" s="13"/>
      <c r="S27" s="255"/>
      <c r="T27" s="255"/>
    </row>
    <row r="28" spans="1:20" s="10" customFormat="1" ht="24.95" customHeight="1">
      <c r="C28" s="451"/>
      <c r="D28" s="451"/>
      <c r="E28" s="17"/>
      <c r="F28" s="17"/>
      <c r="G28" s="452"/>
      <c r="H28" s="19"/>
      <c r="I28" s="453"/>
      <c r="J28" s="81"/>
      <c r="K28" s="273"/>
      <c r="L28" s="273"/>
      <c r="P28" s="13"/>
      <c r="Q28" s="13"/>
      <c r="R28" s="13"/>
      <c r="S28" s="255"/>
      <c r="T28" s="255"/>
    </row>
    <row r="29" spans="1:20" s="10" customFormat="1">
      <c r="C29" s="451"/>
      <c r="D29" s="451"/>
      <c r="E29" s="17"/>
      <c r="F29" s="17"/>
      <c r="G29" s="452"/>
      <c r="H29" s="19"/>
      <c r="I29" s="453"/>
      <c r="J29" s="81"/>
      <c r="P29" s="13"/>
      <c r="Q29" s="13"/>
      <c r="R29" s="13"/>
      <c r="S29" s="255"/>
      <c r="T29" s="255"/>
    </row>
    <row r="30" spans="1:20" s="10" customFormat="1">
      <c r="C30" s="451"/>
      <c r="D30" s="451"/>
      <c r="E30" s="17"/>
      <c r="F30" s="17"/>
      <c r="G30" s="452"/>
      <c r="H30" s="19"/>
      <c r="I30" s="453"/>
      <c r="J30" s="81"/>
      <c r="P30" s="13"/>
      <c r="Q30" s="13"/>
      <c r="R30" s="13"/>
      <c r="S30" s="255"/>
      <c r="T30" s="255"/>
    </row>
    <row r="31" spans="1:20" s="10" customFormat="1">
      <c r="C31" s="451"/>
      <c r="D31" s="451"/>
      <c r="E31" s="17"/>
      <c r="F31" s="17"/>
      <c r="G31" s="452"/>
      <c r="H31" s="19"/>
      <c r="I31" s="453"/>
      <c r="J31" s="81"/>
      <c r="P31" s="13"/>
      <c r="Q31" s="13"/>
      <c r="R31" s="13"/>
      <c r="S31" s="255"/>
      <c r="T31" s="255"/>
    </row>
    <row r="32" spans="1:20" s="10" customFormat="1">
      <c r="C32" s="451"/>
      <c r="D32" s="451"/>
      <c r="E32" s="17"/>
      <c r="F32" s="17"/>
      <c r="G32" s="452"/>
      <c r="H32" s="19"/>
      <c r="I32" s="453"/>
      <c r="J32" s="81"/>
      <c r="P32" s="13"/>
      <c r="Q32" s="13"/>
      <c r="R32" s="13"/>
      <c r="S32" s="255"/>
      <c r="T32" s="255"/>
    </row>
    <row r="33" spans="1:20" s="10" customFormat="1">
      <c r="C33" s="451"/>
      <c r="D33" s="451"/>
      <c r="E33" s="17"/>
      <c r="F33" s="17"/>
      <c r="G33" s="452"/>
      <c r="H33" s="19"/>
      <c r="I33" s="453"/>
      <c r="J33" s="81"/>
      <c r="P33" s="13"/>
      <c r="Q33" s="13"/>
      <c r="R33" s="13"/>
      <c r="S33" s="255"/>
      <c r="T33" s="255"/>
    </row>
    <row r="34" spans="1:20" s="10" customFormat="1">
      <c r="C34" s="451"/>
      <c r="D34" s="451"/>
      <c r="E34" s="17"/>
      <c r="F34" s="17"/>
      <c r="G34" s="452"/>
      <c r="H34" s="19"/>
      <c r="I34" s="453"/>
      <c r="J34" s="81"/>
      <c r="P34" s="13"/>
      <c r="Q34" s="13"/>
      <c r="R34" s="13"/>
      <c r="S34" s="255"/>
      <c r="T34" s="255"/>
    </row>
    <row r="35" spans="1:20" s="10" customFormat="1">
      <c r="C35" s="451"/>
      <c r="D35" s="451"/>
      <c r="E35" s="17"/>
      <c r="F35" s="17"/>
      <c r="G35" s="452"/>
      <c r="H35" s="19"/>
      <c r="I35" s="453"/>
      <c r="J35" s="81"/>
      <c r="P35" s="13"/>
      <c r="Q35" s="13"/>
      <c r="R35" s="13"/>
      <c r="S35" s="255"/>
      <c r="T35" s="255"/>
    </row>
    <row r="36" spans="1:20" s="10" customFormat="1">
      <c r="C36" s="451"/>
      <c r="D36" s="451"/>
      <c r="E36" s="17"/>
      <c r="F36" s="17"/>
      <c r="G36" s="452"/>
      <c r="H36" s="19"/>
      <c r="I36" s="453"/>
      <c r="J36" s="81"/>
      <c r="P36" s="13"/>
      <c r="Q36" s="13"/>
      <c r="R36" s="13"/>
      <c r="S36" s="255"/>
      <c r="T36" s="255"/>
    </row>
    <row r="37" spans="1:20">
      <c r="A37" s="76"/>
      <c r="B37" s="10"/>
      <c r="C37" s="454"/>
      <c r="D37" s="454"/>
      <c r="E37" s="130"/>
      <c r="F37" s="17"/>
      <c r="G37" s="455"/>
      <c r="H37" s="19"/>
      <c r="I37" s="453"/>
      <c r="J37" s="81"/>
      <c r="O37" s="10"/>
      <c r="P37" s="13"/>
      <c r="Q37" s="13"/>
      <c r="R37" s="13"/>
      <c r="S37" s="255"/>
      <c r="T37" s="255"/>
    </row>
    <row r="38" spans="1:20">
      <c r="A38" s="76"/>
      <c r="B38" s="10"/>
      <c r="C38" s="454"/>
      <c r="D38" s="454"/>
      <c r="E38" s="130"/>
      <c r="F38" s="17"/>
      <c r="G38" s="455"/>
      <c r="H38" s="19"/>
      <c r="I38" s="453"/>
      <c r="J38" s="81"/>
      <c r="O38" s="10"/>
      <c r="P38" s="13"/>
      <c r="Q38" s="13"/>
      <c r="R38" s="13"/>
      <c r="S38" s="255"/>
      <c r="T38" s="255"/>
    </row>
    <row r="39" spans="1:20">
      <c r="A39" s="76"/>
      <c r="B39" s="10"/>
      <c r="C39" s="454"/>
      <c r="D39" s="454"/>
      <c r="E39" s="130"/>
      <c r="F39" s="17"/>
      <c r="G39" s="455"/>
      <c r="H39" s="19"/>
      <c r="I39" s="453"/>
      <c r="J39" s="81"/>
      <c r="O39" s="10"/>
      <c r="P39" s="13"/>
      <c r="Q39" s="13"/>
      <c r="R39" s="13"/>
      <c r="S39" s="255"/>
      <c r="T39" s="255"/>
    </row>
    <row r="40" spans="1:20">
      <c r="A40" s="76"/>
      <c r="B40" s="10"/>
      <c r="C40" s="451"/>
      <c r="D40" s="451"/>
      <c r="E40" s="17"/>
      <c r="F40" s="17"/>
      <c r="G40" s="464"/>
      <c r="H40" s="19"/>
      <c r="I40" s="453"/>
      <c r="J40" s="81"/>
      <c r="O40" s="10"/>
      <c r="P40" s="10"/>
      <c r="Q40" s="10"/>
      <c r="R40" s="10"/>
      <c r="S40" s="10"/>
      <c r="T40" s="10"/>
    </row>
    <row r="41" spans="1:20">
      <c r="A41" s="10"/>
      <c r="B41" s="10"/>
      <c r="C41" s="451"/>
      <c r="D41" s="451"/>
      <c r="E41" s="17"/>
      <c r="F41" s="17"/>
      <c r="G41" s="464"/>
      <c r="H41" s="19"/>
      <c r="I41" s="453"/>
      <c r="J41" s="81"/>
    </row>
    <row r="42" spans="1:20">
      <c r="A42" s="76"/>
      <c r="B42" s="10"/>
      <c r="C42" s="451"/>
      <c r="D42" s="451"/>
      <c r="E42" s="17"/>
      <c r="F42" s="17"/>
      <c r="G42" s="464"/>
      <c r="H42" s="19"/>
      <c r="I42" s="453"/>
      <c r="J42" s="81"/>
    </row>
    <row r="43" spans="1:20">
      <c r="A43" s="76"/>
      <c r="B43" s="10"/>
      <c r="C43" s="454"/>
      <c r="D43" s="454"/>
      <c r="E43" s="130"/>
      <c r="F43" s="17"/>
      <c r="G43" s="465"/>
      <c r="H43" s="19"/>
      <c r="I43" s="453"/>
      <c r="J43" s="81"/>
    </row>
    <row r="44" spans="1:20">
      <c r="A44" s="10"/>
      <c r="B44" s="10"/>
      <c r="C44" s="451"/>
      <c r="D44" s="451"/>
      <c r="E44" s="17"/>
      <c r="F44" s="17"/>
      <c r="G44" s="464"/>
      <c r="H44" s="19"/>
      <c r="I44" s="453"/>
      <c r="J44" s="81"/>
    </row>
    <row r="45" spans="1:20">
      <c r="A45" s="76"/>
      <c r="B45" s="10"/>
      <c r="C45" s="451"/>
      <c r="D45" s="451"/>
      <c r="E45" s="17"/>
      <c r="F45" s="17"/>
      <c r="G45" s="464"/>
      <c r="H45" s="19"/>
      <c r="I45" s="453"/>
      <c r="J45" s="81"/>
    </row>
    <row r="46" spans="1:20">
      <c r="A46" s="76"/>
      <c r="B46" s="10"/>
      <c r="C46" s="454"/>
      <c r="D46" s="454"/>
      <c r="E46" s="130"/>
      <c r="F46" s="17"/>
      <c r="G46" s="465"/>
      <c r="H46" s="19"/>
      <c r="I46" s="453"/>
      <c r="J46" s="81"/>
    </row>
    <row r="47" spans="1:20">
      <c r="A47" s="10"/>
      <c r="B47" s="10"/>
      <c r="C47" s="451"/>
      <c r="D47" s="451"/>
      <c r="E47" s="17"/>
      <c r="F47" s="17"/>
      <c r="G47" s="464"/>
      <c r="H47" s="19"/>
      <c r="I47" s="453"/>
      <c r="J47" s="81"/>
    </row>
    <row r="48" spans="1:20">
      <c r="A48" s="10"/>
      <c r="B48" s="10"/>
      <c r="C48" s="451"/>
      <c r="D48" s="451"/>
      <c r="E48" s="17"/>
      <c r="F48" s="17"/>
      <c r="G48" s="464"/>
      <c r="H48" s="19"/>
      <c r="I48" s="453"/>
      <c r="J48" s="81"/>
    </row>
    <row r="49" spans="1:10">
      <c r="A49" s="10"/>
      <c r="B49" s="10"/>
      <c r="C49" s="451"/>
      <c r="D49" s="451"/>
      <c r="E49" s="17"/>
      <c r="F49" s="17"/>
      <c r="G49" s="464"/>
      <c r="H49" s="19"/>
      <c r="I49" s="453"/>
      <c r="J49" s="81"/>
    </row>
    <row r="50" spans="1:10">
      <c r="A50" s="10"/>
      <c r="B50" s="10"/>
      <c r="C50" s="451"/>
      <c r="D50" s="451"/>
      <c r="E50" s="17"/>
      <c r="F50" s="17"/>
      <c r="G50" s="464"/>
      <c r="H50" s="19"/>
      <c r="I50" s="453"/>
      <c r="J50" s="81"/>
    </row>
    <row r="51" spans="1:10">
      <c r="A51" s="456"/>
      <c r="B51" s="10"/>
      <c r="C51" s="451"/>
      <c r="D51" s="451"/>
      <c r="E51" s="17"/>
      <c r="F51" s="17"/>
      <c r="G51" s="452"/>
      <c r="H51" s="19"/>
      <c r="I51" s="453"/>
      <c r="J51" s="81"/>
    </row>
    <row r="52" spans="1:10">
      <c r="A52" s="10"/>
      <c r="B52" s="10"/>
      <c r="C52" s="451"/>
      <c r="D52" s="451"/>
      <c r="E52" s="17"/>
      <c r="F52" s="17"/>
      <c r="G52" s="452"/>
      <c r="H52" s="19"/>
      <c r="I52" s="453"/>
      <c r="J52" s="81"/>
    </row>
    <row r="53" spans="1:10">
      <c r="A53" s="456"/>
      <c r="B53" s="10"/>
      <c r="C53" s="457"/>
      <c r="D53" s="457"/>
      <c r="E53" s="458"/>
      <c r="F53" s="17"/>
      <c r="G53" s="459"/>
      <c r="H53" s="19"/>
      <c r="I53" s="453"/>
      <c r="J53" s="81"/>
    </row>
    <row r="54" spans="1:10">
      <c r="A54" s="456"/>
      <c r="B54" s="10"/>
      <c r="C54" s="451"/>
      <c r="D54" s="451"/>
      <c r="E54" s="17"/>
      <c r="F54" s="17"/>
      <c r="G54" s="452"/>
      <c r="H54" s="19"/>
      <c r="I54" s="453"/>
      <c r="J54" s="81"/>
    </row>
    <row r="55" spans="1:10">
      <c r="A55" s="456"/>
      <c r="B55" s="10"/>
      <c r="C55" s="451"/>
      <c r="D55" s="451"/>
      <c r="E55" s="17"/>
      <c r="F55" s="17"/>
      <c r="G55" s="452"/>
      <c r="H55" s="19"/>
      <c r="I55" s="453"/>
      <c r="J55" s="81"/>
    </row>
    <row r="56" spans="1:10">
      <c r="A56" s="456"/>
      <c r="B56" s="10"/>
      <c r="C56" s="451"/>
      <c r="D56" s="451"/>
      <c r="E56" s="17"/>
      <c r="F56" s="17"/>
      <c r="G56" s="452"/>
      <c r="H56" s="19"/>
      <c r="I56" s="453"/>
      <c r="J56" s="81"/>
    </row>
    <row r="57" spans="1:10">
      <c r="A57" s="456"/>
      <c r="B57" s="10"/>
      <c r="C57" s="451"/>
      <c r="D57" s="451"/>
      <c r="E57" s="17"/>
      <c r="F57" s="17"/>
      <c r="G57" s="452"/>
      <c r="H57" s="19"/>
      <c r="I57" s="453"/>
      <c r="J57" s="81"/>
    </row>
    <row r="58" spans="1:10">
      <c r="A58" s="460"/>
      <c r="B58" s="461"/>
      <c r="C58" s="462"/>
      <c r="D58" s="462"/>
      <c r="E58" s="253"/>
      <c r="F58" s="17"/>
      <c r="G58" s="463"/>
      <c r="H58" s="19"/>
      <c r="I58" s="453"/>
      <c r="J58" s="81"/>
    </row>
    <row r="59" spans="1:10">
      <c r="A59" s="460"/>
      <c r="B59" s="461"/>
      <c r="C59" s="462"/>
      <c r="D59" s="462"/>
      <c r="E59" s="253"/>
      <c r="F59" s="17"/>
      <c r="G59" s="463"/>
      <c r="H59" s="19"/>
      <c r="I59" s="453"/>
      <c r="J59" s="81"/>
    </row>
    <row r="60" spans="1:10">
      <c r="A60" s="460"/>
      <c r="B60" s="461"/>
      <c r="C60" s="462"/>
      <c r="D60" s="462"/>
      <c r="E60" s="253"/>
      <c r="F60" s="17"/>
      <c r="G60" s="463"/>
      <c r="H60" s="19"/>
      <c r="I60" s="453"/>
      <c r="J60" s="81"/>
    </row>
    <row r="61" spans="1:10">
      <c r="A61" s="10"/>
      <c r="B61" s="10"/>
      <c r="C61" s="451"/>
      <c r="D61" s="451"/>
      <c r="E61" s="17"/>
      <c r="F61" s="17"/>
      <c r="G61" s="452"/>
      <c r="H61" s="19"/>
      <c r="I61" s="453"/>
      <c r="J61" s="81"/>
    </row>
    <row r="62" spans="1:10">
      <c r="A62" s="76"/>
      <c r="B62" s="10"/>
      <c r="C62" s="454"/>
      <c r="D62" s="454"/>
      <c r="E62" s="130"/>
      <c r="F62" s="17"/>
      <c r="G62" s="455"/>
      <c r="H62" s="19"/>
      <c r="I62" s="453"/>
      <c r="J62" s="81"/>
    </row>
    <row r="63" spans="1:10">
      <c r="A63" s="10"/>
      <c r="B63" s="10"/>
      <c r="C63" s="451"/>
      <c r="D63" s="451"/>
      <c r="E63" s="17"/>
      <c r="F63" s="17"/>
      <c r="G63" s="452"/>
      <c r="H63" s="19"/>
      <c r="I63" s="453"/>
      <c r="J63" s="81"/>
    </row>
    <row r="64" spans="1:10">
      <c r="A64" s="10"/>
      <c r="B64" s="10"/>
      <c r="C64" s="451"/>
      <c r="D64" s="451"/>
      <c r="E64" s="17"/>
      <c r="F64" s="17"/>
      <c r="G64" s="452"/>
      <c r="H64" s="19"/>
      <c r="I64" s="453"/>
      <c r="J64" s="81"/>
    </row>
    <row r="65" spans="1:10">
      <c r="A65" s="10"/>
      <c r="B65" s="10"/>
      <c r="C65" s="451"/>
      <c r="D65" s="451"/>
      <c r="E65" s="17"/>
      <c r="F65" s="17"/>
      <c r="G65" s="452"/>
      <c r="H65" s="19"/>
      <c r="I65" s="453"/>
      <c r="J65" s="81"/>
    </row>
    <row r="66" spans="1:10">
      <c r="A66" s="10"/>
      <c r="B66" s="10"/>
      <c r="C66" s="451"/>
      <c r="D66" s="451"/>
      <c r="E66" s="17"/>
      <c r="F66" s="17"/>
      <c r="G66" s="452"/>
      <c r="H66" s="19"/>
      <c r="I66" s="453"/>
      <c r="J66" s="81"/>
    </row>
    <row r="67" spans="1:10">
      <c r="A67" s="76"/>
      <c r="B67" s="10"/>
      <c r="C67" s="454"/>
      <c r="D67" s="454"/>
      <c r="E67" s="130"/>
      <c r="F67" s="17"/>
      <c r="G67" s="455"/>
      <c r="H67" s="19"/>
      <c r="I67" s="453"/>
      <c r="J67" s="81"/>
    </row>
    <row r="68" spans="1:10">
      <c r="A68" s="10"/>
      <c r="B68" s="10"/>
      <c r="C68" s="451"/>
      <c r="D68" s="451"/>
      <c r="E68" s="17"/>
      <c r="F68" s="17"/>
      <c r="G68" s="452"/>
      <c r="H68" s="19"/>
      <c r="I68" s="453"/>
      <c r="J68" s="81"/>
    </row>
    <row r="69" spans="1:10">
      <c r="A69" s="10"/>
      <c r="B69" s="10"/>
      <c r="C69" s="451"/>
      <c r="D69" s="451"/>
      <c r="E69" s="17"/>
      <c r="F69" s="17"/>
      <c r="G69" s="452"/>
      <c r="H69" s="19"/>
      <c r="I69" s="453"/>
      <c r="J69" s="81"/>
    </row>
    <row r="70" spans="1:10">
      <c r="A70" s="10"/>
      <c r="B70" s="10"/>
      <c r="C70" s="451"/>
      <c r="D70" s="451"/>
      <c r="E70" s="17"/>
      <c r="F70" s="17"/>
      <c r="G70" s="452"/>
      <c r="H70" s="19"/>
      <c r="I70" s="453"/>
      <c r="J70" s="81"/>
    </row>
    <row r="71" spans="1:10">
      <c r="A71" s="10"/>
      <c r="B71" s="10"/>
      <c r="C71" s="451"/>
      <c r="D71" s="451"/>
      <c r="E71" s="17"/>
      <c r="F71" s="17"/>
      <c r="G71" s="452"/>
      <c r="H71" s="19"/>
      <c r="I71" s="453"/>
      <c r="J71" s="81"/>
    </row>
    <row r="72" spans="1:10">
      <c r="A72" s="10"/>
      <c r="B72" s="10"/>
      <c r="C72" s="451"/>
      <c r="D72" s="451"/>
      <c r="E72" s="17"/>
      <c r="F72" s="17"/>
      <c r="G72" s="452"/>
      <c r="H72" s="19"/>
      <c r="I72" s="453"/>
      <c r="J72" s="81"/>
    </row>
    <row r="73" spans="1:10">
      <c r="A73" s="10"/>
      <c r="B73" s="10"/>
      <c r="C73" s="451"/>
      <c r="D73" s="451"/>
      <c r="E73" s="17"/>
      <c r="F73" s="17"/>
      <c r="G73" s="452"/>
      <c r="H73" s="19"/>
      <c r="I73" s="453"/>
      <c r="J73" s="81"/>
    </row>
    <row r="74" spans="1:10">
      <c r="A74" s="10"/>
      <c r="B74" s="10"/>
      <c r="C74" s="451"/>
      <c r="D74" s="451"/>
      <c r="E74" s="17"/>
      <c r="F74" s="17"/>
      <c r="G74" s="452"/>
      <c r="H74" s="19"/>
      <c r="I74" s="453"/>
      <c r="J74" s="81"/>
    </row>
    <row r="75" spans="1:10">
      <c r="A75" s="10"/>
      <c r="B75" s="10"/>
      <c r="C75" s="451"/>
      <c r="D75" s="451"/>
      <c r="E75" s="17"/>
      <c r="F75" s="17"/>
      <c r="G75" s="452"/>
      <c r="H75" s="19"/>
      <c r="I75" s="453"/>
      <c r="J75" s="81"/>
    </row>
    <row r="76" spans="1:10">
      <c r="A76" s="10"/>
      <c r="B76" s="10"/>
      <c r="C76" s="451"/>
      <c r="D76" s="451"/>
      <c r="E76" s="17"/>
      <c r="F76" s="17"/>
      <c r="G76" s="452"/>
      <c r="H76" s="19"/>
      <c r="I76" s="453"/>
      <c r="J76" s="81"/>
    </row>
    <row r="77" spans="1:10">
      <c r="E77" s="14"/>
      <c r="H77" s="14"/>
      <c r="J77" s="67"/>
    </row>
  </sheetData>
  <mergeCells count="7">
    <mergeCell ref="C3:G3"/>
    <mergeCell ref="H3:K3"/>
    <mergeCell ref="A10:B10"/>
    <mergeCell ref="A6:B6"/>
    <mergeCell ref="C6:E6"/>
    <mergeCell ref="A7:B7"/>
    <mergeCell ref="C7:E7"/>
  </mergeCells>
  <phoneticPr fontId="0" type="noConversion"/>
  <dataValidations count="1">
    <dataValidation allowBlank="1" showInputMessage="1" showErrorMessage="1" errorTitle="ATENCIÓN" error="SOLO PUEDE INGRESAR EL &quot;2&quot;" promptTitle="RECORDAR" prompt="SI MODIFICA EL VALOR DE LA CELDA, RECUERDE VOLVER A COPIAR LA FÓRMULA." sqref="P13:P28" xr:uid="{00000000-0002-0000-2300-000000000000}"/>
  </dataValidations>
  <pageMargins left="0.39370078740157483" right="0.78740157480314965" top="0.98425196850393704" bottom="0.98425196850393704" header="0" footer="0"/>
  <pageSetup paperSize="9" scale="70" orientation="landscape" horizontalDpi="300" verticalDpi="30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46"/>
  <dimension ref="A1:I178"/>
  <sheetViews>
    <sheetView view="pageBreakPreview" zoomScale="60" zoomScaleNormal="75" workbookViewId="0" xr3:uid="{44C9DB06-433C-50F5-8210-7EB2F2901AA3}">
      <selection activeCell="K23" sqref="K23"/>
    </sheetView>
  </sheetViews>
  <sheetFormatPr defaultRowHeight="12.75"/>
  <cols>
    <col min="1" max="2" width="11.42578125" customWidth="1"/>
    <col min="3" max="3" width="11.7109375" bestFit="1" customWidth="1"/>
    <col min="4" max="4" width="22.28515625" bestFit="1" customWidth="1"/>
    <col min="5" max="5" width="11.42578125" customWidth="1"/>
    <col min="6" max="6" width="11.7109375" bestFit="1" customWidth="1"/>
    <col min="7" max="7" width="31.42578125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</row>
    <row r="2" spans="1:9">
      <c r="A2" s="381"/>
      <c r="B2" s="109" t="s">
        <v>82</v>
      </c>
      <c r="C2" s="76"/>
      <c r="D2" s="76"/>
      <c r="E2" s="76"/>
      <c r="F2" s="76"/>
      <c r="G2" s="382"/>
      <c r="H2" s="76"/>
    </row>
    <row r="3" spans="1:9">
      <c r="A3" s="381"/>
      <c r="B3" s="76"/>
      <c r="C3" s="76"/>
      <c r="D3" s="76"/>
      <c r="E3" s="76"/>
      <c r="F3" s="76"/>
      <c r="G3" s="382"/>
      <c r="H3" s="76"/>
    </row>
    <row r="4" spans="1:9">
      <c r="A4" s="381"/>
      <c r="B4" s="76" t="s">
        <v>182</v>
      </c>
      <c r="C4" s="76" t="str">
        <f>VLOOKUP(G5,'15_1'!$A$12:$G$25,7,0)</f>
        <v>SOTO, ARMANDO LUIS</v>
      </c>
      <c r="D4" s="76"/>
      <c r="E4" s="76"/>
      <c r="F4" s="76"/>
      <c r="G4" s="383" t="s">
        <v>134</v>
      </c>
      <c r="H4" s="76"/>
    </row>
    <row r="5" spans="1:9">
      <c r="A5" s="381"/>
      <c r="B5" s="76" t="s">
        <v>91</v>
      </c>
      <c r="C5" s="76" t="str">
        <f>+'15_1'!$H$3</f>
        <v>Hijuela 2da. El Carmen Completa</v>
      </c>
      <c r="D5" s="76"/>
      <c r="E5" s="76"/>
      <c r="F5" s="76"/>
      <c r="G5" s="383">
        <v>1</v>
      </c>
      <c r="H5" s="76"/>
    </row>
    <row r="6" spans="1:9">
      <c r="A6" s="381"/>
      <c r="B6" s="76"/>
      <c r="C6" s="76"/>
      <c r="D6" s="76"/>
      <c r="E6" s="76"/>
      <c r="F6" s="76"/>
      <c r="G6" s="382"/>
      <c r="H6" s="76"/>
    </row>
    <row r="7" spans="1:9">
      <c r="A7" s="381"/>
      <c r="B7" s="635" t="s">
        <v>183</v>
      </c>
      <c r="C7" s="331">
        <f>VLOOKUP(G5,'15_1'!$A$12:$B$25,2,0)</f>
        <v>1252</v>
      </c>
      <c r="D7" s="76"/>
      <c r="E7" s="635" t="s">
        <v>184</v>
      </c>
      <c r="F7" s="397">
        <f>DSUM('15_1'!A$12:J$25,'15_1'!$J$12,G4:G5)</f>
        <v>0</v>
      </c>
      <c r="G7" s="382"/>
      <c r="H7" s="76"/>
    </row>
    <row r="8" spans="1:9">
      <c r="A8" s="381"/>
      <c r="B8" s="635" t="s">
        <v>185</v>
      </c>
      <c r="C8" s="374">
        <v>38</v>
      </c>
      <c r="D8" s="76"/>
      <c r="E8" s="635" t="s">
        <v>186</v>
      </c>
      <c r="F8" s="368" t="str">
        <f>IF(VLOOKUP(G5,'15_1'!$A$12:$D$25,4,0)=2,"Eventual 80%","Definitivo 100%")</f>
        <v>Eventual 80%</v>
      </c>
      <c r="G8" s="382"/>
      <c r="H8" s="76"/>
    </row>
    <row r="9" spans="1:9">
      <c r="A9" s="381"/>
      <c r="B9" s="635" t="s">
        <v>187</v>
      </c>
      <c r="C9" s="375">
        <f>DSUM('15_1'!$A$12:$H$25,'15_1'!$H$12,G4:G5)</f>
        <v>0</v>
      </c>
      <c r="D9" s="76"/>
      <c r="E9" s="635" t="s">
        <v>188</v>
      </c>
      <c r="F9" s="369" t="str">
        <f>+Hijuelas!$G$5</f>
        <v>fracción</v>
      </c>
      <c r="G9" s="384"/>
      <c r="H9" s="76"/>
    </row>
    <row r="10" spans="1:9" ht="15.75">
      <c r="A10" s="381"/>
      <c r="B10" s="76"/>
      <c r="C10" s="635" t="s">
        <v>189</v>
      </c>
      <c r="D10" s="107">
        <f>DMIN('15_1'!A$12:K$39,'15_1'!$K$12,G4:G5)</f>
        <v>42749.756944444445</v>
      </c>
      <c r="E10" s="127"/>
      <c r="F10" s="128">
        <f>WEEKDAY(D10)</f>
        <v>7</v>
      </c>
      <c r="G10" s="385"/>
      <c r="H10" s="76"/>
    </row>
    <row r="11" spans="1:9" ht="15.75">
      <c r="A11" s="381"/>
      <c r="B11" s="76"/>
      <c r="C11" s="635" t="s">
        <v>190</v>
      </c>
      <c r="D11" s="107">
        <f>DMAX('15_1'!A$12:L$39,'15_1'!$L$12,G4:G5)</f>
        <v>42749.756944444445</v>
      </c>
      <c r="E11" s="127"/>
      <c r="F11" s="128">
        <f>WEEKDAY(D11)</f>
        <v>7</v>
      </c>
      <c r="G11" s="385"/>
      <c r="H11" s="76"/>
    </row>
    <row r="12" spans="1:9">
      <c r="A12" s="381"/>
      <c r="B12" s="76"/>
      <c r="C12" s="76"/>
      <c r="D12" s="76"/>
      <c r="E12" s="76"/>
      <c r="F12" s="106"/>
      <c r="G12" s="384"/>
      <c r="H12" s="76"/>
    </row>
    <row r="13" spans="1:9">
      <c r="A13" s="405"/>
      <c r="B13" s="404" t="str">
        <f>+Mensajes!$B$7</f>
        <v>PARA CUALQUIER MODIFICACION EN EL CUADRO DE TURNO COMUNIQUESE CON SU TOMERO</v>
      </c>
      <c r="C13" s="279"/>
      <c r="D13" s="76"/>
      <c r="E13" s="76"/>
      <c r="F13" s="76"/>
      <c r="G13" s="382"/>
      <c r="H13" s="76"/>
    </row>
    <row r="14" spans="1:9">
      <c r="A14" s="406"/>
      <c r="B14" s="404" t="str">
        <f>+Mensajes!$B$12</f>
        <v>Recuerde que con 1 (una) cuotas vigentes impagas se restringirá el servicio.</v>
      </c>
      <c r="C14" s="280"/>
      <c r="D14" s="76"/>
      <c r="E14" s="76"/>
      <c r="F14" s="76"/>
      <c r="G14" s="382"/>
      <c r="H14" s="76"/>
    </row>
    <row r="15" spans="1:9">
      <c r="A15" s="381"/>
      <c r="B15" s="108"/>
      <c r="C15" s="76"/>
      <c r="D15" s="76"/>
      <c r="E15" s="76"/>
      <c r="F15" s="76"/>
      <c r="G15" s="382"/>
      <c r="H15" s="76"/>
    </row>
    <row r="16" spans="1:9" ht="13.5" thickBot="1">
      <c r="A16" s="386"/>
      <c r="B16" s="387" t="str">
        <f>IF(DSUM('14_1'!$A$12:$P$88,16,G4:G5)=COUNTIF('14_1'!$A$12:$A$88,G5),"","Regularice su Deuda")</f>
        <v/>
      </c>
      <c r="C16" s="326"/>
      <c r="D16" s="326"/>
      <c r="E16" s="326"/>
      <c r="F16" s="326"/>
      <c r="G16" s="388"/>
      <c r="H16" s="76"/>
      <c r="I16">
        <f>7*17</f>
        <v>119</v>
      </c>
    </row>
    <row r="17" spans="1:7" ht="13.5" thickBot="1"/>
    <row r="18" spans="1:7">
      <c r="A18" s="378"/>
      <c r="B18" s="379"/>
      <c r="C18" s="379"/>
      <c r="D18" s="379"/>
      <c r="E18" s="379"/>
      <c r="F18" s="379"/>
      <c r="G18" s="380"/>
    </row>
    <row r="19" spans="1:7">
      <c r="A19" s="381"/>
      <c r="B19" s="109" t="s">
        <v>82</v>
      </c>
      <c r="C19" s="76"/>
      <c r="D19" s="76"/>
      <c r="E19" s="76"/>
      <c r="F19" s="76"/>
      <c r="G19" s="382"/>
    </row>
    <row r="20" spans="1:7">
      <c r="A20" s="381"/>
      <c r="B20" s="76"/>
      <c r="C20" s="76"/>
      <c r="D20" s="76"/>
      <c r="E20" s="76"/>
      <c r="F20" s="76"/>
      <c r="G20" s="382"/>
    </row>
    <row r="21" spans="1:7">
      <c r="A21" s="381"/>
      <c r="B21" s="76" t="s">
        <v>182</v>
      </c>
      <c r="C21" s="76" t="str">
        <f>VLOOKUP(G22,'15_1'!$A$12:$G$25,7,0)</f>
        <v>MAIMO, JUAN PABLO</v>
      </c>
      <c r="D21" s="76"/>
      <c r="E21" s="76"/>
      <c r="F21" s="76"/>
      <c r="G21" s="383" t="s">
        <v>134</v>
      </c>
    </row>
    <row r="22" spans="1:7">
      <c r="A22" s="381"/>
      <c r="B22" s="76" t="s">
        <v>91</v>
      </c>
      <c r="C22" s="76" t="str">
        <f>+'15_1'!$H$3</f>
        <v>Hijuela 2da. El Carmen Completa</v>
      </c>
      <c r="D22" s="76"/>
      <c r="E22" s="76"/>
      <c r="F22" s="76"/>
      <c r="G22" s="383">
        <v>2</v>
      </c>
    </row>
    <row r="23" spans="1:7">
      <c r="A23" s="381"/>
      <c r="B23" s="76"/>
      <c r="C23" s="76"/>
      <c r="D23" s="76"/>
      <c r="E23" s="76"/>
      <c r="F23" s="76"/>
      <c r="G23" s="382"/>
    </row>
    <row r="24" spans="1:7">
      <c r="A24" s="381"/>
      <c r="B24" s="635" t="s">
        <v>183</v>
      </c>
      <c r="C24" s="331">
        <f>VLOOKUP(G22,'15_1'!$A$12:$B$25,2,0)</f>
        <v>1252</v>
      </c>
      <c r="D24" s="76"/>
      <c r="E24" s="635" t="s">
        <v>184</v>
      </c>
      <c r="F24" s="397">
        <f>DSUM('15_1'!A$12:J$25,'15_1'!$J$12,G21:G22)</f>
        <v>1.228187233850871</v>
      </c>
      <c r="G24" s="382"/>
    </row>
    <row r="25" spans="1:7">
      <c r="A25" s="381"/>
      <c r="B25" s="635" t="s">
        <v>185</v>
      </c>
      <c r="C25" s="374">
        <v>7</v>
      </c>
      <c r="D25" s="76"/>
      <c r="E25" s="635" t="s">
        <v>186</v>
      </c>
      <c r="F25" s="368" t="str">
        <f>IF(VLOOKUP(G22,'15_1'!$A$12:$D$25,4,0)=2,"Eventual 80%","Definitivo 100%")</f>
        <v>Eventual 80%</v>
      </c>
      <c r="G25" s="382"/>
    </row>
    <row r="26" spans="1:7">
      <c r="A26" s="381"/>
      <c r="B26" s="635" t="s">
        <v>187</v>
      </c>
      <c r="C26" s="375">
        <f>DSUM('15_1'!$A$12:$H$25,'15_1'!$H$12,G21:G22)</f>
        <v>22.400000000000002</v>
      </c>
      <c r="D26" s="76"/>
      <c r="E26" s="635" t="s">
        <v>188</v>
      </c>
      <c r="F26" s="369" t="str">
        <f>+Hijuelas!$G$5</f>
        <v>fracción</v>
      </c>
      <c r="G26" s="384"/>
    </row>
    <row r="27" spans="1:7" ht="15.75">
      <c r="A27" s="381"/>
      <c r="B27" s="76"/>
      <c r="C27" s="635" t="s">
        <v>189</v>
      </c>
      <c r="D27" s="107">
        <f>DMIN('15_1'!A$12:K$39,'15_1'!$K$12,G21:G22)</f>
        <v>42749.756944444445</v>
      </c>
      <c r="E27" s="127"/>
      <c r="F27" s="128">
        <f>WEEKDAY(D27)</f>
        <v>7</v>
      </c>
      <c r="G27" s="385"/>
    </row>
    <row r="28" spans="1:7" ht="15.75">
      <c r="A28" s="381"/>
      <c r="B28" s="76"/>
      <c r="C28" s="635" t="s">
        <v>190</v>
      </c>
      <c r="D28" s="107">
        <f>DMAX('15_1'!A$12:L$39,'15_1'!$L$12,G21:G22)</f>
        <v>42750.985131678295</v>
      </c>
      <c r="E28" s="127"/>
      <c r="F28" s="128">
        <f>WEEKDAY(D28)</f>
        <v>1</v>
      </c>
      <c r="G28" s="385"/>
    </row>
    <row r="29" spans="1:7">
      <c r="A29" s="381"/>
      <c r="B29" s="76"/>
      <c r="C29" s="76"/>
      <c r="D29" s="76"/>
      <c r="E29" s="76"/>
      <c r="F29" s="106"/>
      <c r="G29" s="384"/>
    </row>
    <row r="30" spans="1:7">
      <c r="A30" s="405"/>
      <c r="B30" s="404" t="str">
        <f>+Mensajes!$B$7</f>
        <v>PARA CUALQUIER MODIFICACION EN EL CUADRO DE TURNO COMUNIQUESE CON SU TOMERO</v>
      </c>
      <c r="C30" s="279"/>
      <c r="D30" s="76"/>
      <c r="E30" s="76"/>
      <c r="F30" s="76"/>
      <c r="G30" s="382"/>
    </row>
    <row r="31" spans="1:7">
      <c r="A31" s="406"/>
      <c r="B31" s="404" t="str">
        <f>+Mensajes!$B$12</f>
        <v>Recuerde que con 1 (una) cuotas vigentes impagas se restringirá el servicio.</v>
      </c>
      <c r="C31" s="280"/>
      <c r="D31" s="76"/>
      <c r="E31" s="76"/>
      <c r="F31" s="76"/>
      <c r="G31" s="382"/>
    </row>
    <row r="32" spans="1:7">
      <c r="A32" s="381"/>
      <c r="B32" s="108"/>
      <c r="C32" s="76"/>
      <c r="D32" s="76"/>
      <c r="E32" s="76"/>
      <c r="F32" s="76"/>
      <c r="G32" s="382"/>
    </row>
    <row r="33" spans="1:7" ht="13.5" thickBot="1">
      <c r="A33" s="386"/>
      <c r="B33" s="387" t="str">
        <f>IF(DSUM('14_1'!$A$12:$P$88,16,G21:G22)=COUNTIF('14_1'!$A$12:$A$88,G22),"","Regularice su Deuda")</f>
        <v/>
      </c>
      <c r="C33" s="326"/>
      <c r="D33" s="326"/>
      <c r="E33" s="326"/>
      <c r="F33" s="326"/>
      <c r="G33" s="388"/>
    </row>
    <row r="34" spans="1:7" ht="13.5" thickBot="1"/>
    <row r="35" spans="1:7">
      <c r="A35" s="378"/>
      <c r="B35" s="379"/>
      <c r="C35" s="379"/>
      <c r="D35" s="379"/>
      <c r="E35" s="379"/>
      <c r="F35" s="379"/>
      <c r="G35" s="380"/>
    </row>
    <row r="36" spans="1:7">
      <c r="A36" s="381"/>
      <c r="B36" s="109" t="s">
        <v>82</v>
      </c>
      <c r="C36" s="76"/>
      <c r="D36" s="76"/>
      <c r="E36" s="76"/>
      <c r="F36" s="76"/>
      <c r="G36" s="382"/>
    </row>
    <row r="37" spans="1:7">
      <c r="A37" s="381"/>
      <c r="B37" s="76"/>
      <c r="C37" s="76"/>
      <c r="D37" s="76"/>
      <c r="E37" s="76"/>
      <c r="F37" s="76"/>
      <c r="G37" s="382"/>
    </row>
    <row r="38" spans="1:7">
      <c r="A38" s="381"/>
      <c r="B38" s="76" t="s">
        <v>182</v>
      </c>
      <c r="C38" s="76" t="str">
        <f>VLOOKUP(G39,'15_1'!$A$12:$G$25,7,0)</f>
        <v>SIMIONATO, JOSE SEGUNDO</v>
      </c>
      <c r="D38" s="76"/>
      <c r="E38" s="76"/>
      <c r="F38" s="76"/>
      <c r="G38" s="383" t="s">
        <v>134</v>
      </c>
    </row>
    <row r="39" spans="1:7">
      <c r="A39" s="381"/>
      <c r="B39" s="76" t="s">
        <v>91</v>
      </c>
      <c r="C39" s="76" t="str">
        <f>+'15_1'!$H$3</f>
        <v>Hijuela 2da. El Carmen Completa</v>
      </c>
      <c r="D39" s="76"/>
      <c r="E39" s="76"/>
      <c r="F39" s="76"/>
      <c r="G39" s="383">
        <v>3</v>
      </c>
    </row>
    <row r="40" spans="1:7">
      <c r="A40" s="381"/>
      <c r="B40" s="76"/>
      <c r="C40" s="76"/>
      <c r="D40" s="76"/>
      <c r="E40" s="76"/>
      <c r="F40" s="76"/>
      <c r="G40" s="382"/>
    </row>
    <row r="41" spans="1:7">
      <c r="A41" s="381"/>
      <c r="B41" s="635" t="s">
        <v>183</v>
      </c>
      <c r="C41" s="331">
        <f>VLOOKUP(G39,'15_1'!$A$12:$B$25,2,0)</f>
        <v>1252</v>
      </c>
      <c r="D41" s="76"/>
      <c r="E41" s="635" t="s">
        <v>184</v>
      </c>
      <c r="F41" s="397">
        <f>DSUM('15_1'!A$12:J$25,'15_1'!$J$12,G38:G39)</f>
        <v>0.2579017735767708</v>
      </c>
      <c r="G41" s="382"/>
    </row>
    <row r="42" spans="1:7">
      <c r="A42" s="381"/>
      <c r="B42" s="635" t="s">
        <v>185</v>
      </c>
      <c r="C42" s="374">
        <v>14</v>
      </c>
      <c r="D42" s="76"/>
      <c r="E42" s="635" t="s">
        <v>186</v>
      </c>
      <c r="F42" s="368" t="str">
        <f>IF(VLOOKUP(G39,'15_1'!$A$12:$D$25,4,0)=2,"Eventual 80%","Definitivo 100%")</f>
        <v>Eventual 80%</v>
      </c>
      <c r="G42" s="382"/>
    </row>
    <row r="43" spans="1:7">
      <c r="A43" s="381"/>
      <c r="B43" s="635" t="s">
        <v>187</v>
      </c>
      <c r="C43" s="375">
        <f>DSUM('15_1'!$A$12:$H$25,'15_1'!$H$12,G38:G39)</f>
        <v>4.7036800000000003</v>
      </c>
      <c r="D43" s="76"/>
      <c r="E43" s="635" t="s">
        <v>188</v>
      </c>
      <c r="F43" s="369" t="str">
        <f>+Hijuelas!$G$5</f>
        <v>fracción</v>
      </c>
      <c r="G43" s="384"/>
    </row>
    <row r="44" spans="1:7" ht="15.75">
      <c r="A44" s="381"/>
      <c r="B44" s="76"/>
      <c r="C44" s="635" t="s">
        <v>189</v>
      </c>
      <c r="D44" s="107">
        <f>DMIN('15_1'!A$12:K$39,'15_1'!$K$12,G38:G39)</f>
        <v>42750.985131678295</v>
      </c>
      <c r="E44" s="127"/>
      <c r="F44" s="128">
        <f>WEEKDAY(D44)</f>
        <v>1</v>
      </c>
      <c r="G44" s="385"/>
    </row>
    <row r="45" spans="1:7" ht="15.75">
      <c r="A45" s="381"/>
      <c r="B45" s="76"/>
      <c r="C45" s="635" t="s">
        <v>190</v>
      </c>
      <c r="D45" s="107">
        <f>DMAX('15_1'!A$12:L$39,'15_1'!$L$12,G38:G39)</f>
        <v>42751.243033451872</v>
      </c>
      <c r="E45" s="127"/>
      <c r="F45" s="128">
        <f>WEEKDAY(D45)</f>
        <v>2</v>
      </c>
      <c r="G45" s="385"/>
    </row>
    <row r="46" spans="1:7">
      <c r="A46" s="381"/>
      <c r="B46" s="76"/>
      <c r="C46" s="76"/>
      <c r="D46" s="76"/>
      <c r="E46" s="76"/>
      <c r="F46" s="106"/>
      <c r="G46" s="384"/>
    </row>
    <row r="47" spans="1:7">
      <c r="A47" s="405"/>
      <c r="B47" s="404" t="str">
        <f>+Mensajes!$B$7</f>
        <v>PARA CUALQUIER MODIFICACION EN EL CUADRO DE TURNO COMUNIQUESE CON SU TOMERO</v>
      </c>
      <c r="C47" s="279"/>
      <c r="D47" s="76"/>
      <c r="E47" s="76"/>
      <c r="F47" s="76"/>
      <c r="G47" s="382"/>
    </row>
    <row r="48" spans="1:7">
      <c r="A48" s="406"/>
      <c r="B48" s="404" t="str">
        <f>+Mensajes!$B$12</f>
        <v>Recuerde que con 1 (una) cuotas vigentes impagas se restringirá el servicio.</v>
      </c>
      <c r="C48" s="280"/>
      <c r="D48" s="76"/>
      <c r="E48" s="76"/>
      <c r="F48" s="76"/>
      <c r="G48" s="382"/>
    </row>
    <row r="49" spans="1:7">
      <c r="A49" s="381"/>
      <c r="B49" s="108"/>
      <c r="C49" s="76"/>
      <c r="D49" s="76"/>
      <c r="E49" s="76"/>
      <c r="F49" s="76"/>
      <c r="G49" s="382"/>
    </row>
    <row r="50" spans="1:7" ht="13.5" thickBot="1">
      <c r="A50" s="386"/>
      <c r="B50" s="387" t="str">
        <f>IF(DSUM('14_1'!$A$12:$P$88,16,G38:G39)=COUNTIF('14_1'!$A$12:$A$88,G39),"","Regularice su Deuda")</f>
        <v/>
      </c>
      <c r="C50" s="326"/>
      <c r="D50" s="326"/>
      <c r="E50" s="326"/>
      <c r="F50" s="326"/>
      <c r="G50" s="388"/>
    </row>
    <row r="51" spans="1:7" ht="13.5" thickBot="1"/>
    <row r="52" spans="1:7">
      <c r="A52" s="378"/>
      <c r="B52" s="379"/>
      <c r="C52" s="379"/>
      <c r="D52" s="379"/>
      <c r="E52" s="379"/>
      <c r="F52" s="379"/>
      <c r="G52" s="380"/>
    </row>
    <row r="53" spans="1:7">
      <c r="A53" s="381"/>
      <c r="B53" s="109" t="s">
        <v>82</v>
      </c>
      <c r="C53" s="76"/>
      <c r="D53" s="76"/>
      <c r="E53" s="76"/>
      <c r="F53" s="76"/>
      <c r="G53" s="382"/>
    </row>
    <row r="54" spans="1:7">
      <c r="A54" s="381"/>
      <c r="B54" s="76"/>
      <c r="C54" s="76"/>
      <c r="D54" s="76"/>
      <c r="E54" s="76"/>
      <c r="F54" s="76"/>
      <c r="G54" s="382"/>
    </row>
    <row r="55" spans="1:7">
      <c r="A55" s="381"/>
      <c r="B55" s="76" t="s">
        <v>182</v>
      </c>
      <c r="C55" s="76" t="str">
        <f>VLOOKUP(G56,'15_1'!$A$12:$G$25,7,0)</f>
        <v>CARBONE, LUIS ALFONSO</v>
      </c>
      <c r="D55" s="76"/>
      <c r="E55" s="76"/>
      <c r="F55" s="76"/>
      <c r="G55" s="383" t="s">
        <v>134</v>
      </c>
    </row>
    <row r="56" spans="1:7">
      <c r="A56" s="381"/>
      <c r="B56" s="76" t="s">
        <v>91</v>
      </c>
      <c r="C56" s="76" t="str">
        <f>+'15_1'!$H$3</f>
        <v>Hijuela 2da. El Carmen Completa</v>
      </c>
      <c r="D56" s="76"/>
      <c r="E56" s="76"/>
      <c r="F56" s="76"/>
      <c r="G56" s="383">
        <v>4</v>
      </c>
    </row>
    <row r="57" spans="1:7">
      <c r="A57" s="381"/>
      <c r="B57" s="76"/>
      <c r="C57" s="76"/>
      <c r="D57" s="76"/>
      <c r="E57" s="76"/>
      <c r="F57" s="76"/>
      <c r="G57" s="382"/>
    </row>
    <row r="58" spans="1:7">
      <c r="A58" s="381"/>
      <c r="B58" s="635" t="s">
        <v>183</v>
      </c>
      <c r="C58" s="331">
        <f>VLOOKUP(G56,'15_1'!$A$12:$B$25,2,0)</f>
        <v>1252</v>
      </c>
      <c r="D58" s="76"/>
      <c r="E58" s="635" t="s">
        <v>184</v>
      </c>
      <c r="F58" s="397">
        <f>DSUM('15_1'!A$12:J$25,'15_1'!$J$12,G55:G56)</f>
        <v>0.85534468071757097</v>
      </c>
      <c r="G58" s="382"/>
    </row>
    <row r="59" spans="1:7">
      <c r="A59" s="381"/>
      <c r="B59" s="635" t="s">
        <v>185</v>
      </c>
      <c r="C59" s="374">
        <v>50</v>
      </c>
      <c r="D59" s="76"/>
      <c r="E59" s="635" t="s">
        <v>186</v>
      </c>
      <c r="F59" s="368" t="str">
        <f>IF(VLOOKUP(G56,'15_1'!$A$12:$D$25,4,0)=2,"Eventual 80%","Definitivo 100%")</f>
        <v>Eventual 80%</v>
      </c>
      <c r="G59" s="382"/>
    </row>
    <row r="60" spans="1:7">
      <c r="A60" s="381"/>
      <c r="B60" s="635" t="s">
        <v>187</v>
      </c>
      <c r="C60" s="375">
        <f>DSUM('15_1'!$A$12:$H$25,'15_1'!$H$12,G55:G56)</f>
        <v>15.600000000000001</v>
      </c>
      <c r="D60" s="76"/>
      <c r="E60" s="635" t="s">
        <v>188</v>
      </c>
      <c r="F60" s="369" t="str">
        <f>+Hijuelas!$G$5</f>
        <v>fracción</v>
      </c>
      <c r="G60" s="384"/>
    </row>
    <row r="61" spans="1:7" ht="15.75">
      <c r="A61" s="381"/>
      <c r="B61" s="76"/>
      <c r="C61" s="635" t="s">
        <v>189</v>
      </c>
      <c r="D61" s="107">
        <f>DMIN('15_1'!A$12:K$39,'15_1'!$K$12,G55:G56)</f>
        <v>42751.243033451872</v>
      </c>
      <c r="E61" s="127"/>
      <c r="F61" s="128">
        <f>WEEKDAY(D61)</f>
        <v>2</v>
      </c>
      <c r="G61" s="385"/>
    </row>
    <row r="62" spans="1:7" ht="15.75">
      <c r="A62" s="381"/>
      <c r="B62" s="76"/>
      <c r="C62" s="635" t="s">
        <v>190</v>
      </c>
      <c r="D62" s="107">
        <f>DMAX('15_1'!A$12:L$39,'15_1'!$L$12,G55:G56)</f>
        <v>42752.098378132585</v>
      </c>
      <c r="E62" s="127"/>
      <c r="F62" s="128">
        <f>WEEKDAY(D62)</f>
        <v>3</v>
      </c>
      <c r="G62" s="385"/>
    </row>
    <row r="63" spans="1:7">
      <c r="A63" s="381"/>
      <c r="B63" s="76"/>
      <c r="C63" s="76"/>
      <c r="D63" s="76"/>
      <c r="E63" s="76"/>
      <c r="F63" s="106"/>
      <c r="G63" s="384"/>
    </row>
    <row r="64" spans="1:7">
      <c r="A64" s="405"/>
      <c r="B64" s="404" t="str">
        <f>+Mensajes!$B$7</f>
        <v>PARA CUALQUIER MODIFICACION EN EL CUADRO DE TURNO COMUNIQUESE CON SU TOMERO</v>
      </c>
      <c r="C64" s="279"/>
      <c r="D64" s="76"/>
      <c r="E64" s="76"/>
      <c r="F64" s="76"/>
      <c r="G64" s="382"/>
    </row>
    <row r="65" spans="1:7">
      <c r="A65" s="406"/>
      <c r="B65" s="404" t="str">
        <f>+Mensajes!$B$12</f>
        <v>Recuerde que con 1 (una) cuotas vigentes impagas se restringirá el servicio.</v>
      </c>
      <c r="C65" s="280"/>
      <c r="D65" s="76"/>
      <c r="E65" s="76"/>
      <c r="F65" s="76"/>
      <c r="G65" s="382"/>
    </row>
    <row r="66" spans="1:7">
      <c r="A66" s="381"/>
      <c r="B66" s="108"/>
      <c r="C66" s="76"/>
      <c r="D66" s="76"/>
      <c r="E66" s="76"/>
      <c r="F66" s="76"/>
      <c r="G66" s="382"/>
    </row>
    <row r="67" spans="1:7" ht="13.5" thickBot="1">
      <c r="A67" s="386"/>
      <c r="B67" s="387" t="str">
        <f>IF(DSUM('14_1'!$A$12:$P$88,16,G55:G56)=COUNTIF('14_1'!$A$12:$A$88,G56),"","Regularice su Deuda")</f>
        <v>Regularice su Deuda</v>
      </c>
      <c r="C67" s="326"/>
      <c r="D67" s="326"/>
      <c r="E67" s="326"/>
      <c r="F67" s="326"/>
      <c r="G67" s="388"/>
    </row>
    <row r="68" spans="1:7" ht="13.5" thickBot="1"/>
    <row r="69" spans="1:7">
      <c r="A69" s="378"/>
      <c r="B69" s="379"/>
      <c r="C69" s="379"/>
      <c r="D69" s="379"/>
      <c r="E69" s="379"/>
      <c r="F69" s="379"/>
      <c r="G69" s="380"/>
    </row>
    <row r="70" spans="1:7">
      <c r="A70" s="381"/>
      <c r="B70" s="109" t="s">
        <v>82</v>
      </c>
      <c r="C70" s="76"/>
      <c r="D70" s="76"/>
      <c r="E70" s="76"/>
      <c r="F70" s="76"/>
      <c r="G70" s="382"/>
    </row>
    <row r="71" spans="1:7">
      <c r="A71" s="381"/>
      <c r="B71" s="76"/>
      <c r="C71" s="76"/>
      <c r="D71" s="76"/>
      <c r="E71" s="76"/>
      <c r="F71" s="76"/>
      <c r="G71" s="382"/>
    </row>
    <row r="72" spans="1:7">
      <c r="A72" s="381"/>
      <c r="B72" s="76" t="s">
        <v>182</v>
      </c>
      <c r="C72" s="76" t="str">
        <f>VLOOKUP(G73,'15_1'!$A$12:$G$25,7,0)</f>
        <v>CARBONI, ROBERTO FRANCISCO</v>
      </c>
      <c r="D72" s="76"/>
      <c r="E72" s="76"/>
      <c r="F72" s="76"/>
      <c r="G72" s="383" t="s">
        <v>134</v>
      </c>
    </row>
    <row r="73" spans="1:7">
      <c r="A73" s="381"/>
      <c r="B73" s="76" t="s">
        <v>91</v>
      </c>
      <c r="C73" s="76" t="str">
        <f>+'15_1'!$H$3</f>
        <v>Hijuela 2da. El Carmen Completa</v>
      </c>
      <c r="D73" s="76"/>
      <c r="E73" s="76"/>
      <c r="F73" s="76"/>
      <c r="G73" s="383">
        <v>5</v>
      </c>
    </row>
    <row r="74" spans="1:7">
      <c r="A74" s="381"/>
      <c r="B74" s="76"/>
      <c r="C74" s="76"/>
      <c r="D74" s="76"/>
      <c r="E74" s="76"/>
      <c r="F74" s="76"/>
      <c r="G74" s="382"/>
    </row>
    <row r="75" spans="1:7">
      <c r="A75" s="381"/>
      <c r="B75" s="635" t="s">
        <v>183</v>
      </c>
      <c r="C75" s="331">
        <f>VLOOKUP(G73,'15_1'!$A$12:$B$25,2,0)</f>
        <v>1252</v>
      </c>
      <c r="D75" s="76"/>
      <c r="E75" s="635" t="s">
        <v>184</v>
      </c>
      <c r="F75" s="397">
        <f>DSUM('15_1'!A$12:J$25,'15_1'!$J$12,G72:G73)</f>
        <v>0.19738723401174713</v>
      </c>
      <c r="G75" s="382"/>
    </row>
    <row r="76" spans="1:7">
      <c r="A76" s="381"/>
      <c r="B76" s="635" t="s">
        <v>185</v>
      </c>
      <c r="C76" s="374">
        <v>42</v>
      </c>
      <c r="D76" s="76"/>
      <c r="E76" s="635" t="s">
        <v>186</v>
      </c>
      <c r="F76" s="368" t="str">
        <f>IF(VLOOKUP(G73,'15_1'!$A$12:$D$25,4,0)=2,"Eventual 80%","Definitivo 100%")</f>
        <v>Eventual 80%</v>
      </c>
      <c r="G76" s="382"/>
    </row>
    <row r="77" spans="1:7">
      <c r="A77" s="381"/>
      <c r="B77" s="635" t="s">
        <v>187</v>
      </c>
      <c r="C77" s="375">
        <f>DSUM('15_1'!$A$12:$H$25,'15_1'!$H$12,G72:G73)</f>
        <v>3.6</v>
      </c>
      <c r="D77" s="76"/>
      <c r="E77" s="635" t="s">
        <v>188</v>
      </c>
      <c r="F77" s="369" t="str">
        <f>+Hijuelas!$G$5</f>
        <v>fracción</v>
      </c>
      <c r="G77" s="384"/>
    </row>
    <row r="78" spans="1:7" ht="15.75">
      <c r="A78" s="381"/>
      <c r="B78" s="76"/>
      <c r="C78" s="635" t="s">
        <v>189</v>
      </c>
      <c r="D78" s="107">
        <f>DMIN('15_1'!A$12:K$39,'15_1'!$K$12,G72:G73)</f>
        <v>42752.098378132585</v>
      </c>
      <c r="E78" s="127"/>
      <c r="F78" s="128">
        <f>WEEKDAY(D78)</f>
        <v>3</v>
      </c>
      <c r="G78" s="385"/>
    </row>
    <row r="79" spans="1:7" ht="15.75">
      <c r="A79" s="381"/>
      <c r="B79" s="76"/>
      <c r="C79" s="635" t="s">
        <v>190</v>
      </c>
      <c r="D79" s="107">
        <f>DMAX('15_1'!A$12:L$39,'15_1'!$L$12,G72:G73)</f>
        <v>42752.31659869993</v>
      </c>
      <c r="E79" s="127"/>
      <c r="F79" s="128">
        <f>WEEKDAY(D79)</f>
        <v>3</v>
      </c>
      <c r="G79" s="385"/>
    </row>
    <row r="80" spans="1:7">
      <c r="A80" s="381"/>
      <c r="B80" s="76"/>
      <c r="C80" s="76"/>
      <c r="D80" s="76"/>
      <c r="E80" s="76"/>
      <c r="F80" s="106"/>
      <c r="G80" s="384"/>
    </row>
    <row r="81" spans="1:7">
      <c r="A81" s="405"/>
      <c r="B81" s="404" t="str">
        <f>+Mensajes!$B$7</f>
        <v>PARA CUALQUIER MODIFICACION EN EL CUADRO DE TURNO COMUNIQUESE CON SU TOMERO</v>
      </c>
      <c r="C81" s="279"/>
      <c r="D81" s="76"/>
      <c r="E81" s="76"/>
      <c r="F81" s="76"/>
      <c r="G81" s="382"/>
    </row>
    <row r="82" spans="1:7">
      <c r="A82" s="406"/>
      <c r="B82" s="404" t="str">
        <f>+Mensajes!$B$12</f>
        <v>Recuerde que con 1 (una) cuotas vigentes impagas se restringirá el servicio.</v>
      </c>
      <c r="C82" s="280"/>
      <c r="D82" s="76"/>
      <c r="E82" s="76"/>
      <c r="F82" s="76"/>
      <c r="G82" s="382"/>
    </row>
    <row r="83" spans="1:7">
      <c r="A83" s="381"/>
      <c r="B83" s="108"/>
      <c r="C83" s="76"/>
      <c r="D83" s="76"/>
      <c r="E83" s="76"/>
      <c r="F83" s="76"/>
      <c r="G83" s="382"/>
    </row>
    <row r="84" spans="1:7" ht="13.5" thickBot="1">
      <c r="A84" s="386"/>
      <c r="B84" s="387" t="str">
        <f>IF(DSUM('14_1'!$A$12:$P$88,16,G72:G73)=COUNTIF('14_1'!$A$12:$A$88,G73),"","Regularice su Deuda")</f>
        <v/>
      </c>
      <c r="C84" s="326"/>
      <c r="D84" s="326"/>
      <c r="E84" s="326"/>
      <c r="F84" s="326"/>
      <c r="G84" s="388"/>
    </row>
    <row r="85" spans="1:7" ht="13.5" thickBot="1"/>
    <row r="86" spans="1:7">
      <c r="A86" s="378"/>
      <c r="B86" s="379"/>
      <c r="C86" s="379"/>
      <c r="D86" s="379"/>
      <c r="E86" s="379"/>
      <c r="F86" s="379"/>
      <c r="G86" s="380"/>
    </row>
    <row r="87" spans="1:7">
      <c r="A87" s="381"/>
      <c r="B87" s="109" t="s">
        <v>82</v>
      </c>
      <c r="C87" s="76"/>
      <c r="D87" s="76"/>
      <c r="E87" s="76"/>
      <c r="F87" s="76"/>
      <c r="G87" s="382"/>
    </row>
    <row r="88" spans="1:7">
      <c r="A88" s="381"/>
      <c r="B88" s="76"/>
      <c r="C88" s="76"/>
      <c r="D88" s="76"/>
      <c r="E88" s="76"/>
      <c r="F88" s="76"/>
      <c r="G88" s="382"/>
    </row>
    <row r="89" spans="1:7">
      <c r="A89" s="381"/>
      <c r="B89" s="76" t="s">
        <v>182</v>
      </c>
      <c r="C89" s="76" t="str">
        <f>VLOOKUP(G90,'15_1'!$A$12:$G$25,7,0)</f>
        <v xml:space="preserve">MASIERO, MAURICIO AMADEO </v>
      </c>
      <c r="D89" s="76"/>
      <c r="E89" s="76"/>
      <c r="F89" s="76"/>
      <c r="G89" s="383" t="s">
        <v>134</v>
      </c>
    </row>
    <row r="90" spans="1:7">
      <c r="A90" s="381"/>
      <c r="B90" s="76" t="s">
        <v>91</v>
      </c>
      <c r="C90" s="76" t="str">
        <f>+'15_1'!$H$3</f>
        <v>Hijuela 2da. El Carmen Completa</v>
      </c>
      <c r="D90" s="76"/>
      <c r="E90" s="76"/>
      <c r="F90" s="76"/>
      <c r="G90" s="383">
        <v>6</v>
      </c>
    </row>
    <row r="91" spans="1:7">
      <c r="A91" s="381"/>
      <c r="B91" s="76"/>
      <c r="C91" s="76"/>
      <c r="D91" s="76"/>
      <c r="E91" s="76"/>
      <c r="F91" s="76"/>
      <c r="G91" s="382"/>
    </row>
    <row r="92" spans="1:7">
      <c r="A92" s="381"/>
      <c r="B92" s="635" t="s">
        <v>183</v>
      </c>
      <c r="C92" s="331">
        <f>VLOOKUP(G90,'15_1'!$A$12:$B$25,2,0)</f>
        <v>1252</v>
      </c>
      <c r="D92" s="76"/>
      <c r="E92" s="635" t="s">
        <v>184</v>
      </c>
      <c r="F92" s="397">
        <f>DSUM('15_1'!A$12:J$25,'15_1'!$J$12,G89:G90)</f>
        <v>0</v>
      </c>
      <c r="G92" s="382"/>
    </row>
    <row r="93" spans="1:7">
      <c r="A93" s="381"/>
      <c r="B93" s="635" t="s">
        <v>185</v>
      </c>
      <c r="C93" s="374">
        <v>37</v>
      </c>
      <c r="D93" s="76"/>
      <c r="E93" s="635" t="s">
        <v>186</v>
      </c>
      <c r="F93" s="368" t="str">
        <f>IF(VLOOKUP(G90,'15_1'!$A$12:$D$25,4,0)=2,"Eventual 80%","Definitivo 100%")</f>
        <v>Eventual 80%</v>
      </c>
      <c r="G93" s="382"/>
    </row>
    <row r="94" spans="1:7">
      <c r="A94" s="381"/>
      <c r="B94" s="635" t="s">
        <v>187</v>
      </c>
      <c r="C94" s="375">
        <f>DSUM('15_1'!$A$12:$H$25,'15_1'!$H$12,G89:G90)</f>
        <v>0</v>
      </c>
      <c r="D94" s="76"/>
      <c r="E94" s="635" t="s">
        <v>188</v>
      </c>
      <c r="F94" s="369" t="str">
        <f>+Hijuelas!$G$5</f>
        <v>fracción</v>
      </c>
      <c r="G94" s="384"/>
    </row>
    <row r="95" spans="1:7" ht="15.75">
      <c r="A95" s="381"/>
      <c r="B95" s="76"/>
      <c r="C95" s="635" t="s">
        <v>189</v>
      </c>
      <c r="D95" s="107">
        <f>DMIN('15_1'!A$12:K$39,'15_1'!$K$12,G89:G90)</f>
        <v>42752.31659869993</v>
      </c>
      <c r="E95" s="127"/>
      <c r="F95" s="128">
        <f>WEEKDAY(D95)</f>
        <v>3</v>
      </c>
      <c r="G95" s="385"/>
    </row>
    <row r="96" spans="1:7" ht="15.75">
      <c r="A96" s="381"/>
      <c r="B96" s="76"/>
      <c r="C96" s="635" t="s">
        <v>190</v>
      </c>
      <c r="D96" s="107">
        <f>DMAX('15_1'!A$12:L$39,'15_1'!$L$12,G89:G90)</f>
        <v>42752.358265366594</v>
      </c>
      <c r="E96" s="127"/>
      <c r="F96" s="128">
        <f>WEEKDAY(D96)</f>
        <v>3</v>
      </c>
      <c r="G96" s="385"/>
    </row>
    <row r="97" spans="1:7">
      <c r="A97" s="381"/>
      <c r="B97" s="76"/>
      <c r="C97" s="76"/>
      <c r="D97" s="76"/>
      <c r="E97" s="76"/>
      <c r="F97" s="106"/>
      <c r="G97" s="384"/>
    </row>
    <row r="98" spans="1:7">
      <c r="A98" s="405"/>
      <c r="B98" s="404" t="str">
        <f>+Mensajes!$B$7</f>
        <v>PARA CUALQUIER MODIFICACION EN EL CUADRO DE TURNO COMUNIQUESE CON SU TOMERO</v>
      </c>
      <c r="C98" s="279"/>
      <c r="D98" s="76"/>
      <c r="E98" s="76"/>
      <c r="F98" s="76"/>
      <c r="G98" s="382"/>
    </row>
    <row r="99" spans="1:7">
      <c r="A99" s="406"/>
      <c r="B99" s="404" t="str">
        <f>+Mensajes!$B$12</f>
        <v>Recuerde que con 1 (una) cuotas vigentes impagas se restringirá el servicio.</v>
      </c>
      <c r="C99" s="280"/>
      <c r="D99" s="76"/>
      <c r="E99" s="76"/>
      <c r="F99" s="76"/>
      <c r="G99" s="382"/>
    </row>
    <row r="100" spans="1:7">
      <c r="A100" s="381"/>
      <c r="B100" s="108"/>
      <c r="C100" s="76"/>
      <c r="D100" s="76"/>
      <c r="E100" s="76"/>
      <c r="F100" s="76"/>
      <c r="G100" s="382"/>
    </row>
    <row r="101" spans="1:7" ht="13.5" thickBot="1">
      <c r="A101" s="386"/>
      <c r="B101" s="387" t="str">
        <f>IF(DSUM('14_1'!$A$12:$P$88,16,G89:G90)=COUNTIF('14_1'!$A$12:$A$88,G90),"","Regularice su Deuda")</f>
        <v/>
      </c>
      <c r="C101" s="326"/>
      <c r="D101" s="326"/>
      <c r="E101" s="326"/>
      <c r="F101" s="326"/>
      <c r="G101" s="388"/>
    </row>
    <row r="102" spans="1:7" ht="13.5" thickBot="1"/>
    <row r="103" spans="1:7">
      <c r="A103" s="378"/>
      <c r="B103" s="379"/>
      <c r="C103" s="379"/>
      <c r="D103" s="379"/>
      <c r="E103" s="379"/>
      <c r="F103" s="379"/>
      <c r="G103" s="380"/>
    </row>
    <row r="104" spans="1:7">
      <c r="A104" s="381"/>
      <c r="B104" s="109" t="s">
        <v>82</v>
      </c>
      <c r="C104" s="76"/>
      <c r="D104" s="76"/>
      <c r="E104" s="76"/>
      <c r="F104" s="76"/>
      <c r="G104" s="382"/>
    </row>
    <row r="105" spans="1:7">
      <c r="A105" s="381"/>
      <c r="B105" s="76"/>
      <c r="C105" s="76"/>
      <c r="D105" s="76"/>
      <c r="E105" s="76"/>
      <c r="F105" s="76"/>
      <c r="G105" s="382"/>
    </row>
    <row r="106" spans="1:7">
      <c r="A106" s="381"/>
      <c r="B106" s="76" t="s">
        <v>182</v>
      </c>
      <c r="C106" s="76" t="str">
        <f>VLOOKUP(G107,'15_1'!$A$12:$G$25,7,0)</f>
        <v xml:space="preserve">RODIGHIERO, JORGE </v>
      </c>
      <c r="D106" s="76"/>
      <c r="E106" s="76"/>
      <c r="F106" s="76"/>
      <c r="G106" s="383" t="s">
        <v>134</v>
      </c>
    </row>
    <row r="107" spans="1:7">
      <c r="A107" s="381"/>
      <c r="B107" s="76" t="s">
        <v>91</v>
      </c>
      <c r="C107" s="76" t="str">
        <f>+'15_1'!$H$3</f>
        <v>Hijuela 2da. El Carmen Completa</v>
      </c>
      <c r="D107" s="76"/>
      <c r="E107" s="76"/>
      <c r="F107" s="76"/>
      <c r="G107" s="383">
        <v>7</v>
      </c>
    </row>
    <row r="108" spans="1:7">
      <c r="A108" s="381"/>
      <c r="B108" s="76"/>
      <c r="C108" s="76"/>
      <c r="D108" s="76"/>
      <c r="E108" s="76"/>
      <c r="F108" s="76"/>
      <c r="G108" s="382"/>
    </row>
    <row r="109" spans="1:7">
      <c r="A109" s="381"/>
      <c r="B109" s="635" t="s">
        <v>183</v>
      </c>
      <c r="C109" s="331">
        <f>VLOOKUP(G107,'15_1'!$A$12:$B$25,2,0)</f>
        <v>1252</v>
      </c>
      <c r="D109" s="76"/>
      <c r="E109" s="635" t="s">
        <v>184</v>
      </c>
      <c r="F109" s="397">
        <f>DSUM('15_1'!A$12:J$25,'15_1'!$J$12,G106:G107)</f>
        <v>1.0965957445097063</v>
      </c>
      <c r="G109" s="382"/>
    </row>
    <row r="110" spans="1:7">
      <c r="A110" s="381"/>
      <c r="B110" s="635" t="s">
        <v>185</v>
      </c>
      <c r="C110" s="374" t="s">
        <v>512</v>
      </c>
      <c r="D110" s="76"/>
      <c r="E110" s="635" t="s">
        <v>186</v>
      </c>
      <c r="F110" s="368" t="str">
        <f>IF(VLOOKUP(G107,'15_1'!$A$12:$D$25,4,0)=2,"Eventual 80%","Definitivo 100%")</f>
        <v>Eventual 80%</v>
      </c>
      <c r="G110" s="382"/>
    </row>
    <row r="111" spans="1:7">
      <c r="A111" s="381"/>
      <c r="B111" s="635" t="s">
        <v>187</v>
      </c>
      <c r="C111" s="375">
        <f>DSUM('15_1'!$A$12:$H$25,'15_1'!$H$12,G106:G107)</f>
        <v>20</v>
      </c>
      <c r="D111" s="76"/>
      <c r="E111" s="635" t="s">
        <v>188</v>
      </c>
      <c r="F111" s="369" t="str">
        <f>+Hijuelas!$G$5</f>
        <v>fracción</v>
      </c>
      <c r="G111" s="384"/>
    </row>
    <row r="112" spans="1:7" ht="15.75">
      <c r="A112" s="381"/>
      <c r="B112" s="76"/>
      <c r="C112" s="635" t="s">
        <v>189</v>
      </c>
      <c r="D112" s="107">
        <f>DMIN('15_1'!A$12:K$39,'15_1'!$K$12,G106:G107)</f>
        <v>42752.358265366594</v>
      </c>
      <c r="E112" s="127"/>
      <c r="F112" s="128">
        <f>WEEKDAY(D112)</f>
        <v>3</v>
      </c>
      <c r="G112" s="385"/>
    </row>
    <row r="113" spans="1:7" ht="15.75">
      <c r="A113" s="381"/>
      <c r="B113" s="76"/>
      <c r="C113" s="635" t="s">
        <v>190</v>
      </c>
      <c r="D113" s="107">
        <f>DMAX('15_1'!A$12:L$39,'15_1'!$L$12,G106:G107)</f>
        <v>42753.538194444438</v>
      </c>
      <c r="E113" s="127"/>
      <c r="F113" s="128">
        <f>WEEKDAY(D113)</f>
        <v>4</v>
      </c>
      <c r="G113" s="385"/>
    </row>
    <row r="114" spans="1:7">
      <c r="A114" s="381"/>
      <c r="B114" s="76"/>
      <c r="C114" s="76"/>
      <c r="D114" s="76"/>
      <c r="E114" s="76"/>
      <c r="F114" s="106"/>
      <c r="G114" s="384"/>
    </row>
    <row r="115" spans="1:7">
      <c r="A115" s="405"/>
      <c r="B115" s="404" t="str">
        <f>+Mensajes!$B$7</f>
        <v>PARA CUALQUIER MODIFICACION EN EL CUADRO DE TURNO COMUNIQUESE CON SU TOMERO</v>
      </c>
      <c r="C115" s="279"/>
      <c r="D115" s="76"/>
      <c r="E115" s="76"/>
      <c r="F115" s="76"/>
      <c r="G115" s="382"/>
    </row>
    <row r="116" spans="1:7">
      <c r="A116" s="406"/>
      <c r="B116" s="404" t="str">
        <f>+Mensajes!$B$12</f>
        <v>Recuerde que con 1 (una) cuotas vigentes impagas se restringirá el servicio.</v>
      </c>
      <c r="C116" s="280"/>
      <c r="D116" s="76"/>
      <c r="E116" s="76"/>
      <c r="F116" s="76"/>
      <c r="G116" s="382"/>
    </row>
    <row r="117" spans="1:7">
      <c r="A117" s="381"/>
      <c r="B117" s="108"/>
      <c r="C117" s="76"/>
      <c r="D117" s="76"/>
      <c r="E117" s="76"/>
      <c r="F117" s="76"/>
      <c r="G117" s="382"/>
    </row>
    <row r="118" spans="1:7" ht="13.5" thickBot="1">
      <c r="A118" s="386"/>
      <c r="B118" s="387" t="str">
        <f>IF(DSUM('14_1'!$A$12:$P$88,16,G106:G107)=COUNTIF('14_1'!$A$12:$A$88,G107),"","Regularice su Deuda")</f>
        <v/>
      </c>
      <c r="C118" s="326"/>
      <c r="D118" s="326"/>
      <c r="E118" s="326"/>
      <c r="F118" s="326"/>
      <c r="G118" s="388"/>
    </row>
    <row r="127" spans="1:7">
      <c r="C127">
        <v>10</v>
      </c>
    </row>
    <row r="144" spans="3:3">
      <c r="C144">
        <v>6</v>
      </c>
    </row>
    <row r="161" spans="3:3">
      <c r="C161">
        <v>11</v>
      </c>
    </row>
    <row r="178" spans="3:3">
      <c r="C178">
        <v>49</v>
      </c>
    </row>
  </sheetData>
  <phoneticPr fontId="0" type="noConversion"/>
  <pageMargins left="0.59055118110236227" right="0.39370078740157483" top="0.15748031496062992" bottom="0.19685039370078741" header="0" footer="0"/>
  <pageSetup paperSize="9" scale="68" orientation="portrait" horizontalDpi="300" verticalDpi="300" r:id="rId1"/>
  <headerFooter alignWithMargins="0"/>
  <rowBreaks count="1" manualBreakCount="1">
    <brk id="85" max="6" man="1"/>
  </rowBreaks>
  <colBreaks count="1" manualBreakCount="1">
    <brk id="8" max="1048575" man="1"/>
  </col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40"/>
  <dimension ref="A1:T59"/>
  <sheetViews>
    <sheetView topLeftCell="A34" zoomScale="70" zoomScaleNormal="100" workbookViewId="0" xr3:uid="{8CA7FA36-F026-53D8-85D7-7434F22EA588}">
      <selection activeCell="A42" sqref="A42:IV43"/>
    </sheetView>
  </sheetViews>
  <sheetFormatPr defaultRowHeight="12.75"/>
  <cols>
    <col min="1" max="1" width="6.140625" bestFit="1" customWidth="1"/>
    <col min="2" max="2" width="5" customWidth="1"/>
    <col min="3" max="3" width="9.85546875" customWidth="1"/>
    <col min="4" max="4" width="8.7109375" bestFit="1" customWidth="1"/>
    <col min="5" max="5" width="14" customWidth="1"/>
    <col min="6" max="6" width="13.7109375" bestFit="1" customWidth="1"/>
    <col min="7" max="7" width="43.140625" customWidth="1"/>
    <col min="8" max="8" width="20" customWidth="1"/>
    <col min="9" max="9" width="8.42578125" bestFit="1" customWidth="1"/>
    <col min="10" max="10" width="11.85546875" customWidth="1"/>
    <col min="11" max="11" width="25.85546875" customWidth="1"/>
    <col min="12" max="12" width="23.140625" customWidth="1"/>
    <col min="13" max="13" width="45.140625" customWidth="1"/>
    <col min="14" max="14" width="18" bestFit="1" customWidth="1"/>
    <col min="15" max="15" width="7.5703125" customWidth="1"/>
    <col min="16" max="16" width="6.5703125" customWidth="1"/>
    <col min="17" max="17" width="9" customWidth="1"/>
    <col min="18" max="18" width="10.140625" customWidth="1"/>
    <col min="19" max="19" width="13.42578125" customWidth="1"/>
    <col min="20" max="256" width="11.42578125" customWidth="1"/>
  </cols>
  <sheetData>
    <row r="1" spans="1:20" ht="15">
      <c r="A1" s="99"/>
      <c r="B1" s="99"/>
      <c r="C1" s="683" t="s">
        <v>123</v>
      </c>
      <c r="D1" s="683"/>
      <c r="E1" s="683"/>
      <c r="F1" s="683"/>
      <c r="G1" s="683"/>
      <c r="H1" s="684" t="s">
        <v>522</v>
      </c>
      <c r="I1" s="684"/>
      <c r="J1" s="684"/>
      <c r="K1" s="684"/>
      <c r="L1" s="99"/>
      <c r="M1" s="99"/>
    </row>
    <row r="2" spans="1:20" ht="13.5" thickBo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0">
      <c r="A3" s="662" t="s">
        <v>124</v>
      </c>
      <c r="B3" s="663"/>
      <c r="C3" s="659">
        <f>+Hijuelas!D20</f>
        <v>42973.541666666664</v>
      </c>
      <c r="D3" s="667"/>
      <c r="E3" s="660"/>
      <c r="F3" s="305"/>
      <c r="G3" s="306" t="s">
        <v>125</v>
      </c>
      <c r="H3" s="520">
        <f>+Hijuelas!G4</f>
        <v>3.9895833333333335</v>
      </c>
      <c r="I3" s="318"/>
      <c r="J3" s="99"/>
      <c r="K3" s="99"/>
      <c r="L3" s="99"/>
      <c r="M3" s="99"/>
    </row>
    <row r="4" spans="1:20" ht="13.5" thickBot="1">
      <c r="A4" s="664" t="s">
        <v>126</v>
      </c>
      <c r="B4" s="665"/>
      <c r="C4" s="668">
        <f>+L10</f>
        <v>42977.531249999942</v>
      </c>
      <c r="D4" s="669"/>
      <c r="E4" s="670"/>
      <c r="F4" s="305"/>
      <c r="G4" s="265" t="s">
        <v>127</v>
      </c>
      <c r="H4" s="308">
        <v>0.22916666666666666</v>
      </c>
      <c r="I4" s="318"/>
      <c r="J4" s="305"/>
      <c r="K4" s="99"/>
      <c r="L4" s="99"/>
      <c r="M4" s="99"/>
    </row>
    <row r="5" spans="1:20" ht="13.5" thickBot="1">
      <c r="A5" s="99"/>
      <c r="B5" s="99"/>
      <c r="C5" s="99"/>
      <c r="D5" s="99"/>
      <c r="E5" s="99"/>
      <c r="F5" s="99"/>
      <c r="G5" s="310" t="s">
        <v>128</v>
      </c>
      <c r="H5" s="311">
        <f>+I56</f>
        <v>0.28472222222222221</v>
      </c>
      <c r="I5" s="318"/>
      <c r="J5" s="99"/>
      <c r="K5" s="99"/>
      <c r="L5" s="99"/>
      <c r="M5" s="99"/>
    </row>
    <row r="6" spans="1:20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20">
      <c r="A7" s="666" t="s">
        <v>129</v>
      </c>
      <c r="B7" s="666"/>
      <c r="C7" s="312">
        <f>+H3-H4-H5</f>
        <v>3.4756944444444446</v>
      </c>
      <c r="D7" s="636" t="s">
        <v>130</v>
      </c>
      <c r="E7" s="313">
        <f>+C7*60</f>
        <v>208.54166666666669</v>
      </c>
      <c r="F7" s="636" t="s">
        <v>131</v>
      </c>
      <c r="G7" s="315">
        <f>+H56</f>
        <v>389.67359999999996</v>
      </c>
      <c r="H7" s="636" t="s">
        <v>132</v>
      </c>
      <c r="I7" s="312">
        <f>+E7/G7</f>
        <v>0.53517011844442808</v>
      </c>
      <c r="J7" s="99"/>
      <c r="K7" s="99"/>
      <c r="L7" s="99"/>
      <c r="M7" s="99"/>
    </row>
    <row r="8" spans="1:20" ht="13.5" thickBot="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76"/>
      <c r="N8" s="10"/>
      <c r="O8" s="10"/>
      <c r="P8" s="13"/>
      <c r="Q8" s="13"/>
      <c r="R8" s="13"/>
      <c r="S8" s="255"/>
      <c r="T8" s="255"/>
    </row>
    <row r="9" spans="1:20" ht="20.100000000000001" customHeight="1" thickBot="1">
      <c r="A9" s="288" t="s">
        <v>134</v>
      </c>
      <c r="B9" s="285" t="s">
        <v>135</v>
      </c>
      <c r="C9" s="285" t="s">
        <v>136</v>
      </c>
      <c r="D9" s="285" t="s">
        <v>137</v>
      </c>
      <c r="E9" s="285" t="s">
        <v>138</v>
      </c>
      <c r="F9" s="285" t="s">
        <v>192</v>
      </c>
      <c r="G9" s="285" t="s">
        <v>140</v>
      </c>
      <c r="H9" s="285" t="s">
        <v>257</v>
      </c>
      <c r="I9" s="285" t="s">
        <v>142</v>
      </c>
      <c r="J9" s="285" t="s">
        <v>143</v>
      </c>
      <c r="K9" s="285" t="s">
        <v>193</v>
      </c>
      <c r="L9" s="285" t="s">
        <v>194</v>
      </c>
      <c r="M9" s="285" t="s">
        <v>146</v>
      </c>
      <c r="N9" s="286" t="s">
        <v>195</v>
      </c>
      <c r="O9" s="285" t="s">
        <v>148</v>
      </c>
      <c r="P9" s="285" t="s">
        <v>149</v>
      </c>
      <c r="Q9" s="285" t="s">
        <v>150</v>
      </c>
      <c r="R9" s="285" t="s">
        <v>151</v>
      </c>
      <c r="S9" s="285" t="s">
        <v>152</v>
      </c>
      <c r="T9" s="287" t="s">
        <v>153</v>
      </c>
    </row>
    <row r="10" spans="1:20" s="73" customFormat="1" ht="27" customHeight="1" thickTop="1">
      <c r="A10" s="247">
        <v>1</v>
      </c>
      <c r="B10" s="244">
        <v>1253</v>
      </c>
      <c r="C10" s="244">
        <v>11</v>
      </c>
      <c r="D10" s="244">
        <v>2</v>
      </c>
      <c r="E10" s="245">
        <v>20.555399999999999</v>
      </c>
      <c r="F10" s="245" t="str">
        <f>IF(P10=0,"NO",IF(P10=1,"SI","CONDICIONAL"))</f>
        <v>SI</v>
      </c>
      <c r="G10" s="246" t="s">
        <v>523</v>
      </c>
      <c r="H10" s="125">
        <f>IF(Hijuelas!$G$5="fracción",IF(F10="NO",0,IF(Hijuelas!$G$6="si",IF(D10=1,E10,E10*0.8),E10)),IF(F10="NO",0,IF(Hijuelas!$G$6="si",IF(D10=1,ROUNDUP(E10,0),ROUNDUP(E10*0.8,0)),ROUNDUP(E10,0))))</f>
        <v>16.444320000000001</v>
      </c>
      <c r="I10" s="350">
        <v>0</v>
      </c>
      <c r="J10" s="269">
        <f t="shared" ref="J10:J39" si="0">+$I$7/60*H10</f>
        <v>0.14667514470230128</v>
      </c>
      <c r="K10" s="341">
        <f t="shared" ref="K10:K53" si="1">+L11</f>
        <v>42977.384574855241</v>
      </c>
      <c r="L10" s="95">
        <f t="shared" ref="L10:L53" si="2">+K10+J10+I10</f>
        <v>42977.531249999942</v>
      </c>
      <c r="M10" s="242"/>
      <c r="N10" s="242"/>
      <c r="O10" s="242" t="str">
        <f t="shared" ref="O10:O39" si="3">+CONCATENATE(B10,C10)</f>
        <v>125311</v>
      </c>
      <c r="P10" s="259">
        <f>VLOOKUP(O10,deuda!$A$1:$H$501,4,0)</f>
        <v>1</v>
      </c>
      <c r="Q10" s="259">
        <f>VLOOKUP(O10,deuda!A31:J529,5,0)</f>
        <v>0</v>
      </c>
      <c r="R10" s="131" t="str">
        <f>IF(VLOOKUP(O10,deuda!A31:J529,6,0)=0,"",VLOOKUP(O10,deuda!A31:J529,6,0))</f>
        <v/>
      </c>
      <c r="S10" s="531" t="str">
        <f>IF((VLOOKUP(O10,deuda!A31:J529,7,0))=0,"",VLOOKUP(O10,deuda!A31:J529,7,0))</f>
        <v/>
      </c>
      <c r="T10" s="532" t="str">
        <f>IF((VLOOKUP(O10,deuda!A31:J529,8,0))=0,"",VLOOKUP(O10,deuda!A31:J529,8,0))</f>
        <v/>
      </c>
    </row>
    <row r="11" spans="1:20" s="73" customFormat="1" ht="27" customHeight="1">
      <c r="A11" s="248">
        <v>1</v>
      </c>
      <c r="B11" s="179">
        <v>1253</v>
      </c>
      <c r="C11" s="179">
        <v>75</v>
      </c>
      <c r="D11" s="179">
        <v>2</v>
      </c>
      <c r="E11" s="20">
        <v>5.6055999999999999</v>
      </c>
      <c r="F11" s="245" t="str">
        <f>IF(P11=0,"NO",IF(P11=1,"SI","CONDICIONAL"))</f>
        <v>SI</v>
      </c>
      <c r="G11" s="236" t="s">
        <v>524</v>
      </c>
      <c r="H11" s="125">
        <f>IF(Hijuelas!$G$5="fracción",IF(F11="NO",0,IF(Hijuelas!$G$6="si",IF(D11=1,E11,E11*0.8),E11)),IF(F11="NO",0,IF(Hijuelas!$G$6="si",IF(D11=1,ROUNDUP(E11,0),ROUNDUP(E11*0.8,0)),ROUNDUP(E11,0))))</f>
        <v>4.4844800000000005</v>
      </c>
      <c r="I11" s="350">
        <v>0</v>
      </c>
      <c r="J11" s="269">
        <f t="shared" si="0"/>
        <v>3.9999328212694481E-2</v>
      </c>
      <c r="K11" s="341">
        <f t="shared" si="1"/>
        <v>42977.34457552703</v>
      </c>
      <c r="L11" s="95">
        <f t="shared" si="2"/>
        <v>42977.384574855241</v>
      </c>
      <c r="M11" s="71"/>
      <c r="N11" s="71"/>
      <c r="O11" s="242" t="str">
        <f t="shared" si="3"/>
        <v>125375</v>
      </c>
      <c r="P11" s="259">
        <f>VLOOKUP(O11,deuda!$A$1:$H$501,4,0)</f>
        <v>1</v>
      </c>
      <c r="Q11" s="259">
        <f>VLOOKUP(O11,deuda!A32:J530,5,0)</f>
        <v>0</v>
      </c>
      <c r="R11" s="131" t="str">
        <f>IF(VLOOKUP(O11,deuda!A32:J530,6,0)=0,"",VLOOKUP(O11,deuda!A32:J530,6,0))</f>
        <v/>
      </c>
      <c r="S11" s="531" t="str">
        <f>IF((VLOOKUP(O11,deuda!A32:J530,7,0))=0,"",VLOOKUP(O11,deuda!A32:J530,7,0))</f>
        <v/>
      </c>
      <c r="T11" s="532" t="str">
        <f>IF((VLOOKUP(O11,deuda!A32:J530,8,0))=0,"",VLOOKUP(O11,deuda!A32:J530,8,0))</f>
        <v/>
      </c>
    </row>
    <row r="12" spans="1:20" ht="27" customHeight="1">
      <c r="A12" s="24">
        <v>2</v>
      </c>
      <c r="B12" s="250">
        <v>1253</v>
      </c>
      <c r="C12" s="250">
        <v>7</v>
      </c>
      <c r="D12" s="250">
        <v>2</v>
      </c>
      <c r="E12" s="9">
        <v>72.067300000000003</v>
      </c>
      <c r="F12" s="85" t="str">
        <f>IF(P12=0,"NO",IF(P12=1,"SI","CONDICIONAL"))</f>
        <v>SI</v>
      </c>
      <c r="G12" s="38" t="s">
        <v>525</v>
      </c>
      <c r="H12" s="125">
        <f>IF(Hijuelas!$G$5="fracción",IF(F12="NO",0,IF(Hijuelas!$G$6="si",IF(D12=1,E12,E12*0.8),E12)),IF(F12="NO",0,IF(Hijuelas!$G$6="si",IF(D12=1,ROUNDUP(E12,0),ROUNDUP(E12*0.8,0)),ROUNDUP(E12,0))))</f>
        <v>57.653840000000002</v>
      </c>
      <c r="I12" s="269">
        <v>2.0833333333333332E-2</v>
      </c>
      <c r="J12" s="269">
        <f t="shared" si="0"/>
        <v>0.51424353969293501</v>
      </c>
      <c r="K12" s="341">
        <f t="shared" si="1"/>
        <v>42976.809498654002</v>
      </c>
      <c r="L12" s="95">
        <f t="shared" si="2"/>
        <v>42977.34457552703</v>
      </c>
      <c r="M12" s="5"/>
      <c r="N12" s="5"/>
      <c r="O12" s="242" t="str">
        <f t="shared" si="3"/>
        <v>12537</v>
      </c>
      <c r="P12" s="259">
        <f>VLOOKUP(O12,deuda!$A$1:$H$501,4,0)</f>
        <v>1</v>
      </c>
      <c r="Q12" s="259">
        <f>VLOOKUP(O12,deuda!A18:J516,5,0)</f>
        <v>0</v>
      </c>
      <c r="R12" s="131" t="str">
        <f>IF(VLOOKUP(O12,deuda!A18:J516,6,0)=0,"",VLOOKUP(O12,deuda!A18:J516,6,0))</f>
        <v/>
      </c>
      <c r="S12" s="531" t="str">
        <f>IF((VLOOKUP(O12,deuda!A18:J516,7,0))=0,"",VLOOKUP(O12,deuda!A18:J516,7,0))</f>
        <v/>
      </c>
      <c r="T12" s="532" t="str">
        <f>IF((VLOOKUP(O12,deuda!A18:J516,8,0))=0,"",VLOOKUP(O12,deuda!A18:J516,8,0))</f>
        <v/>
      </c>
    </row>
    <row r="13" spans="1:20" ht="27" customHeight="1">
      <c r="A13" s="24">
        <v>3</v>
      </c>
      <c r="B13" s="250">
        <v>1253</v>
      </c>
      <c r="C13" s="250">
        <v>120</v>
      </c>
      <c r="D13" s="250">
        <v>2</v>
      </c>
      <c r="E13" s="9">
        <v>9.4453999999999994</v>
      </c>
      <c r="F13" s="85" t="str">
        <f>IF(P13=0,"NO",IF(P13=1,"SI","CONDICIONAL"))</f>
        <v>SI</v>
      </c>
      <c r="G13" s="38" t="s">
        <v>216</v>
      </c>
      <c r="H13" s="125">
        <f>IF(Hijuelas!$G$5="fracción",IF(F13="NO",0,IF(Hijuelas!$G$6="si",IF(D13=1,E13,E13*0.8),E13)),IF(F13="NO",0,IF(Hijuelas!$G$6="si",IF(D13=1,ROUNDUP(E13,0),ROUNDUP(E13*0.8,0)),ROUNDUP(E13,0))))</f>
        <v>7.5563199999999995</v>
      </c>
      <c r="I13" s="269">
        <v>2.0833333333333332E-2</v>
      </c>
      <c r="J13" s="269">
        <f t="shared" si="0"/>
        <v>6.7398611156733332E-2</v>
      </c>
      <c r="K13" s="341">
        <f t="shared" si="1"/>
        <v>42976.721266709508</v>
      </c>
      <c r="L13" s="95">
        <f t="shared" si="2"/>
        <v>42976.809498654002</v>
      </c>
      <c r="M13" s="5"/>
      <c r="N13" s="5"/>
      <c r="O13" s="242" t="str">
        <f t="shared" si="3"/>
        <v>1253120</v>
      </c>
      <c r="P13" s="259">
        <f>VLOOKUP(O13,deuda!$A$1:$H$501,4,0)</f>
        <v>1</v>
      </c>
      <c r="Q13" s="259">
        <f>VLOOKUP(O13,deuda!A20:J518,5,0)</f>
        <v>0</v>
      </c>
      <c r="R13" s="131" t="str">
        <f>IF(VLOOKUP(O13,deuda!A20:J518,6,0)=0,"",VLOOKUP(O13,deuda!A20:J518,6,0))</f>
        <v/>
      </c>
      <c r="S13" s="531" t="str">
        <f>IF((VLOOKUP(O13,deuda!A20:J518,7,0))=0,"",VLOOKUP(O13,deuda!A20:J518,7,0))</f>
        <v/>
      </c>
      <c r="T13" s="532" t="str">
        <f>IF((VLOOKUP(O13,deuda!A20:J518,8,0))=0,"",VLOOKUP(O13,deuda!A20:J518,8,0))</f>
        <v/>
      </c>
    </row>
    <row r="14" spans="1:20" ht="27" customHeight="1">
      <c r="A14" s="24">
        <v>4</v>
      </c>
      <c r="B14" s="250">
        <v>1253</v>
      </c>
      <c r="C14" s="250">
        <v>21</v>
      </c>
      <c r="D14" s="250">
        <v>2</v>
      </c>
      <c r="E14" s="9">
        <v>15</v>
      </c>
      <c r="F14" s="85" t="str">
        <f>IF(P14=0,"NO",IF(P14=1,"SI","CONDICIONAL"))</f>
        <v>SI</v>
      </c>
      <c r="G14" s="38" t="s">
        <v>526</v>
      </c>
      <c r="H14" s="125">
        <f>IF(Hijuelas!$G$5="fracción",IF(F14="NO",0,IF(Hijuelas!$G$6="si",IF(D14=1,E14,E14*0.8),E14)),IF(F14="NO",0,IF(Hijuelas!$G$6="si",IF(D14=1,ROUNDUP(E14,0),ROUNDUP(E14*0.8,0)),ROUNDUP(E14,0))))</f>
        <v>12</v>
      </c>
      <c r="I14" s="269">
        <v>0</v>
      </c>
      <c r="J14" s="269">
        <f t="shared" si="0"/>
        <v>0.10703402368888561</v>
      </c>
      <c r="K14" s="341">
        <f t="shared" si="1"/>
        <v>42976.614232685817</v>
      </c>
      <c r="L14" s="95">
        <f t="shared" si="2"/>
        <v>42976.721266709508</v>
      </c>
      <c r="M14" s="5"/>
      <c r="N14" s="5"/>
      <c r="O14" s="242" t="str">
        <f t="shared" si="3"/>
        <v>125321</v>
      </c>
      <c r="P14" s="259">
        <f>VLOOKUP(O14,deuda!$A$1:$H$501,4,0)</f>
        <v>1</v>
      </c>
      <c r="Q14" s="259">
        <f>VLOOKUP(O14,deuda!A23:J521,5,0)</f>
        <v>0</v>
      </c>
      <c r="R14" s="131" t="str">
        <f>IF(VLOOKUP(O14,deuda!A23:J521,6,0)=0,"",VLOOKUP(O14,deuda!A23:J521,6,0))</f>
        <v/>
      </c>
      <c r="S14" s="531" t="str">
        <f>IF((VLOOKUP(O14,deuda!A23:J521,7,0))=0,"",VLOOKUP(O14,deuda!A23:J521,7,0))</f>
        <v/>
      </c>
      <c r="T14" s="532" t="str">
        <f>IF((VLOOKUP(O14,deuda!A23:J521,8,0))=0,"",VLOOKUP(O14,deuda!A23:J521,8,0))</f>
        <v/>
      </c>
    </row>
    <row r="15" spans="1:20" ht="27" customHeight="1">
      <c r="A15" s="24">
        <v>5</v>
      </c>
      <c r="B15" s="250">
        <v>1253</v>
      </c>
      <c r="C15" s="250">
        <v>22</v>
      </c>
      <c r="D15" s="250">
        <v>2</v>
      </c>
      <c r="E15" s="9">
        <v>5</v>
      </c>
      <c r="F15" s="85" t="s">
        <v>90</v>
      </c>
      <c r="G15" s="38" t="s">
        <v>527</v>
      </c>
      <c r="H15" s="125">
        <f>IF(Hijuelas!$G$5="fracción",IF(F15="NO",0,IF(Hijuelas!$G$6="si",IF(D15=1,E15,E15*0.8),E15)),IF(F15="NO",0,IF(Hijuelas!$G$6="si",IF(D15=1,ROUNDUP(E15,0),ROUNDUP(E15*0.8,0)),ROUNDUP(E15,0))))</f>
        <v>4</v>
      </c>
      <c r="I15" s="269">
        <v>0</v>
      </c>
      <c r="J15" s="269">
        <f t="shared" si="0"/>
        <v>3.5678007896295202E-2</v>
      </c>
      <c r="K15" s="341">
        <f t="shared" si="1"/>
        <v>42976.578554677923</v>
      </c>
      <c r="L15" s="95">
        <f t="shared" si="2"/>
        <v>42976.614232685817</v>
      </c>
      <c r="M15" s="5"/>
      <c r="N15" s="5"/>
      <c r="O15" s="242" t="str">
        <f t="shared" si="3"/>
        <v>125322</v>
      </c>
      <c r="P15" s="259">
        <f>VLOOKUP(O15,deuda!$A$1:$H$501,4,0)</f>
        <v>1</v>
      </c>
      <c r="Q15" s="259">
        <f>VLOOKUP(O15,deuda!A24:J522,5,0)</f>
        <v>2</v>
      </c>
      <c r="R15" s="131" t="str">
        <f>IF(VLOOKUP(O15,deuda!A24:J522,6,0)=0,"",VLOOKUP(O15,deuda!A24:J522,6,0))</f>
        <v/>
      </c>
      <c r="S15" s="531" t="str">
        <f>IF((VLOOKUP(O15,deuda!A24:J522,7,0))=0,"",VLOOKUP(O15,deuda!A24:J522,7,0))</f>
        <v/>
      </c>
      <c r="T15" s="532" t="str">
        <f>IF((VLOOKUP(O15,deuda!A24:J522,8,0))=0,"",VLOOKUP(O15,deuda!A24:J522,8,0))</f>
        <v/>
      </c>
    </row>
    <row r="16" spans="1:20" s="73" customFormat="1" ht="27" customHeight="1">
      <c r="A16" s="248">
        <v>6</v>
      </c>
      <c r="B16" s="179">
        <v>1253</v>
      </c>
      <c r="C16" s="179">
        <v>26</v>
      </c>
      <c r="D16" s="179">
        <v>2</v>
      </c>
      <c r="E16" s="20">
        <v>5</v>
      </c>
      <c r="F16" s="245" t="str">
        <f t="shared" ref="F16:F48" si="4">IF(P16=0,"NO",IF(P16=1,"SI","CONDICIONAL"))</f>
        <v>SI</v>
      </c>
      <c r="G16" s="236" t="s">
        <v>528</v>
      </c>
      <c r="H16" s="125">
        <f>IF(Hijuelas!$G$5="fracción",IF(F16="NO",0,IF(Hijuelas!$G$6="si",IF(D16=1,E16,E16*0.8),E16)),IF(F16="NO",0,IF(Hijuelas!$G$6="si",IF(D16=1,ROUNDUP(E16,0),ROUNDUP(E16*0.8,0)),ROUNDUP(E16,0))))</f>
        <v>4</v>
      </c>
      <c r="I16" s="350">
        <v>0</v>
      </c>
      <c r="J16" s="269">
        <f t="shared" si="0"/>
        <v>3.5678007896295202E-2</v>
      </c>
      <c r="K16" s="341">
        <f t="shared" si="1"/>
        <v>42976.542876670028</v>
      </c>
      <c r="L16" s="95">
        <f t="shared" si="2"/>
        <v>42976.578554677923</v>
      </c>
      <c r="M16" s="71"/>
      <c r="N16" s="71"/>
      <c r="O16" s="242" t="str">
        <f t="shared" si="3"/>
        <v>125326</v>
      </c>
      <c r="P16" s="259">
        <f>VLOOKUP(O16,deuda!$A$1:$H$501,4,0)</f>
        <v>1</v>
      </c>
      <c r="Q16" s="259">
        <f>VLOOKUP(O16,deuda!A58:J556,5,0)</f>
        <v>0</v>
      </c>
      <c r="R16" s="131" t="str">
        <f>IF(VLOOKUP(O16,deuda!A58:J556,6,0)=0,"",VLOOKUP(O16,deuda!A58:J556,6,0))</f>
        <v/>
      </c>
      <c r="S16" s="531" t="str">
        <f>IF((VLOOKUP(O16,deuda!A58:J556,7,0))=0,"",VLOOKUP(O16,deuda!A58:J556,7,0))</f>
        <v/>
      </c>
      <c r="T16" s="532" t="str">
        <f>IF((VLOOKUP(O16,deuda!A58:J556,8,0))=0,"",VLOOKUP(O16,deuda!A58:J556,8,0))</f>
        <v/>
      </c>
    </row>
    <row r="17" spans="1:20" ht="27" customHeight="1">
      <c r="A17" s="24">
        <v>7</v>
      </c>
      <c r="B17" s="250">
        <v>1253</v>
      </c>
      <c r="C17" s="250">
        <v>84</v>
      </c>
      <c r="D17" s="250">
        <v>2</v>
      </c>
      <c r="E17" s="9">
        <v>3</v>
      </c>
      <c r="F17" s="85" t="str">
        <f t="shared" si="4"/>
        <v>SI</v>
      </c>
      <c r="G17" s="38" t="s">
        <v>529</v>
      </c>
      <c r="H17" s="125">
        <f>IF(Hijuelas!$G$5="fracción",IF(F17="NO",0,IF(Hijuelas!$G$6="si",IF(D17=1,E17,E17*0.8),E17)),IF(F17="NO",0,IF(Hijuelas!$G$6="si",IF(D17=1,ROUNDUP(E17,0),ROUNDUP(E17*0.8,0)),ROUNDUP(E17,0))))</f>
        <v>2.4000000000000004</v>
      </c>
      <c r="I17" s="269">
        <v>0</v>
      </c>
      <c r="J17" s="269">
        <f t="shared" si="0"/>
        <v>2.1406804737777126E-2</v>
      </c>
      <c r="K17" s="341">
        <f t="shared" si="1"/>
        <v>42976.521469865293</v>
      </c>
      <c r="L17" s="95">
        <f t="shared" si="2"/>
        <v>42976.542876670028</v>
      </c>
      <c r="M17" s="5"/>
      <c r="N17" s="5"/>
      <c r="O17" s="242" t="str">
        <f t="shared" si="3"/>
        <v>125384</v>
      </c>
      <c r="P17" s="259">
        <f>VLOOKUP(O17,deuda!$A$1:$H$501,4,0)</f>
        <v>1</v>
      </c>
      <c r="Q17" s="259">
        <f>VLOOKUP(O17,deuda!A27:J525,5,0)</f>
        <v>0</v>
      </c>
      <c r="R17" s="131" t="str">
        <f>IF(VLOOKUP(O17,deuda!A27:J525,6,0)=0,"",VLOOKUP(O17,deuda!A27:J525,6,0))</f>
        <v/>
      </c>
      <c r="S17" s="531" t="str">
        <f>IF((VLOOKUP(O17,deuda!A27:J525,7,0))=0,"",VLOOKUP(O17,deuda!A27:J525,7,0))</f>
        <v/>
      </c>
      <c r="T17" s="532" t="str">
        <f>IF((VLOOKUP(O17,deuda!A27:J525,8,0))=0,"",VLOOKUP(O17,deuda!A27:J525,8,0))</f>
        <v/>
      </c>
    </row>
    <row r="18" spans="1:20" ht="27" customHeight="1">
      <c r="A18" s="24">
        <v>7</v>
      </c>
      <c r="B18" s="250">
        <v>1253</v>
      </c>
      <c r="C18" s="250">
        <v>64</v>
      </c>
      <c r="D18" s="250">
        <v>2</v>
      </c>
      <c r="E18" s="9">
        <v>7</v>
      </c>
      <c r="F18" s="85" t="str">
        <f t="shared" si="4"/>
        <v>SI</v>
      </c>
      <c r="G18" s="38" t="s">
        <v>530</v>
      </c>
      <c r="H18" s="125">
        <f>IF(Hijuelas!$G$5="fracción",IF(F18="NO",0,IF(Hijuelas!$G$6="si",IF(D18=1,E18,E18*0.8),E18)),IF(F18="NO",0,IF(Hijuelas!$G$6="si",IF(D18=1,ROUNDUP(E18,0),ROUNDUP(E18*0.8,0)),ROUNDUP(E18,0))))</f>
        <v>5.6000000000000005</v>
      </c>
      <c r="I18" s="269">
        <f>H18*$I$82</f>
        <v>0</v>
      </c>
      <c r="J18" s="269">
        <f t="shared" si="0"/>
        <v>4.9949211054813286E-2</v>
      </c>
      <c r="K18" s="341">
        <f t="shared" si="1"/>
        <v>42976.471520654239</v>
      </c>
      <c r="L18" s="95">
        <f t="shared" si="2"/>
        <v>42976.521469865293</v>
      </c>
      <c r="M18" s="5"/>
      <c r="N18" s="5"/>
      <c r="O18" s="242" t="str">
        <f t="shared" si="3"/>
        <v>125364</v>
      </c>
      <c r="P18" s="259">
        <f>VLOOKUP(O18,deuda!$A$1:$H$501,4,0)</f>
        <v>1</v>
      </c>
      <c r="Q18" s="259">
        <f>VLOOKUP(O18,deuda!A28:J526,5,0)</f>
        <v>0</v>
      </c>
      <c r="R18" s="131" t="str">
        <f>IF(VLOOKUP(O18,deuda!A28:J526,6,0)=0,"",VLOOKUP(O18,deuda!A28:J526,6,0))</f>
        <v/>
      </c>
      <c r="S18" s="531" t="str">
        <f>IF((VLOOKUP(O18,deuda!A28:J526,7,0))=0,"",VLOOKUP(O18,deuda!A28:J526,7,0))</f>
        <v/>
      </c>
      <c r="T18" s="532" t="str">
        <f>IF((VLOOKUP(O18,deuda!A28:J526,8,0))=0,"",VLOOKUP(O18,deuda!A28:J526,8,0))</f>
        <v/>
      </c>
    </row>
    <row r="19" spans="1:20" ht="27" customHeight="1">
      <c r="A19" s="24">
        <v>7</v>
      </c>
      <c r="B19" s="250">
        <v>1253</v>
      </c>
      <c r="C19" s="250">
        <v>10</v>
      </c>
      <c r="D19" s="250">
        <v>2</v>
      </c>
      <c r="E19" s="9">
        <v>5.68</v>
      </c>
      <c r="F19" s="85" t="str">
        <f t="shared" si="4"/>
        <v>SI</v>
      </c>
      <c r="G19" s="38" t="s">
        <v>531</v>
      </c>
      <c r="H19" s="125">
        <f>IF(Hijuelas!$G$5="fracción",IF(F19="NO",0,IF(Hijuelas!$G$6="si",IF(D19=1,E19,E19*0.8),E19)),IF(F19="NO",0,IF(Hijuelas!$G$6="si",IF(D19=1,ROUNDUP(E19,0),ROUNDUP(E19*0.8,0)),ROUNDUP(E19,0))))</f>
        <v>4.5439999999999996</v>
      </c>
      <c r="I19" s="269">
        <v>0</v>
      </c>
      <c r="J19" s="269">
        <f t="shared" si="0"/>
        <v>4.0530216970191345E-2</v>
      </c>
      <c r="K19" s="341">
        <f t="shared" si="1"/>
        <v>42976.430990437271</v>
      </c>
      <c r="L19" s="95">
        <f t="shared" si="2"/>
        <v>42976.471520654239</v>
      </c>
      <c r="M19" s="5"/>
      <c r="N19" s="5"/>
      <c r="O19" s="242" t="str">
        <f t="shared" si="3"/>
        <v>125310</v>
      </c>
      <c r="P19" s="259">
        <f>VLOOKUP(O19,deuda!$A$1:$H$501,4,0)</f>
        <v>1</v>
      </c>
      <c r="Q19" s="259">
        <f>VLOOKUP(O19,deuda!A26:J524,5,0)</f>
        <v>0</v>
      </c>
      <c r="R19" s="131" t="str">
        <f>IF(VLOOKUP(O19,deuda!A26:J524,6,0)=0,"",VLOOKUP(O19,deuda!A26:J524,6,0))</f>
        <v/>
      </c>
      <c r="S19" s="531" t="str">
        <f>IF((VLOOKUP(O19,deuda!A26:J524,7,0))=0,"",VLOOKUP(O19,deuda!A26:J524,7,0))</f>
        <v/>
      </c>
      <c r="T19" s="532" t="str">
        <f>IF((VLOOKUP(O19,deuda!A26:J524,8,0))=0,"",VLOOKUP(O19,deuda!A26:J524,8,0))</f>
        <v/>
      </c>
    </row>
    <row r="20" spans="1:20" ht="27" customHeight="1">
      <c r="A20" s="24">
        <v>8</v>
      </c>
      <c r="B20" s="250">
        <v>1253</v>
      </c>
      <c r="C20" s="250">
        <v>106</v>
      </c>
      <c r="D20" s="250">
        <v>2</v>
      </c>
      <c r="E20" s="9">
        <v>3.9</v>
      </c>
      <c r="F20" s="85" t="str">
        <f t="shared" si="4"/>
        <v>SI</v>
      </c>
      <c r="G20" s="38" t="s">
        <v>532</v>
      </c>
      <c r="H20" s="125">
        <f>IF(Hijuelas!$G$5="fracción",IF(F20="NO",0,IF(Hijuelas!$G$6="si",IF(D20=1,E20,E20*0.8),E20)),IF(F20="NO",0,IF(Hijuelas!$G$6="si",IF(D20=1,ROUNDUP(E20,0),ROUNDUP(E20*0.8,0)),ROUNDUP(E20,0))))</f>
        <v>3.12</v>
      </c>
      <c r="I20" s="269">
        <v>0</v>
      </c>
      <c r="J20" s="269">
        <f t="shared" si="0"/>
        <v>2.7828846159110261E-2</v>
      </c>
      <c r="K20" s="341">
        <f t="shared" si="1"/>
        <v>42976.403161591115</v>
      </c>
      <c r="L20" s="95">
        <f t="shared" si="2"/>
        <v>42976.430990437271</v>
      </c>
      <c r="M20" s="5"/>
      <c r="N20" s="5"/>
      <c r="O20" s="242" t="str">
        <f t="shared" si="3"/>
        <v>1253106</v>
      </c>
      <c r="P20" s="259">
        <f>VLOOKUP(O20,deuda!$A$1:$H$501,4,0)</f>
        <v>1</v>
      </c>
      <c r="Q20" s="259">
        <f>VLOOKUP(O20,deuda!A29:J527,5,0)</f>
        <v>0</v>
      </c>
      <c r="R20" s="131" t="str">
        <f>IF(VLOOKUP(O20,deuda!A29:J527,6,0)=0,"",VLOOKUP(O20,deuda!A29:J527,6,0))</f>
        <v/>
      </c>
      <c r="S20" s="531" t="str">
        <f>IF((VLOOKUP(O20,deuda!A29:J527,7,0))=0,"",VLOOKUP(O20,deuda!A29:J527,7,0))</f>
        <v/>
      </c>
      <c r="T20" s="532" t="str">
        <f>IF((VLOOKUP(O20,deuda!A29:J527,8,0))=0,"",VLOOKUP(O20,deuda!A29:J527,8,0))</f>
        <v/>
      </c>
    </row>
    <row r="21" spans="1:20" ht="27" customHeight="1">
      <c r="A21" s="24">
        <v>9</v>
      </c>
      <c r="B21" s="250">
        <v>1253</v>
      </c>
      <c r="C21" s="250">
        <v>97</v>
      </c>
      <c r="D21" s="250">
        <v>2</v>
      </c>
      <c r="E21" s="9">
        <v>5</v>
      </c>
      <c r="F21" s="85" t="str">
        <f t="shared" si="4"/>
        <v>SI</v>
      </c>
      <c r="G21" s="38" t="s">
        <v>533</v>
      </c>
      <c r="H21" s="125">
        <f>IF(Hijuelas!$G$5="fracción",IF(F21="NO",0,IF(Hijuelas!$G$6="si",IF(D21=1,E21,E21*0.8),E21)),IF(F21="NO",0,IF(Hijuelas!$G$6="si",IF(D21=1,ROUNDUP(E21,0),ROUNDUP(E21*0.8,0)),ROUNDUP(E21,0))))</f>
        <v>4</v>
      </c>
      <c r="I21" s="269">
        <v>1.0416666666666666E-2</v>
      </c>
      <c r="J21" s="269">
        <f t="shared" si="0"/>
        <v>3.5678007896295202E-2</v>
      </c>
      <c r="K21" s="341">
        <f t="shared" si="1"/>
        <v>42976.357066916557</v>
      </c>
      <c r="L21" s="95">
        <f t="shared" si="2"/>
        <v>42976.403161591115</v>
      </c>
      <c r="M21" s="5"/>
      <c r="N21" s="5"/>
      <c r="O21" s="242" t="str">
        <f t="shared" si="3"/>
        <v>125397</v>
      </c>
      <c r="P21" s="259">
        <f>VLOOKUP(O21,deuda!$A$1:$H$501,4,0)</f>
        <v>1</v>
      </c>
      <c r="Q21" s="259">
        <f>VLOOKUP(O21,deuda!A41:J539,5,0)</f>
        <v>2</v>
      </c>
      <c r="R21" s="131" t="str">
        <f>IF(VLOOKUP(O21,deuda!A41:J539,6,0)=0,"",VLOOKUP(O21,deuda!A41:J539,6,0))</f>
        <v/>
      </c>
      <c r="S21" s="531" t="str">
        <f>IF((VLOOKUP(O21,deuda!A41:J539,7,0))=0,"",VLOOKUP(O21,deuda!A41:J539,7,0))</f>
        <v/>
      </c>
      <c r="T21" s="532" t="str">
        <f>IF((VLOOKUP(O21,deuda!A41:J539,8,0))=0,"",VLOOKUP(O21,deuda!A41:J539,8,0))</f>
        <v/>
      </c>
    </row>
    <row r="22" spans="1:20" ht="27" customHeight="1">
      <c r="A22" s="24">
        <v>10</v>
      </c>
      <c r="B22" s="250">
        <v>1253</v>
      </c>
      <c r="C22" s="250">
        <v>76</v>
      </c>
      <c r="D22" s="250">
        <v>2</v>
      </c>
      <c r="E22" s="9">
        <v>5</v>
      </c>
      <c r="F22" s="85" t="str">
        <f t="shared" si="4"/>
        <v>SI</v>
      </c>
      <c r="G22" s="38" t="s">
        <v>534</v>
      </c>
      <c r="H22" s="125">
        <f>IF(Hijuelas!$G$5="fracción",IF(F22="NO",0,IF(Hijuelas!$G$6="si",IF(D22=1,E22,E22*0.8),E22)),IF(F22="NO",0,IF(Hijuelas!$G$6="si",IF(D22=1,ROUNDUP(E22,0),ROUNDUP(E22*0.8,0)),ROUNDUP(E22,0))))</f>
        <v>4</v>
      </c>
      <c r="I22" s="269">
        <v>1.0416666666666666E-2</v>
      </c>
      <c r="J22" s="269">
        <f t="shared" si="0"/>
        <v>3.5678007896295202E-2</v>
      </c>
      <c r="K22" s="341">
        <f t="shared" si="1"/>
        <v>42976.310972241998</v>
      </c>
      <c r="L22" s="95">
        <f t="shared" si="2"/>
        <v>42976.357066916557</v>
      </c>
      <c r="M22" s="5"/>
      <c r="N22" s="5"/>
      <c r="O22" s="242" t="str">
        <f t="shared" si="3"/>
        <v>125376</v>
      </c>
      <c r="P22" s="259">
        <f>VLOOKUP(O22,deuda!$A$1:$H$501,4,0)</f>
        <v>1</v>
      </c>
      <c r="Q22" s="259">
        <f>VLOOKUP(O22,deuda!A42:J540,5,0)</f>
        <v>0</v>
      </c>
      <c r="R22" s="131" t="str">
        <f>IF(VLOOKUP(O22,deuda!A42:J540,6,0)=0,"",VLOOKUP(O22,deuda!A42:J540,6,0))</f>
        <v/>
      </c>
      <c r="S22" s="531" t="str">
        <f>IF((VLOOKUP(O22,deuda!A42:J540,7,0))=0,"",VLOOKUP(O22,deuda!A42:J540,7,0))</f>
        <v/>
      </c>
      <c r="T22" s="532" t="str">
        <f>IF((VLOOKUP(O22,deuda!A42:J540,8,0))=0,"",VLOOKUP(O22,deuda!A42:J540,8,0))</f>
        <v/>
      </c>
    </row>
    <row r="23" spans="1:20" ht="27" customHeight="1">
      <c r="A23" s="24">
        <v>10</v>
      </c>
      <c r="B23" s="250">
        <v>1253</v>
      </c>
      <c r="C23" s="250">
        <v>92</v>
      </c>
      <c r="D23" s="250">
        <v>2</v>
      </c>
      <c r="E23" s="9">
        <v>5</v>
      </c>
      <c r="F23" s="85" t="str">
        <f t="shared" si="4"/>
        <v>SI</v>
      </c>
      <c r="G23" s="38" t="s">
        <v>535</v>
      </c>
      <c r="H23" s="125">
        <f>IF(Hijuelas!$G$5="fracción",IF(F23="NO",0,IF(Hijuelas!$G$6="si",IF(D23=1,E23,E23*0.8),E23)),IF(F23="NO",0,IF(Hijuelas!$G$6="si",IF(D23=1,ROUNDUP(E23,0),ROUNDUP(E23*0.8,0)),ROUNDUP(E23,0))))</f>
        <v>4</v>
      </c>
      <c r="I23" s="269">
        <v>0</v>
      </c>
      <c r="J23" s="269">
        <f t="shared" si="0"/>
        <v>3.5678007896295202E-2</v>
      </c>
      <c r="K23" s="341">
        <f t="shared" si="1"/>
        <v>42976.275294234103</v>
      </c>
      <c r="L23" s="95">
        <f t="shared" si="2"/>
        <v>42976.310972241998</v>
      </c>
      <c r="M23" s="5"/>
      <c r="N23" s="5"/>
      <c r="O23" s="242" t="str">
        <f t="shared" si="3"/>
        <v>125392</v>
      </c>
      <c r="P23" s="259">
        <f>VLOOKUP(O23,deuda!$A$1:$H$501,4,0)</f>
        <v>1</v>
      </c>
      <c r="Q23" s="259">
        <f>VLOOKUP(O23,deuda!A43:J541,5,0)</f>
        <v>0</v>
      </c>
      <c r="R23" s="131" t="str">
        <f>IF(VLOOKUP(O23,deuda!A43:J541,6,0)=0,"",VLOOKUP(O23,deuda!A43:J541,6,0))</f>
        <v/>
      </c>
      <c r="S23" s="531" t="str">
        <f>IF((VLOOKUP(O23,deuda!A43:J541,7,0))=0,"",VLOOKUP(O23,deuda!A43:J541,7,0))</f>
        <v/>
      </c>
      <c r="T23" s="532" t="str">
        <f>IF((VLOOKUP(O23,deuda!A43:J541,8,0))=0,"",VLOOKUP(O23,deuda!A43:J541,8,0))</f>
        <v/>
      </c>
    </row>
    <row r="24" spans="1:20" ht="27" customHeight="1">
      <c r="A24" s="24">
        <v>11</v>
      </c>
      <c r="B24" s="250">
        <v>1253</v>
      </c>
      <c r="C24" s="250">
        <v>88</v>
      </c>
      <c r="D24" s="250">
        <v>2</v>
      </c>
      <c r="E24" s="9">
        <v>10</v>
      </c>
      <c r="F24" s="85" t="str">
        <f t="shared" si="4"/>
        <v>SI</v>
      </c>
      <c r="G24" s="38" t="s">
        <v>536</v>
      </c>
      <c r="H24" s="125">
        <f>IF(Hijuelas!$G$5="fracción",IF(F24="NO",0,IF(Hijuelas!$G$6="si",IF(D24=1,E24,E24*0.8),E24)),IF(F24="NO",0,IF(Hijuelas!$G$6="si",IF(D24=1,ROUNDUP(E24,0),ROUNDUP(E24*0.8,0)),ROUNDUP(E24,0))))</f>
        <v>8</v>
      </c>
      <c r="I24" s="269">
        <v>0</v>
      </c>
      <c r="J24" s="269">
        <f t="shared" si="0"/>
        <v>7.1356015792590405E-2</v>
      </c>
      <c r="K24" s="341">
        <f t="shared" si="1"/>
        <v>42976.203938218314</v>
      </c>
      <c r="L24" s="95">
        <f t="shared" si="2"/>
        <v>42976.275294234103</v>
      </c>
      <c r="M24" s="5"/>
      <c r="N24" s="5"/>
      <c r="O24" s="242" t="str">
        <f t="shared" si="3"/>
        <v>125388</v>
      </c>
      <c r="P24" s="259">
        <f>VLOOKUP(O24,deuda!$A$1:$H$501,4,0)</f>
        <v>1</v>
      </c>
      <c r="Q24" s="259">
        <f>VLOOKUP(O24,deuda!A44:J542,5,0)</f>
        <v>0</v>
      </c>
      <c r="R24" s="131" t="str">
        <f>IF(VLOOKUP(O24,deuda!A44:J542,6,0)=0,"",VLOOKUP(O24,deuda!A44:J542,6,0))</f>
        <v/>
      </c>
      <c r="S24" s="531" t="str">
        <f>IF((VLOOKUP(O24,deuda!A44:J542,7,0))=0,"",VLOOKUP(O24,deuda!A44:J542,7,0))</f>
        <v/>
      </c>
      <c r="T24" s="532" t="str">
        <f>IF((VLOOKUP(O24,deuda!A44:J542,8,0))=0,"",VLOOKUP(O24,deuda!A44:J542,8,0))</f>
        <v/>
      </c>
    </row>
    <row r="25" spans="1:20" ht="27" customHeight="1">
      <c r="A25" s="24">
        <v>11</v>
      </c>
      <c r="B25" s="250">
        <v>1253</v>
      </c>
      <c r="C25" s="250">
        <v>101</v>
      </c>
      <c r="D25" s="250">
        <v>2</v>
      </c>
      <c r="E25" s="9">
        <v>10</v>
      </c>
      <c r="F25" s="85" t="str">
        <f t="shared" si="4"/>
        <v>SI</v>
      </c>
      <c r="G25" s="38" t="s">
        <v>536</v>
      </c>
      <c r="H25" s="125">
        <f>IF(Hijuelas!$G$5="fracción",IF(F25="NO",0,IF(Hijuelas!$G$6="si",IF(D25=1,E25,E25*0.8),E25)),IF(F25="NO",0,IF(Hijuelas!$G$6="si",IF(D25=1,ROUNDUP(E25,0),ROUNDUP(E25*0.8,0)),ROUNDUP(E25,0))))</f>
        <v>8</v>
      </c>
      <c r="I25" s="269">
        <v>3.4722222222222224E-2</v>
      </c>
      <c r="J25" s="269">
        <f t="shared" si="0"/>
        <v>7.1356015792590405E-2</v>
      </c>
      <c r="K25" s="341">
        <f t="shared" si="1"/>
        <v>42976.097859980306</v>
      </c>
      <c r="L25" s="95">
        <f t="shared" si="2"/>
        <v>42976.203938218314</v>
      </c>
      <c r="M25" s="5"/>
      <c r="N25" s="5"/>
      <c r="O25" s="242" t="str">
        <f t="shared" si="3"/>
        <v>1253101</v>
      </c>
      <c r="P25" s="259">
        <f>VLOOKUP(O25,deuda!$A$1:$H$501,4,0)</f>
        <v>1</v>
      </c>
      <c r="Q25" s="259">
        <f>VLOOKUP(O25,deuda!A45:J543,5,0)</f>
        <v>0</v>
      </c>
      <c r="R25" s="131" t="str">
        <f>IF(VLOOKUP(O25,deuda!A45:J543,6,0)=0,"",VLOOKUP(O25,deuda!A45:J543,6,0))</f>
        <v/>
      </c>
      <c r="S25" s="531" t="str">
        <f>IF((VLOOKUP(O25,deuda!A45:J543,7,0))=0,"",VLOOKUP(O25,deuda!A45:J543,7,0))</f>
        <v/>
      </c>
      <c r="T25" s="532" t="str">
        <f>IF((VLOOKUP(O25,deuda!A45:J543,8,0))=0,"",VLOOKUP(O25,deuda!A45:J543,8,0))</f>
        <v/>
      </c>
    </row>
    <row r="26" spans="1:20" ht="27" customHeight="1">
      <c r="A26" s="24">
        <v>12</v>
      </c>
      <c r="B26" s="250">
        <v>1253</v>
      </c>
      <c r="C26" s="250">
        <v>8</v>
      </c>
      <c r="D26" s="250">
        <v>2</v>
      </c>
      <c r="E26" s="9">
        <v>20</v>
      </c>
      <c r="F26" s="85" t="str">
        <f t="shared" si="4"/>
        <v>SI</v>
      </c>
      <c r="G26" s="38" t="s">
        <v>537</v>
      </c>
      <c r="H26" s="125">
        <f>IF(Hijuelas!$G$5="fracción",IF(F26="NO",0,IF(Hijuelas!$G$6="si",IF(D26=1,E26,E26*0.8),E26)),IF(F26="NO",0,IF(Hijuelas!$G$6="si",IF(D26=1,ROUNDUP(E26,0),ROUNDUP(E26*0.8,0)),ROUNDUP(E26,0))))</f>
        <v>16</v>
      </c>
      <c r="I26" s="269">
        <v>0</v>
      </c>
      <c r="J26" s="269">
        <f t="shared" si="0"/>
        <v>0.14271203158518081</v>
      </c>
      <c r="K26" s="341">
        <f t="shared" si="1"/>
        <v>42975.95514794872</v>
      </c>
      <c r="L26" s="95">
        <f t="shared" si="2"/>
        <v>42976.097859980306</v>
      </c>
      <c r="M26" s="5"/>
      <c r="N26" s="5"/>
      <c r="O26" s="242" t="str">
        <f t="shared" si="3"/>
        <v>12538</v>
      </c>
      <c r="P26" s="259">
        <f>VLOOKUP(O26,deuda!$A$1:$H$501,4,0)</f>
        <v>1</v>
      </c>
      <c r="Q26" s="259">
        <f>VLOOKUP(O26,deuda!A21:J519,5,0)</f>
        <v>0</v>
      </c>
      <c r="R26" s="131" t="str">
        <f>IF(VLOOKUP(O26,deuda!A21:J519,6,0)=0,"",VLOOKUP(O26,deuda!A21:J519,6,0))</f>
        <v/>
      </c>
      <c r="S26" s="531" t="str">
        <f>IF((VLOOKUP(O26,deuda!A21:J519,7,0))=0,"",VLOOKUP(O26,deuda!A21:J519,7,0))</f>
        <v/>
      </c>
      <c r="T26" s="532" t="str">
        <f>IF((VLOOKUP(O26,deuda!A21:J519,8,0))=0,"",VLOOKUP(O26,deuda!A21:J519,8,0))</f>
        <v/>
      </c>
    </row>
    <row r="27" spans="1:20" ht="27" customHeight="1">
      <c r="A27" s="24">
        <v>12</v>
      </c>
      <c r="B27" s="250">
        <v>1253</v>
      </c>
      <c r="C27" s="250">
        <v>25</v>
      </c>
      <c r="D27" s="250">
        <v>2</v>
      </c>
      <c r="E27" s="9">
        <v>20</v>
      </c>
      <c r="F27" s="85" t="str">
        <f t="shared" si="4"/>
        <v>SI</v>
      </c>
      <c r="G27" s="38" t="s">
        <v>537</v>
      </c>
      <c r="H27" s="125">
        <f>IF(Hijuelas!$G$5="fracción",IF(F27="NO",0,IF(Hijuelas!$G$6="si",IF(D27=1,E27,E27*0.8),E27)),IF(F27="NO",0,IF(Hijuelas!$G$6="si",IF(D27=1,ROUNDUP(E27,0),ROUNDUP(E27*0.8,0)),ROUNDUP(E27,0))))</f>
        <v>16</v>
      </c>
      <c r="I27" s="269">
        <v>0</v>
      </c>
      <c r="J27" s="269">
        <f t="shared" si="0"/>
        <v>0.14271203158518081</v>
      </c>
      <c r="K27" s="341">
        <f t="shared" si="1"/>
        <v>42975.812435917134</v>
      </c>
      <c r="L27" s="95">
        <f t="shared" si="2"/>
        <v>42975.95514794872</v>
      </c>
      <c r="M27" s="5"/>
      <c r="N27" s="5"/>
      <c r="O27" s="242" t="str">
        <f t="shared" si="3"/>
        <v>125325</v>
      </c>
      <c r="P27" s="259">
        <f>VLOOKUP(O27,deuda!$A$1:$H$501,4,0)</f>
        <v>1</v>
      </c>
      <c r="Q27" s="259">
        <f>VLOOKUP(O27,deuda!A22:J520,5,0)</f>
        <v>0</v>
      </c>
      <c r="R27" s="131" t="str">
        <f>IF(VLOOKUP(O27,deuda!A22:J520,6,0)=0,"",VLOOKUP(O27,deuda!A22:J520,6,0))</f>
        <v/>
      </c>
      <c r="S27" s="531" t="str">
        <f>IF((VLOOKUP(O27,deuda!A22:J520,7,0))=0,"",VLOOKUP(O27,deuda!A22:J520,7,0))</f>
        <v/>
      </c>
      <c r="T27" s="532" t="str">
        <f>IF((VLOOKUP(O27,deuda!A22:J520,8,0))=0,"",VLOOKUP(O27,deuda!A22:J520,8,0))</f>
        <v/>
      </c>
    </row>
    <row r="28" spans="1:20" ht="27" customHeight="1">
      <c r="A28" s="24">
        <v>13</v>
      </c>
      <c r="B28" s="250">
        <v>1253</v>
      </c>
      <c r="C28" s="250">
        <v>29</v>
      </c>
      <c r="D28" s="250">
        <v>2</v>
      </c>
      <c r="E28" s="9">
        <v>5.6055999999999999</v>
      </c>
      <c r="F28" s="85" t="str">
        <f t="shared" si="4"/>
        <v>SI</v>
      </c>
      <c r="G28" s="38" t="s">
        <v>538</v>
      </c>
      <c r="H28" s="125">
        <f>IF(Hijuelas!$G$5="fracción",IF(F28="NO",0,IF(Hijuelas!$G$6="si",IF(D28=1,E28,E28*0.8),E28)),IF(F28="NO",0,IF(Hijuelas!$G$6="si",IF(D28=1,ROUNDUP(E28,0),ROUNDUP(E28*0.8,0)),ROUNDUP(E28,0))))</f>
        <v>4.4844800000000005</v>
      </c>
      <c r="I28" s="269">
        <v>0</v>
      </c>
      <c r="J28" s="269">
        <f t="shared" si="0"/>
        <v>3.9999328212694481E-2</v>
      </c>
      <c r="K28" s="341">
        <f t="shared" si="1"/>
        <v>42975.772436588923</v>
      </c>
      <c r="L28" s="95">
        <f t="shared" si="2"/>
        <v>42975.812435917134</v>
      </c>
      <c r="M28" s="5"/>
      <c r="N28" s="5"/>
      <c r="O28" s="242" t="str">
        <f t="shared" si="3"/>
        <v>125329</v>
      </c>
      <c r="P28" s="259">
        <f>VLOOKUP(O28,deuda!$A$1:$H$501,4,0)</f>
        <v>1</v>
      </c>
      <c r="Q28" s="259">
        <f>VLOOKUP(O28,deuda!A30:J528,5,0)</f>
        <v>0</v>
      </c>
      <c r="R28" s="131" t="str">
        <f>IF(VLOOKUP(O28,deuda!A30:J528,6,0)=0,"",VLOOKUP(O28,deuda!A30:J528,6,0))</f>
        <v/>
      </c>
      <c r="S28" s="531" t="str">
        <f>IF((VLOOKUP(O28,deuda!A30:J528,7,0))=0,"",VLOOKUP(O28,deuda!A30:J528,7,0))</f>
        <v/>
      </c>
      <c r="T28" s="532" t="str">
        <f>IF((VLOOKUP(O28,deuda!A30:J528,8,0))=0,"",VLOOKUP(O28,deuda!A30:J528,8,0))</f>
        <v/>
      </c>
    </row>
    <row r="29" spans="1:20" ht="27" customHeight="1">
      <c r="A29" s="24">
        <v>14</v>
      </c>
      <c r="B29" s="250">
        <v>1253</v>
      </c>
      <c r="C29" s="250">
        <v>27</v>
      </c>
      <c r="D29" s="250">
        <v>2</v>
      </c>
      <c r="E29" s="9">
        <v>10</v>
      </c>
      <c r="F29" s="85" t="str">
        <f t="shared" si="4"/>
        <v>SI</v>
      </c>
      <c r="G29" s="38" t="s">
        <v>539</v>
      </c>
      <c r="H29" s="125">
        <f>IF(Hijuelas!$G$5="fracción",IF(F29="NO",0,IF(Hijuelas!$G$6="si",IF(D29=1,E29,E29*0.8),E29)),IF(F29="NO",0,IF(Hijuelas!$G$6="si",IF(D29=1,ROUNDUP(E29,0),ROUNDUP(E29*0.8,0)),ROUNDUP(E29,0))))</f>
        <v>8</v>
      </c>
      <c r="I29" s="269">
        <v>0</v>
      </c>
      <c r="J29" s="269">
        <f t="shared" si="0"/>
        <v>7.1356015792590405E-2</v>
      </c>
      <c r="K29" s="341">
        <f t="shared" si="1"/>
        <v>42975.701080573133</v>
      </c>
      <c r="L29" s="95">
        <f t="shared" si="2"/>
        <v>42975.772436588923</v>
      </c>
      <c r="M29" s="5"/>
      <c r="N29" s="5"/>
      <c r="O29" s="242" t="str">
        <f t="shared" si="3"/>
        <v>125327</v>
      </c>
      <c r="P29" s="259">
        <f>VLOOKUP(O29,deuda!$A$1:$H$501,4,0)</f>
        <v>1</v>
      </c>
      <c r="Q29" s="259">
        <f>VLOOKUP(O29,deuda!A34:J532,5,0)</f>
        <v>0</v>
      </c>
      <c r="R29" s="131" t="str">
        <f>IF(VLOOKUP(O29,deuda!A34:J532,6,0)=0,"",VLOOKUP(O29,deuda!A34:J532,6,0))</f>
        <v/>
      </c>
      <c r="S29" s="531" t="str">
        <f>IF((VLOOKUP(O29,deuda!A34:J532,7,0))=0,"",VLOOKUP(O29,deuda!A34:J532,7,0))</f>
        <v/>
      </c>
      <c r="T29" s="532" t="str">
        <f>IF((VLOOKUP(O29,deuda!A34:J532,8,0))=0,"",VLOOKUP(O29,deuda!A34:J532,8,0))</f>
        <v/>
      </c>
    </row>
    <row r="30" spans="1:20" ht="27" customHeight="1">
      <c r="A30" s="24">
        <v>14</v>
      </c>
      <c r="B30" s="250">
        <v>1253</v>
      </c>
      <c r="C30" s="250">
        <v>51</v>
      </c>
      <c r="D30" s="250">
        <v>2</v>
      </c>
      <c r="E30" s="9">
        <v>20</v>
      </c>
      <c r="F30" s="85" t="str">
        <f t="shared" si="4"/>
        <v>SI</v>
      </c>
      <c r="G30" s="38" t="s">
        <v>540</v>
      </c>
      <c r="H30" s="125">
        <f>IF(Hijuelas!$G$5="fracción",IF(F30="NO",0,IF(Hijuelas!$G$6="si",IF(D30=1,E30,E30*0.8),E30)),IF(F30="NO",0,IF(Hijuelas!$G$6="si",IF(D30=1,ROUNDUP(E30,0),ROUNDUP(E30*0.8,0)),ROUNDUP(E30,0))))</f>
        <v>16</v>
      </c>
      <c r="I30" s="269">
        <v>0</v>
      </c>
      <c r="J30" s="269">
        <f t="shared" si="0"/>
        <v>0.14271203158518081</v>
      </c>
      <c r="K30" s="341">
        <f t="shared" si="1"/>
        <v>42975.558368541548</v>
      </c>
      <c r="L30" s="95">
        <f t="shared" si="2"/>
        <v>42975.701080573133</v>
      </c>
      <c r="M30" s="5"/>
      <c r="N30" s="5"/>
      <c r="O30" s="242" t="str">
        <f t="shared" si="3"/>
        <v>125351</v>
      </c>
      <c r="P30" s="259">
        <f>VLOOKUP(O30,deuda!$A$1:$H$501,4,0)</f>
        <v>1</v>
      </c>
      <c r="Q30" s="259">
        <f>VLOOKUP(O30,deuda!A35:J533,5,0)</f>
        <v>0</v>
      </c>
      <c r="R30" s="131" t="str">
        <f>IF(VLOOKUP(O30,deuda!A35:J533,6,0)=0,"",VLOOKUP(O30,deuda!A35:J533,6,0))</f>
        <v/>
      </c>
      <c r="S30" s="531" t="str">
        <f>IF((VLOOKUP(O30,deuda!A35:J533,7,0))=0,"",VLOOKUP(O30,deuda!A35:J533,7,0))</f>
        <v/>
      </c>
      <c r="T30" s="532" t="str">
        <f>IF((VLOOKUP(O30,deuda!A35:J533,8,0))=0,"",VLOOKUP(O30,deuda!A35:J533,8,0))</f>
        <v/>
      </c>
    </row>
    <row r="31" spans="1:20" ht="27" customHeight="1">
      <c r="A31" s="24">
        <v>15</v>
      </c>
      <c r="B31" s="250">
        <v>1253</v>
      </c>
      <c r="C31" s="250">
        <v>9</v>
      </c>
      <c r="D31" s="250">
        <v>2</v>
      </c>
      <c r="E31" s="9">
        <v>9.9999000000000002</v>
      </c>
      <c r="F31" s="85" t="str">
        <f t="shared" si="4"/>
        <v>SI</v>
      </c>
      <c r="G31" s="236" t="s">
        <v>541</v>
      </c>
      <c r="H31" s="125">
        <f>IF(Hijuelas!$G$5="fracción",IF(F31="NO",0,IF(Hijuelas!$G$6="si",IF(D31=1,E31,E31*0.8),E31)),IF(F31="NO",0,IF(Hijuelas!$G$6="si",IF(D31=1,ROUNDUP(E31,0),ROUNDUP(E31*0.8,0)),ROUNDUP(E31,0))))</f>
        <v>7.9999200000000004</v>
      </c>
      <c r="I31" s="269">
        <v>0</v>
      </c>
      <c r="J31" s="269">
        <f t="shared" si="0"/>
        <v>7.1355302232432485E-2</v>
      </c>
      <c r="K31" s="341">
        <f t="shared" si="1"/>
        <v>42975.487013239312</v>
      </c>
      <c r="L31" s="95">
        <f t="shared" si="2"/>
        <v>42975.558368541548</v>
      </c>
      <c r="M31" s="5"/>
      <c r="N31" s="5"/>
      <c r="O31" s="242" t="str">
        <f t="shared" si="3"/>
        <v>12539</v>
      </c>
      <c r="P31" s="259">
        <f>VLOOKUP(O31,deuda!$A$1:$H$501,4,0)</f>
        <v>1</v>
      </c>
      <c r="Q31" s="259">
        <f>VLOOKUP(O31,deuda!A33:J531,5,0)</f>
        <v>2</v>
      </c>
      <c r="R31" s="131" t="str">
        <f>IF(VLOOKUP(O31,deuda!A33:J531,6,0)=0,"",VLOOKUP(O31,deuda!A33:J531,6,0))</f>
        <v/>
      </c>
      <c r="S31" s="531" t="str">
        <f>IF((VLOOKUP(O31,deuda!A33:J531,7,0))=0,"",VLOOKUP(O31,deuda!A33:J531,7,0))</f>
        <v/>
      </c>
      <c r="T31" s="532" t="str">
        <f>IF((VLOOKUP(O31,deuda!A33:J531,8,0))=0,"",VLOOKUP(O31,deuda!A33:J531,8,0))</f>
        <v/>
      </c>
    </row>
    <row r="32" spans="1:20" ht="27" customHeight="1">
      <c r="A32" s="24">
        <v>16</v>
      </c>
      <c r="B32" s="250">
        <v>1253</v>
      </c>
      <c r="C32" s="250">
        <v>30</v>
      </c>
      <c r="D32" s="250">
        <v>2</v>
      </c>
      <c r="E32" s="9">
        <v>10</v>
      </c>
      <c r="F32" s="85" t="str">
        <f t="shared" si="4"/>
        <v>SI</v>
      </c>
      <c r="G32" s="38" t="s">
        <v>542</v>
      </c>
      <c r="H32" s="125">
        <f>IF(Hijuelas!$G$5="fracción",IF(F32="NO",0,IF(Hijuelas!$G$6="si",IF(D32=1,E32,E32*0.8),E32)),IF(F32="NO",0,IF(Hijuelas!$G$6="si",IF(D32=1,ROUNDUP(E32,0),ROUNDUP(E32*0.8,0)),ROUNDUP(E32,0))))</f>
        <v>8</v>
      </c>
      <c r="I32" s="269">
        <v>0</v>
      </c>
      <c r="J32" s="269">
        <f t="shared" si="0"/>
        <v>7.1356015792590405E-2</v>
      </c>
      <c r="K32" s="341">
        <f t="shared" si="1"/>
        <v>42975.415657223522</v>
      </c>
      <c r="L32" s="95">
        <f t="shared" si="2"/>
        <v>42975.487013239312</v>
      </c>
      <c r="M32" s="5"/>
      <c r="N32" s="5"/>
      <c r="O32" s="242" t="str">
        <f t="shared" si="3"/>
        <v>125330</v>
      </c>
      <c r="P32" s="259">
        <f>VLOOKUP(O32,deuda!$A$1:$H$501,4,0)</f>
        <v>1</v>
      </c>
      <c r="Q32" s="259">
        <f>VLOOKUP(O32,deuda!A36:J534,5,0)</f>
        <v>0</v>
      </c>
      <c r="R32" s="131" t="str">
        <f>IF(VLOOKUP(O32,deuda!A36:J534,6,0)=0,"",VLOOKUP(O32,deuda!A36:J534,6,0))</f>
        <v/>
      </c>
      <c r="S32" s="531" t="str">
        <f>IF((VLOOKUP(O32,deuda!A36:J534,7,0))=0,"",VLOOKUP(O32,deuda!A36:J534,7,0))</f>
        <v/>
      </c>
      <c r="T32" s="532" t="str">
        <f>IF((VLOOKUP(O32,deuda!A36:J534,8,0))=0,"",VLOOKUP(O32,deuda!A36:J534,8,0))</f>
        <v/>
      </c>
    </row>
    <row r="33" spans="1:20" ht="27" customHeight="1">
      <c r="A33" s="24">
        <v>17</v>
      </c>
      <c r="B33" s="250">
        <v>1253</v>
      </c>
      <c r="C33" s="250">
        <v>33</v>
      </c>
      <c r="D33" s="250">
        <v>2</v>
      </c>
      <c r="E33" s="9">
        <v>10.4381</v>
      </c>
      <c r="F33" s="85" t="str">
        <f t="shared" si="4"/>
        <v>SI</v>
      </c>
      <c r="G33" s="38" t="s">
        <v>543</v>
      </c>
      <c r="H33" s="125">
        <f>IF(Hijuelas!$G$5="fracción",IF(F33="NO",0,IF(Hijuelas!$G$6="si",IF(D33=1,E33,E33*0.8),E33)),IF(F33="NO",0,IF(Hijuelas!$G$6="si",IF(D33=1,ROUNDUP(E33,0),ROUNDUP(E33*0.8,0)),ROUNDUP(E33,0))))</f>
        <v>8.350480000000001</v>
      </c>
      <c r="I33" s="269">
        <v>0</v>
      </c>
      <c r="J33" s="269">
        <f t="shared" si="0"/>
        <v>7.4482122844463802E-2</v>
      </c>
      <c r="K33" s="341">
        <f t="shared" si="1"/>
        <v>42975.341175100679</v>
      </c>
      <c r="L33" s="95">
        <f t="shared" si="2"/>
        <v>42975.415657223522</v>
      </c>
      <c r="M33" s="5"/>
      <c r="N33" s="5"/>
      <c r="O33" s="242" t="str">
        <f t="shared" si="3"/>
        <v>125333</v>
      </c>
      <c r="P33" s="259">
        <f>VLOOKUP(O33,deuda!$A$1:$H$501,4,0)</f>
        <v>1</v>
      </c>
      <c r="Q33" s="259">
        <f>VLOOKUP(O33,deuda!A37:J535,5,0)</f>
        <v>1</v>
      </c>
      <c r="R33" s="131" t="str">
        <f>IF(VLOOKUP(O33,deuda!A37:J535,6,0)=0,"",VLOOKUP(O33,deuda!A37:J535,6,0))</f>
        <v/>
      </c>
      <c r="S33" s="531" t="str">
        <f>IF((VLOOKUP(O33,deuda!A37:J535,7,0))=0,"",VLOOKUP(O33,deuda!A37:J535,7,0))</f>
        <v/>
      </c>
      <c r="T33" s="532" t="str">
        <f>IF((VLOOKUP(O33,deuda!A37:J535,8,0))=0,"",VLOOKUP(O33,deuda!A37:J535,8,0))</f>
        <v/>
      </c>
    </row>
    <row r="34" spans="1:20" ht="27" customHeight="1">
      <c r="A34" s="24">
        <v>18</v>
      </c>
      <c r="B34" s="250">
        <v>1253</v>
      </c>
      <c r="C34" s="250">
        <v>6</v>
      </c>
      <c r="D34" s="250">
        <v>2</v>
      </c>
      <c r="E34" s="9">
        <v>10</v>
      </c>
      <c r="F34" s="85" t="str">
        <f t="shared" si="4"/>
        <v>SI</v>
      </c>
      <c r="G34" s="38" t="s">
        <v>544</v>
      </c>
      <c r="H34" s="125">
        <f>IF(Hijuelas!$G$5="fracción",IF(F34="NO",0,IF(Hijuelas!$G$6="si",IF(D34=1,E34,E34*0.8),E34)),IF(F34="NO",0,IF(Hijuelas!$G$6="si",IF(D34=1,ROUNDUP(E34,0),ROUNDUP(E34*0.8,0)),ROUNDUP(E34,0))))</f>
        <v>8</v>
      </c>
      <c r="I34" s="269">
        <v>0</v>
      </c>
      <c r="J34" s="269">
        <f t="shared" si="0"/>
        <v>7.1356015792590405E-2</v>
      </c>
      <c r="K34" s="341">
        <f t="shared" si="1"/>
        <v>42975.26981908489</v>
      </c>
      <c r="L34" s="95">
        <f t="shared" si="2"/>
        <v>42975.341175100679</v>
      </c>
      <c r="M34" s="5"/>
      <c r="N34" s="5"/>
      <c r="O34" s="242" t="str">
        <f t="shared" si="3"/>
        <v>12536</v>
      </c>
      <c r="P34" s="259">
        <f>VLOOKUP(O34,deuda!$A$1:$H$501,4,0)</f>
        <v>1</v>
      </c>
      <c r="Q34" s="259">
        <f>VLOOKUP(O34,deuda!A38:J536,5,0)</f>
        <v>0</v>
      </c>
      <c r="R34" s="131" t="str">
        <f>IF(VLOOKUP(O34,deuda!A38:J536,6,0)=0,"",VLOOKUP(O34,deuda!A38:J536,6,0))</f>
        <v/>
      </c>
      <c r="S34" s="531" t="str">
        <f>IF((VLOOKUP(O34,deuda!A38:J536,7,0))=0,"",VLOOKUP(O34,deuda!A38:J536,7,0))</f>
        <v/>
      </c>
      <c r="T34" s="532" t="str">
        <f>IF((VLOOKUP(O34,deuda!A38:J536,8,0))=0,"",VLOOKUP(O34,deuda!A38:J536,8,0))</f>
        <v/>
      </c>
    </row>
    <row r="35" spans="1:20" ht="27" customHeight="1">
      <c r="A35" s="24">
        <v>18</v>
      </c>
      <c r="B35" s="250">
        <v>1253</v>
      </c>
      <c r="C35" s="250">
        <v>32</v>
      </c>
      <c r="D35" s="250">
        <v>2</v>
      </c>
      <c r="E35" s="9">
        <v>10.453200000000001</v>
      </c>
      <c r="F35" s="85" t="str">
        <f t="shared" si="4"/>
        <v>SI</v>
      </c>
      <c r="G35" s="236" t="s">
        <v>544</v>
      </c>
      <c r="H35" s="125">
        <f>IF(Hijuelas!$G$5="fracción",IF(F35="NO",0,IF(Hijuelas!$G$6="si",IF(D35=1,E35,E35*0.8),E35)),IF(F35="NO",0,IF(Hijuelas!$G$6="si",IF(D35=1,ROUNDUP(E35,0),ROUNDUP(E35*0.8,0)),ROUNDUP(E35,0))))</f>
        <v>8.3625600000000002</v>
      </c>
      <c r="I35" s="269">
        <v>8.3333333333333329E-2</v>
      </c>
      <c r="J35" s="269">
        <f t="shared" si="0"/>
        <v>7.4589870428310598E-2</v>
      </c>
      <c r="K35" s="341">
        <f t="shared" si="1"/>
        <v>42975.111895881128</v>
      </c>
      <c r="L35" s="95">
        <f t="shared" si="2"/>
        <v>42975.26981908489</v>
      </c>
      <c r="M35" s="5"/>
      <c r="N35" s="5"/>
      <c r="O35" s="242" t="str">
        <f t="shared" si="3"/>
        <v>125332</v>
      </c>
      <c r="P35" s="259">
        <f>VLOOKUP(O35,deuda!$A$1:$H$501,4,0)</f>
        <v>1</v>
      </c>
      <c r="Q35" s="259">
        <f>VLOOKUP(O35,deuda!A39:J537,5,0)</f>
        <v>0</v>
      </c>
      <c r="R35" s="131" t="str">
        <f>IF(VLOOKUP(O35,deuda!A39:J537,6,0)=0,"",VLOOKUP(O35,deuda!A39:J537,6,0))</f>
        <v/>
      </c>
      <c r="S35" s="531" t="str">
        <f>IF((VLOOKUP(O35,deuda!A39:J537,7,0))=0,"",VLOOKUP(O35,deuda!A39:J537,7,0))</f>
        <v/>
      </c>
      <c r="T35" s="532" t="str">
        <f>IF((VLOOKUP(O35,deuda!A39:J537,8,0))=0,"",VLOOKUP(O35,deuda!A39:J537,8,0))</f>
        <v/>
      </c>
    </row>
    <row r="36" spans="1:20" s="395" customFormat="1" ht="27" customHeight="1">
      <c r="A36" s="152">
        <v>19</v>
      </c>
      <c r="B36" s="356">
        <v>1253</v>
      </c>
      <c r="C36" s="356">
        <v>31</v>
      </c>
      <c r="D36" s="356">
        <v>2</v>
      </c>
      <c r="E36" s="330">
        <v>10.1533</v>
      </c>
      <c r="F36" s="85" t="str">
        <f t="shared" si="4"/>
        <v>NO</v>
      </c>
      <c r="G36" s="270" t="s">
        <v>545</v>
      </c>
      <c r="H36" s="125">
        <f>IF(Hijuelas!$G$5="fracción",IF(F36="NO",0,IF(Hijuelas!$G$6="si",IF(D36=1,E36,E36*0.8),E36)),IF(F36="NO",0,IF(Hijuelas!$G$6="si",IF(D36=1,ROUNDUP(E36,0),ROUNDUP(E36*0.8,0)),ROUNDUP(E36,0))))</f>
        <v>0</v>
      </c>
      <c r="I36" s="182">
        <v>0</v>
      </c>
      <c r="J36" s="269">
        <f t="shared" si="0"/>
        <v>0</v>
      </c>
      <c r="K36" s="341">
        <f t="shared" si="1"/>
        <v>42975.111895881128</v>
      </c>
      <c r="L36" s="95">
        <f t="shared" si="2"/>
        <v>42975.111895881128</v>
      </c>
      <c r="M36" s="394"/>
      <c r="N36" s="394"/>
      <c r="O36" s="242" t="str">
        <f t="shared" si="3"/>
        <v>125331</v>
      </c>
      <c r="P36" s="259">
        <f>VLOOKUP(O36,deuda!$A$1:$H$501,4,0)</f>
        <v>0</v>
      </c>
      <c r="Q36" s="259">
        <f>VLOOKUP(O36,deuda!A40:J538,5,0)</f>
        <v>143</v>
      </c>
      <c r="R36" s="131" t="str">
        <f>IF(VLOOKUP(O36,deuda!A40:J538,6,0)=0,"",VLOOKUP(O36,deuda!A40:J538,6,0))</f>
        <v/>
      </c>
      <c r="S36" s="531" t="str">
        <f>IF((VLOOKUP(O36,deuda!A40:J538,7,0))=0,"",VLOOKUP(O36,deuda!A40:J538,7,0))</f>
        <v/>
      </c>
      <c r="T36" s="532" t="str">
        <f>IF((VLOOKUP(O36,deuda!A40:J538,8,0))=0,"",VLOOKUP(O36,deuda!A40:J538,8,0))</f>
        <v/>
      </c>
    </row>
    <row r="37" spans="1:20" ht="27" customHeight="1">
      <c r="A37" s="24">
        <v>20</v>
      </c>
      <c r="B37" s="250">
        <v>1253</v>
      </c>
      <c r="C37" s="250">
        <v>85</v>
      </c>
      <c r="D37" s="250">
        <v>2</v>
      </c>
      <c r="E37" s="9">
        <v>10</v>
      </c>
      <c r="F37" s="85" t="str">
        <f t="shared" si="4"/>
        <v>SI</v>
      </c>
      <c r="G37" s="516" t="s">
        <v>546</v>
      </c>
      <c r="H37" s="125">
        <f>IF(Hijuelas!$G$5="fracción",IF(F37="NO",0,IF(Hijuelas!$G$6="si",IF(D37=1,E37,E37*0.8),E37)),IF(F37="NO",0,IF(Hijuelas!$G$6="si",IF(D37=1,ROUNDUP(E37,0),ROUNDUP(E37*0.8,0)),ROUNDUP(E37,0))))</f>
        <v>8</v>
      </c>
      <c r="I37" s="269">
        <v>0</v>
      </c>
      <c r="J37" s="269">
        <f t="shared" si="0"/>
        <v>7.1356015792590405E-2</v>
      </c>
      <c r="K37" s="341">
        <f t="shared" si="1"/>
        <v>42975.040539865338</v>
      </c>
      <c r="L37" s="95">
        <f t="shared" si="2"/>
        <v>42975.111895881128</v>
      </c>
      <c r="M37" s="5"/>
      <c r="N37" s="5"/>
      <c r="O37" s="242" t="str">
        <f t="shared" si="3"/>
        <v>125385</v>
      </c>
      <c r="P37" s="259">
        <f>VLOOKUP(O37,deuda!$A$1:$H$501,4,0)</f>
        <v>1</v>
      </c>
      <c r="Q37" s="259">
        <f>VLOOKUP(O37,deuda!A46:J544,5,0)</f>
        <v>0</v>
      </c>
      <c r="R37" s="131" t="str">
        <f>IF(VLOOKUP(O37,deuda!A46:J544,6,0)=0,"",VLOOKUP(O37,deuda!A46:J544,6,0))</f>
        <v/>
      </c>
      <c r="S37" s="531" t="str">
        <f>IF((VLOOKUP(O37,deuda!A46:J544,7,0))=0,"",VLOOKUP(O37,deuda!A46:J544,7,0))</f>
        <v/>
      </c>
      <c r="T37" s="532" t="str">
        <f>IF((VLOOKUP(O37,deuda!A46:J544,8,0))=0,"",VLOOKUP(O37,deuda!A46:J544,8,0))</f>
        <v/>
      </c>
    </row>
    <row r="38" spans="1:20" ht="27" customHeight="1">
      <c r="A38" s="24">
        <v>20</v>
      </c>
      <c r="B38" s="250">
        <v>1253</v>
      </c>
      <c r="C38" s="250">
        <v>86</v>
      </c>
      <c r="D38" s="250">
        <v>2</v>
      </c>
      <c r="E38" s="9">
        <v>10</v>
      </c>
      <c r="F38" s="85" t="str">
        <f t="shared" si="4"/>
        <v>SI</v>
      </c>
      <c r="G38" s="236" t="s">
        <v>546</v>
      </c>
      <c r="H38" s="125">
        <f>IF(Hijuelas!$G$5="fracción",IF(F38="NO",0,IF(Hijuelas!$G$6="si",IF(D38=1,E38,E38*0.8),E38)),IF(F38="NO",0,IF(Hijuelas!$G$6="si",IF(D38=1,ROUNDUP(E38,0),ROUNDUP(E38*0.8,0)),ROUNDUP(E38,0))))</f>
        <v>8</v>
      </c>
      <c r="I38" s="269">
        <v>0</v>
      </c>
      <c r="J38" s="269">
        <f t="shared" si="0"/>
        <v>7.1356015792590405E-2</v>
      </c>
      <c r="K38" s="341">
        <f t="shared" si="1"/>
        <v>42974.969183849549</v>
      </c>
      <c r="L38" s="95">
        <f t="shared" si="2"/>
        <v>42975.040539865338</v>
      </c>
      <c r="M38" s="5"/>
      <c r="N38" s="5"/>
      <c r="O38" s="242" t="str">
        <f t="shared" si="3"/>
        <v>125386</v>
      </c>
      <c r="P38" s="259">
        <f>VLOOKUP(O38,deuda!$A$1:$H$501,4,0)</f>
        <v>1</v>
      </c>
      <c r="Q38" s="259">
        <f>VLOOKUP(O38,deuda!A47:J545,5,0)</f>
        <v>0</v>
      </c>
      <c r="R38" s="131" t="str">
        <f>IF(VLOOKUP(O38,deuda!A47:J545,6,0)=0,"",VLOOKUP(O38,deuda!A47:J545,6,0))</f>
        <v/>
      </c>
      <c r="S38" s="531" t="str">
        <f>IF((VLOOKUP(O38,deuda!A47:J545,7,0))=0,"",VLOOKUP(O38,deuda!A47:J545,7,0))</f>
        <v/>
      </c>
      <c r="T38" s="532" t="str">
        <f>IF((VLOOKUP(O38,deuda!A47:J545,8,0))=0,"",VLOOKUP(O38,deuda!A47:J545,8,0))</f>
        <v/>
      </c>
    </row>
    <row r="39" spans="1:20" ht="27" customHeight="1">
      <c r="A39" s="24">
        <v>21</v>
      </c>
      <c r="B39" s="250">
        <v>1253</v>
      </c>
      <c r="C39" s="250">
        <v>91</v>
      </c>
      <c r="D39" s="250">
        <v>2</v>
      </c>
      <c r="E39" s="9">
        <v>11.2112</v>
      </c>
      <c r="F39" s="85" t="str">
        <f t="shared" si="4"/>
        <v>SI</v>
      </c>
      <c r="G39" s="38" t="s">
        <v>547</v>
      </c>
      <c r="H39" s="125">
        <f>IF(Hijuelas!$G$5="fracción",IF(F39="NO",0,IF(Hijuelas!$G$6="si",IF(D39=1,E39,E39*0.8),E39)),IF(F39="NO",0,IF(Hijuelas!$G$6="si",IF(D39=1,ROUNDUP(E39,0),ROUNDUP(E39*0.8,0)),ROUNDUP(E39,0))))</f>
        <v>8.9689600000000009</v>
      </c>
      <c r="I39" s="269">
        <v>4.1666666666666664E-2</v>
      </c>
      <c r="J39" s="269">
        <f t="shared" si="0"/>
        <v>7.9998656425388961E-2</v>
      </c>
      <c r="K39" s="341">
        <f t="shared" si="1"/>
        <v>42974.847518526461</v>
      </c>
      <c r="L39" s="95">
        <f t="shared" si="2"/>
        <v>42974.969183849549</v>
      </c>
      <c r="M39" s="5"/>
      <c r="N39" s="5"/>
      <c r="O39" s="242" t="str">
        <f t="shared" si="3"/>
        <v>125391</v>
      </c>
      <c r="P39" s="259">
        <f>VLOOKUP(O39,deuda!$A$1:$H$501,4,0)</f>
        <v>1</v>
      </c>
      <c r="Q39" s="259">
        <f>VLOOKUP(O39,deuda!A48:J546,5,0)</f>
        <v>0</v>
      </c>
      <c r="R39" s="131" t="str">
        <f>IF(VLOOKUP(O39,deuda!A48:J546,6,0)=0,"",VLOOKUP(O39,deuda!A48:J546,6,0))</f>
        <v/>
      </c>
      <c r="S39" s="531" t="str">
        <f>IF((VLOOKUP(O39,deuda!A48:J546,7,0))=0,"",VLOOKUP(O39,deuda!A48:J546,7,0))</f>
        <v/>
      </c>
      <c r="T39" s="532" t="str">
        <f>IF((VLOOKUP(O39,deuda!A48:J546,8,0))=0,"",VLOOKUP(O39,deuda!A48:J546,8,0))</f>
        <v/>
      </c>
    </row>
    <row r="40" spans="1:20" ht="27" customHeight="1">
      <c r="A40" s="24">
        <v>22</v>
      </c>
      <c r="B40" s="250">
        <v>1253</v>
      </c>
      <c r="C40" s="250">
        <v>122</v>
      </c>
      <c r="D40" s="250">
        <v>2</v>
      </c>
      <c r="E40" s="9">
        <v>31.211200000000002</v>
      </c>
      <c r="F40" s="85" t="str">
        <f t="shared" si="4"/>
        <v>SI</v>
      </c>
      <c r="G40" s="38" t="s">
        <v>548</v>
      </c>
      <c r="H40" s="125">
        <f>IF(Hijuelas!$G$5="fracción",IF(F40="NO",0,IF(Hijuelas!$G$6="si",IF(D40=1,E40,E40*0.8),E40)),IF(F40="NO",0,IF(Hijuelas!$G$6="si",IF(D40=1,ROUNDUP(E40,0),ROUNDUP(E40*0.8,0)),ROUNDUP(E40,0))))</f>
        <v>24.968960000000003</v>
      </c>
      <c r="I40" s="269">
        <v>0</v>
      </c>
      <c r="J40" s="269">
        <f t="shared" ref="J40:J46" si="5">+$I$7/60*H40</f>
        <v>0.22271068801056979</v>
      </c>
      <c r="K40" s="341">
        <f t="shared" si="1"/>
        <v>42974.624807838452</v>
      </c>
      <c r="L40" s="95">
        <f t="shared" si="2"/>
        <v>42974.847518526461</v>
      </c>
      <c r="M40" s="5"/>
      <c r="N40" s="5"/>
      <c r="O40" s="242" t="str">
        <f t="shared" ref="O40:O46" si="6">+CONCATENATE(B40,C40)</f>
        <v>1253122</v>
      </c>
      <c r="P40" s="259">
        <f>VLOOKUP(O40,deuda!$A$1:$H$501,4,0)</f>
        <v>1</v>
      </c>
      <c r="Q40" s="259">
        <f>VLOOKUP(O40,deuda!A49:J547,5,0)</f>
        <v>0</v>
      </c>
      <c r="R40" s="131" t="str">
        <f>IF(VLOOKUP(O40,deuda!A49:J547,6,0)=0,"",VLOOKUP(O40,deuda!A49:J547,6,0))</f>
        <v/>
      </c>
      <c r="S40" s="531" t="str">
        <f>IF((VLOOKUP(O40,deuda!A49:J547,7,0))=0,"",VLOOKUP(O40,deuda!A49:J547,7,0))</f>
        <v/>
      </c>
      <c r="T40" s="532" t="str">
        <f>IF((VLOOKUP(O40,deuda!A49:J547,8,0))=0,"",VLOOKUP(O40,deuda!A49:J547,8,0))</f>
        <v/>
      </c>
    </row>
    <row r="41" spans="1:20" ht="27" customHeight="1">
      <c r="A41" s="24">
        <v>22</v>
      </c>
      <c r="B41" s="250">
        <v>1253</v>
      </c>
      <c r="C41" s="250">
        <v>62</v>
      </c>
      <c r="D41" s="250">
        <v>2</v>
      </c>
      <c r="E41" s="9">
        <v>10</v>
      </c>
      <c r="F41" s="85" t="str">
        <f t="shared" si="4"/>
        <v>SI</v>
      </c>
      <c r="G41" s="38" t="s">
        <v>548</v>
      </c>
      <c r="H41" s="125">
        <f>IF(Hijuelas!$G$5="fracción",IF(F41="NO",0,IF(Hijuelas!$G$6="si",IF(D41=1,E41,E41*0.8),E41)),IF(F41="NO",0,IF(Hijuelas!$G$6="si",IF(D41=1,ROUNDUP(E41,0),ROUNDUP(E41*0.8,0)),ROUNDUP(E41,0))))</f>
        <v>8</v>
      </c>
      <c r="I41" s="269">
        <v>0</v>
      </c>
      <c r="J41" s="269">
        <f t="shared" si="5"/>
        <v>7.1356015792590405E-2</v>
      </c>
      <c r="K41" s="341">
        <f t="shared" si="1"/>
        <v>42974.553451822663</v>
      </c>
      <c r="L41" s="95">
        <f t="shared" si="2"/>
        <v>42974.624807838452</v>
      </c>
      <c r="M41" s="5"/>
      <c r="N41" s="5"/>
      <c r="O41" s="242" t="str">
        <f t="shared" si="6"/>
        <v>125362</v>
      </c>
      <c r="P41" s="259">
        <f>VLOOKUP(O41,deuda!$A$1:$H$501,4,0)</f>
        <v>1</v>
      </c>
      <c r="Q41" s="259">
        <f>VLOOKUP(O41,deuda!A50:J548,5,0)</f>
        <v>0</v>
      </c>
      <c r="R41" s="131" t="str">
        <f>IF(VLOOKUP(O41,deuda!A50:J548,6,0)=0,"",VLOOKUP(O41,deuda!A50:J548,6,0))</f>
        <v/>
      </c>
      <c r="S41" s="531" t="str">
        <f>IF((VLOOKUP(O41,deuda!A50:J548,7,0))=0,"",VLOOKUP(O41,deuda!A50:J548,7,0))</f>
        <v/>
      </c>
      <c r="T41" s="532" t="str">
        <f>IF((VLOOKUP(O41,deuda!A50:J548,8,0))=0,"",VLOOKUP(O41,deuda!A50:J548,8,0))</f>
        <v/>
      </c>
    </row>
    <row r="42" spans="1:20" ht="27" customHeight="1">
      <c r="A42" s="24">
        <v>23</v>
      </c>
      <c r="B42" s="250">
        <v>1253</v>
      </c>
      <c r="C42" s="250">
        <v>105</v>
      </c>
      <c r="D42" s="250">
        <v>2</v>
      </c>
      <c r="E42" s="9">
        <v>5.9996999999999998</v>
      </c>
      <c r="F42" s="85" t="str">
        <f t="shared" si="4"/>
        <v>SI</v>
      </c>
      <c r="G42" s="38" t="s">
        <v>164</v>
      </c>
      <c r="H42" s="125">
        <f>IF(Hijuelas!$G$5="fracción",IF(F42="NO",0,IF(Hijuelas!$G$6="si",IF(D42=1,E42,E42*0.8),E42)),IF(F42="NO",0,IF(Hijuelas!$G$6="si",IF(D42=1,ROUNDUP(E42,0),ROUNDUP(E42*0.8,0)),ROUNDUP(E42,0))))</f>
        <v>4.79976</v>
      </c>
      <c r="I42" s="269">
        <v>0</v>
      </c>
      <c r="J42" s="269">
        <f t="shared" si="5"/>
        <v>4.2811468795080465E-2</v>
      </c>
      <c r="K42" s="341">
        <f t="shared" si="1"/>
        <v>42974.510640353867</v>
      </c>
      <c r="L42" s="95">
        <f t="shared" si="2"/>
        <v>42974.553451822663</v>
      </c>
      <c r="M42" s="5"/>
      <c r="N42" s="5"/>
      <c r="O42" s="242" t="str">
        <f t="shared" si="6"/>
        <v>1253105</v>
      </c>
      <c r="P42" s="259">
        <f>VLOOKUP(O42,deuda!$A$1:$H$501,4,0)</f>
        <v>1</v>
      </c>
      <c r="Q42" s="259">
        <f>VLOOKUP(O42,deuda!A51:J549,5,0)</f>
        <v>0</v>
      </c>
      <c r="R42" s="131" t="str">
        <f>IF(VLOOKUP(O42,deuda!A51:J549,6,0)=0,"",VLOOKUP(O42,deuda!A51:J549,6,0))</f>
        <v/>
      </c>
      <c r="S42" s="531" t="str">
        <f>IF((VLOOKUP(O42,deuda!A51:J549,7,0))=0,"",VLOOKUP(O42,deuda!A51:J549,7,0))</f>
        <v/>
      </c>
      <c r="T42" s="532" t="str">
        <f>IF((VLOOKUP(O42,deuda!A51:J549,8,0))=0,"",VLOOKUP(O42,deuda!A51:J549,8,0))</f>
        <v/>
      </c>
    </row>
    <row r="43" spans="1:20" ht="27" customHeight="1">
      <c r="A43" s="24">
        <v>23</v>
      </c>
      <c r="B43" s="250">
        <v>1253</v>
      </c>
      <c r="C43" s="250">
        <v>139</v>
      </c>
      <c r="D43" s="250">
        <v>2</v>
      </c>
      <c r="E43" s="9">
        <v>15.1523</v>
      </c>
      <c r="F43" s="85" t="str">
        <f t="shared" si="4"/>
        <v>SI</v>
      </c>
      <c r="G43" s="38" t="s">
        <v>549</v>
      </c>
      <c r="H43" s="125">
        <f>IF(Hijuelas!$G$5="fracción",IF(F43="NO",0,IF(Hijuelas!$G$6="si",IF(D43=1,E43,E43*0.8),E43)),IF(F43="NO",0,IF(Hijuelas!$G$6="si",IF(D43=1,ROUNDUP(E43,0),ROUNDUP(E43*0.8,0)),ROUNDUP(E43,0))))</f>
        <v>12.121840000000001</v>
      </c>
      <c r="I43" s="269">
        <v>6.25E-2</v>
      </c>
      <c r="J43" s="269">
        <f t="shared" si="5"/>
        <v>0.10812077580940677</v>
      </c>
      <c r="K43" s="341">
        <f t="shared" si="1"/>
        <v>42974.340019578056</v>
      </c>
      <c r="L43" s="95">
        <f t="shared" si="2"/>
        <v>42974.510640353867</v>
      </c>
      <c r="M43" s="5"/>
      <c r="N43" s="5"/>
      <c r="O43" s="242" t="str">
        <f t="shared" si="6"/>
        <v>1253139</v>
      </c>
      <c r="P43" s="259">
        <f>VLOOKUP(O43,deuda!$A$1:$H$501,4,0)</f>
        <v>1</v>
      </c>
      <c r="Q43" s="259">
        <f>VLOOKUP(O43,deuda!A52:J550,5,0)</f>
        <v>0</v>
      </c>
      <c r="R43" s="131" t="str">
        <f>IF(VLOOKUP(O43,deuda!A52:J550,6,0)=0,"",VLOOKUP(O43,deuda!A52:J550,6,0))</f>
        <v/>
      </c>
      <c r="S43" s="531" t="str">
        <f>IF((VLOOKUP(O43,deuda!A52:J550,7,0))=0,"",VLOOKUP(O43,deuda!A52:J550,7,0))</f>
        <v/>
      </c>
      <c r="T43" s="532" t="str">
        <f>IF((VLOOKUP(O43,deuda!A52:J550,8,0))=0,"",VLOOKUP(O43,deuda!A52:J550,8,0))</f>
        <v/>
      </c>
    </row>
    <row r="44" spans="1:20" ht="27" customHeight="1">
      <c r="A44" s="24">
        <v>24</v>
      </c>
      <c r="B44" s="250">
        <v>1253</v>
      </c>
      <c r="C44" s="250">
        <v>125</v>
      </c>
      <c r="D44" s="250">
        <v>2</v>
      </c>
      <c r="E44" s="9">
        <v>22.289400000000001</v>
      </c>
      <c r="F44" s="245" t="str">
        <f t="shared" si="4"/>
        <v>NO</v>
      </c>
      <c r="G44" s="38" t="s">
        <v>550</v>
      </c>
      <c r="H44" s="125">
        <f>IF(Hijuelas!$G$5="fracción",IF(F44="NO",0,IF(Hijuelas!$G$6="si",IF(D44=1,E44,E44*0.8),E44)),IF(F44="NO",0,IF(Hijuelas!$G$6="si",IF(D44=1,ROUNDUP(E44,0),ROUNDUP(E44*0.8,0)),ROUNDUP(E44,0))))</f>
        <v>0</v>
      </c>
      <c r="I44" s="269">
        <v>0</v>
      </c>
      <c r="J44" s="269">
        <f t="shared" si="5"/>
        <v>0</v>
      </c>
      <c r="K44" s="341">
        <f t="shared" si="1"/>
        <v>42974.340019578056</v>
      </c>
      <c r="L44" s="95">
        <f t="shared" si="2"/>
        <v>42974.340019578056</v>
      </c>
      <c r="M44" s="5"/>
      <c r="N44" s="5"/>
      <c r="O44" s="242" t="str">
        <f t="shared" si="6"/>
        <v>1253125</v>
      </c>
      <c r="P44" s="259">
        <f>VLOOKUP(O44,deuda!$A$1:$H$501,4,0)</f>
        <v>0</v>
      </c>
      <c r="Q44" s="259">
        <f>VLOOKUP(O44,deuda!A61:J559,5,0)</f>
        <v>16</v>
      </c>
      <c r="R44" s="131" t="str">
        <f>IF(VLOOKUP(O44,deuda!A61:J559,6,0)=0,"",VLOOKUP(O44,deuda!A61:J559,6,0))</f>
        <v/>
      </c>
      <c r="S44" s="531" t="str">
        <f>IF((VLOOKUP(O44,deuda!A61:J559,7,0))=0,"",VLOOKUP(O44,deuda!A61:J559,7,0))</f>
        <v/>
      </c>
      <c r="T44" s="532" t="str">
        <f>IF((VLOOKUP(O44,deuda!A61:J559,8,0))=0,"",VLOOKUP(O44,deuda!A61:J559,8,0))</f>
        <v/>
      </c>
    </row>
    <row r="45" spans="1:20" ht="27" customHeight="1">
      <c r="A45" s="24">
        <v>24</v>
      </c>
      <c r="B45" s="250">
        <v>1253</v>
      </c>
      <c r="C45" s="250">
        <v>96</v>
      </c>
      <c r="D45" s="250">
        <v>2</v>
      </c>
      <c r="E45" s="9">
        <v>9.7974999999999994</v>
      </c>
      <c r="F45" s="245" t="str">
        <f t="shared" si="4"/>
        <v>NO</v>
      </c>
      <c r="G45" s="38" t="s">
        <v>550</v>
      </c>
      <c r="H45" s="125">
        <f>IF(Hijuelas!$G$5="fracción",IF(F45="NO",0,IF(Hijuelas!$G$6="si",IF(D45=1,E45,E45*0.8),E45)),IF(F45="NO",0,IF(Hijuelas!$G$6="si",IF(D45=1,ROUNDUP(E45,0),ROUNDUP(E45*0.8,0)),ROUNDUP(E45,0))))</f>
        <v>0</v>
      </c>
      <c r="I45" s="269">
        <v>0</v>
      </c>
      <c r="J45" s="269">
        <f t="shared" si="5"/>
        <v>0</v>
      </c>
      <c r="K45" s="341">
        <f t="shared" si="1"/>
        <v>42974.340019578056</v>
      </c>
      <c r="L45" s="95">
        <f t="shared" si="2"/>
        <v>42974.340019578056</v>
      </c>
      <c r="M45" s="5"/>
      <c r="N45" s="5"/>
      <c r="O45" s="242" t="str">
        <f t="shared" si="6"/>
        <v>125396</v>
      </c>
      <c r="P45" s="259">
        <f>VLOOKUP(O45,deuda!$A$1:$H$501,4,0)</f>
        <v>0</v>
      </c>
      <c r="Q45" s="259">
        <f>VLOOKUP(O45,deuda!A62:J560,5,0)</f>
        <v>17</v>
      </c>
      <c r="R45" s="131" t="str">
        <f>IF(VLOOKUP(O45,deuda!A62:J560,6,0)=0,"",VLOOKUP(O45,deuda!A62:J560,6,0))</f>
        <v/>
      </c>
      <c r="S45" s="531" t="str">
        <f>IF((VLOOKUP(O45,deuda!A62:J560,7,0))=0,"",VLOOKUP(O45,deuda!A62:J560,7,0))</f>
        <v/>
      </c>
      <c r="T45" s="532" t="str">
        <f>IF((VLOOKUP(O45,deuda!A62:J560,8,0))=0,"",VLOOKUP(O45,deuda!A62:J560,8,0))</f>
        <v/>
      </c>
    </row>
    <row r="46" spans="1:20" ht="27" customHeight="1">
      <c r="A46" s="24">
        <v>25</v>
      </c>
      <c r="B46" s="250">
        <v>1253</v>
      </c>
      <c r="C46" s="250">
        <v>28</v>
      </c>
      <c r="D46" s="250">
        <v>2</v>
      </c>
      <c r="E46" s="9">
        <v>11.2112</v>
      </c>
      <c r="F46" s="85" t="str">
        <f t="shared" si="4"/>
        <v>NO</v>
      </c>
      <c r="G46" s="38" t="s">
        <v>551</v>
      </c>
      <c r="H46" s="125">
        <f>IF(Hijuelas!$G$5="fracción",IF(F46="NO",0,IF(Hijuelas!$G$6="si",IF(D46=1,E46,E46*0.8),E46)),IF(F46="NO",0,IF(Hijuelas!$G$6="si",IF(D46=1,ROUNDUP(E46,0),ROUNDUP(E46*0.8,0)),ROUNDUP(E46,0))))</f>
        <v>0</v>
      </c>
      <c r="I46" s="269">
        <v>0</v>
      </c>
      <c r="J46" s="269">
        <f t="shared" si="5"/>
        <v>0</v>
      </c>
      <c r="K46" s="341">
        <f t="shared" si="1"/>
        <v>42974.340019578056</v>
      </c>
      <c r="L46" s="95">
        <f t="shared" si="2"/>
        <v>42974.340019578056</v>
      </c>
      <c r="M46" s="5"/>
      <c r="N46" s="5"/>
      <c r="O46" s="242" t="str">
        <f t="shared" si="6"/>
        <v>125328</v>
      </c>
      <c r="P46" s="259">
        <f>VLOOKUP(O46,deuda!$A$1:$H$501,4,0)</f>
        <v>0</v>
      </c>
      <c r="Q46" s="259">
        <f>VLOOKUP(O46,deuda!A19:J517,5,0)</f>
        <v>17</v>
      </c>
      <c r="R46" s="131" t="str">
        <f>IF(VLOOKUP(O46,deuda!A19:J517,6,0)=0,"",VLOOKUP(O46,deuda!A19:J517,6,0))</f>
        <v/>
      </c>
      <c r="S46" s="531" t="str">
        <f>IF((VLOOKUP(O46,deuda!A19:J517,7,0))=0,"",VLOOKUP(O46,deuda!A19:J517,7,0))</f>
        <v/>
      </c>
      <c r="T46" s="532" t="str">
        <f>IF((VLOOKUP(O46,deuda!A19:J517,8,0))=0,"",VLOOKUP(O46,deuda!A19:J517,8,0))</f>
        <v/>
      </c>
    </row>
    <row r="47" spans="1:20" ht="27" customHeight="1">
      <c r="A47" s="24">
        <v>26</v>
      </c>
      <c r="B47" s="250">
        <v>1253</v>
      </c>
      <c r="C47" s="250">
        <v>67</v>
      </c>
      <c r="D47" s="250">
        <v>2</v>
      </c>
      <c r="E47" s="9">
        <v>10</v>
      </c>
      <c r="F47" s="85" t="str">
        <f t="shared" si="4"/>
        <v>SI</v>
      </c>
      <c r="G47" s="38" t="s">
        <v>552</v>
      </c>
      <c r="H47" s="125">
        <f>IF(Hijuelas!$G$5="fracción",IF(F47="NO",0,IF(Hijuelas!$G$6="si",IF(D47=1,E47,E47*0.8),E47)),IF(F47="NO",0,IF(Hijuelas!$G$6="si",IF(D47=1,ROUNDUP(E47,0),ROUNDUP(E47*0.8,0)),ROUNDUP(E47,0))))</f>
        <v>8</v>
      </c>
      <c r="I47" s="269">
        <v>0</v>
      </c>
      <c r="J47" s="269">
        <f t="shared" ref="J47:J55" si="7">+$I$7/60*H47</f>
        <v>7.1356015792590405E-2</v>
      </c>
      <c r="K47" s="341">
        <f t="shared" si="1"/>
        <v>42974.268663562267</v>
      </c>
      <c r="L47" s="95">
        <f t="shared" si="2"/>
        <v>42974.340019578056</v>
      </c>
      <c r="M47" s="5"/>
      <c r="N47" s="5"/>
      <c r="O47" s="242" t="str">
        <f t="shared" ref="O47:O56" si="8">+CONCATENATE(B47,C47)</f>
        <v>125367</v>
      </c>
      <c r="P47" s="259">
        <f>VLOOKUP(O47,deuda!$A$1:$H$501,4,0)</f>
        <v>1</v>
      </c>
      <c r="Q47" s="259">
        <f>VLOOKUP(O47,deuda!A59:J557,5,0)</f>
        <v>0</v>
      </c>
      <c r="R47" s="131" t="str">
        <f>IF(VLOOKUP(O47,deuda!A59:J557,6,0)=0,"",VLOOKUP(O47,deuda!A59:J557,6,0))</f>
        <v/>
      </c>
      <c r="S47" s="531" t="str">
        <f>IF((VLOOKUP(O47,deuda!A59:J557,7,0))=0,"",VLOOKUP(O47,deuda!A59:J557,7,0))</f>
        <v/>
      </c>
      <c r="T47" s="532" t="str">
        <f>IF((VLOOKUP(O47,deuda!A59:J557,8,0))=0,"",VLOOKUP(O47,deuda!A59:J557,8,0))</f>
        <v/>
      </c>
    </row>
    <row r="48" spans="1:20" ht="27" customHeight="1">
      <c r="A48" s="24">
        <v>27</v>
      </c>
      <c r="B48" s="250">
        <v>1253</v>
      </c>
      <c r="C48" s="250">
        <v>61</v>
      </c>
      <c r="D48" s="250">
        <v>2</v>
      </c>
      <c r="E48" s="9">
        <v>10</v>
      </c>
      <c r="F48" s="85" t="str">
        <f t="shared" si="4"/>
        <v>SI</v>
      </c>
      <c r="G48" s="38" t="s">
        <v>553</v>
      </c>
      <c r="H48" s="125">
        <f>IF(Hijuelas!$G$5="fracción",IF(F48="NO",0,IF(Hijuelas!$G$6="si",IF(D48=1,E48,E48*0.8),E48)),IF(F48="NO",0,IF(Hijuelas!$G$6="si",IF(D48=1,ROUNDUP(E48,0),ROUNDUP(E48*0.8,0)),ROUNDUP(E48,0))))</f>
        <v>8</v>
      </c>
      <c r="I48" s="269">
        <v>0</v>
      </c>
      <c r="J48" s="269">
        <f t="shared" si="7"/>
        <v>7.1356015792590405E-2</v>
      </c>
      <c r="K48" s="341">
        <f t="shared" si="1"/>
        <v>42974.197307546478</v>
      </c>
      <c r="L48" s="95">
        <f t="shared" si="2"/>
        <v>42974.268663562267</v>
      </c>
      <c r="M48" s="5"/>
      <c r="N48" s="5"/>
      <c r="O48" s="242" t="str">
        <f t="shared" si="8"/>
        <v>125361</v>
      </c>
      <c r="P48" s="259">
        <f>VLOOKUP(O48,deuda!$A$1:$H$501,4,0)</f>
        <v>1</v>
      </c>
      <c r="Q48" s="259">
        <f>VLOOKUP(O48,deuda!A60:J558,5,0)</f>
        <v>1</v>
      </c>
      <c r="R48" s="131" t="str">
        <f>IF(VLOOKUP(O48,deuda!A60:J558,6,0)=0,"",VLOOKUP(O48,deuda!A60:J558,6,0))</f>
        <v/>
      </c>
      <c r="S48" s="531" t="str">
        <f>IF((VLOOKUP(O48,deuda!A60:J558,7,0))=0,"",VLOOKUP(O48,deuda!A60:J558,7,0))</f>
        <v/>
      </c>
      <c r="T48" s="532" t="str">
        <f>IF((VLOOKUP(O48,deuda!A60:J558,8,0))=0,"",VLOOKUP(O48,deuda!A60:J558,8,0))</f>
        <v/>
      </c>
    </row>
    <row r="49" spans="1:20" ht="27" customHeight="1">
      <c r="A49" s="24">
        <v>28</v>
      </c>
      <c r="B49" s="250">
        <v>1253</v>
      </c>
      <c r="C49" s="250">
        <v>65</v>
      </c>
      <c r="D49" s="250">
        <v>2</v>
      </c>
      <c r="E49" s="9">
        <v>1.806</v>
      </c>
      <c r="F49" s="85" t="str">
        <f t="shared" ref="F49:F55" si="9">IF(P49=0,"NO",IF(P49=1,"SI","CONDICIONAL"))</f>
        <v>SI</v>
      </c>
      <c r="G49" s="38" t="s">
        <v>554</v>
      </c>
      <c r="H49" s="125">
        <f>IF(Hijuelas!$G$5="fracción",IF(F49="NO",0,IF(Hijuelas!$G$6="si",IF(D49=1,E49,E49*0.8),E49)),IF(F49="NO",0,IF(Hijuelas!$G$6="si",IF(D49=1,ROUNDUP(E49,0),ROUNDUP(E49*0.8,0)),ROUNDUP(E49,0))))</f>
        <v>1.4448000000000001</v>
      </c>
      <c r="I49" s="269">
        <v>0</v>
      </c>
      <c r="J49" s="269">
        <f t="shared" si="7"/>
        <v>1.2886896452141828E-2</v>
      </c>
      <c r="K49" s="341">
        <f t="shared" si="1"/>
        <v>42974.184420650025</v>
      </c>
      <c r="L49" s="95">
        <f t="shared" si="2"/>
        <v>42974.197307546478</v>
      </c>
      <c r="M49" s="5"/>
      <c r="N49" s="5"/>
      <c r="O49" s="242" t="str">
        <f t="shared" si="8"/>
        <v>125365</v>
      </c>
      <c r="P49" s="259">
        <f>VLOOKUP(O49,deuda!$A$1:$H$501,4,0)</f>
        <v>1</v>
      </c>
      <c r="Q49" s="259">
        <f>VLOOKUP(O49,deuda!A53:J551,5,0)</f>
        <v>2</v>
      </c>
      <c r="R49" s="131" t="str">
        <f>IF(VLOOKUP(O49,deuda!A53:J551,6,0)=0,"",VLOOKUP(O49,deuda!A53:J551,6,0))</f>
        <v/>
      </c>
      <c r="S49" s="531" t="str">
        <f>IF((VLOOKUP(O49,deuda!A53:J551,7,0))=0,"",VLOOKUP(O49,deuda!A53:J551,7,0))</f>
        <v/>
      </c>
      <c r="T49" s="532" t="str">
        <f>IF((VLOOKUP(O49,deuda!A53:J551,8,0))=0,"",VLOOKUP(O49,deuda!A53:J551,8,0))</f>
        <v/>
      </c>
    </row>
    <row r="50" spans="1:20" ht="27" customHeight="1">
      <c r="A50" s="248">
        <v>29</v>
      </c>
      <c r="B50" s="250">
        <v>1253</v>
      </c>
      <c r="C50" s="250">
        <v>87</v>
      </c>
      <c r="D50" s="250">
        <v>2</v>
      </c>
      <c r="E50" s="9">
        <v>20</v>
      </c>
      <c r="F50" s="85" t="str">
        <f t="shared" si="9"/>
        <v>SI</v>
      </c>
      <c r="G50" s="38" t="s">
        <v>555</v>
      </c>
      <c r="H50" s="125">
        <f>IF(Hijuelas!$G$5="fracción",IF(F50="NO",0,IF(Hijuelas!$G$6="si",IF(D50=1,E50,E50*0.8),E50)),IF(F50="NO",0,IF(Hijuelas!$G$6="si",IF(D50=1,ROUNDUP(E50,0),ROUNDUP(E50*0.8,0)),ROUNDUP(E50,0))))</f>
        <v>16</v>
      </c>
      <c r="I50" s="269">
        <v>0</v>
      </c>
      <c r="J50" s="269">
        <f t="shared" si="7"/>
        <v>0.14271203158518081</v>
      </c>
      <c r="K50" s="341">
        <f t="shared" si="1"/>
        <v>42974.041708618439</v>
      </c>
      <c r="L50" s="95">
        <f t="shared" si="2"/>
        <v>42974.184420650025</v>
      </c>
      <c r="M50" s="5"/>
      <c r="N50" s="5"/>
      <c r="O50" s="242" t="str">
        <f t="shared" si="8"/>
        <v>125387</v>
      </c>
      <c r="P50" s="259">
        <f>VLOOKUP(O50,deuda!$A$1:$H$501,4,0)</f>
        <v>1</v>
      </c>
      <c r="Q50" s="259">
        <f>VLOOKUP(O50,deuda!A54:J552,5,0)</f>
        <v>0</v>
      </c>
      <c r="R50" s="131" t="str">
        <f>IF(VLOOKUP(O50,deuda!A54:J552,6,0)=0,"",VLOOKUP(O50,deuda!A54:J552,6,0))</f>
        <v/>
      </c>
      <c r="S50" s="531" t="str">
        <f>IF((VLOOKUP(O50,deuda!A54:J552,7,0))=0,"",VLOOKUP(O50,deuda!A54:J552,7,0))</f>
        <v/>
      </c>
      <c r="T50" s="532" t="str">
        <f>IF((VLOOKUP(O50,deuda!A54:J552,8,0))=0,"",VLOOKUP(O50,deuda!A54:J552,8,0))</f>
        <v/>
      </c>
    </row>
    <row r="51" spans="1:20" ht="27" customHeight="1">
      <c r="A51" s="24">
        <v>29</v>
      </c>
      <c r="B51" s="250">
        <v>1253</v>
      </c>
      <c r="C51" s="250">
        <v>123</v>
      </c>
      <c r="D51" s="250">
        <v>2</v>
      </c>
      <c r="E51" s="9">
        <v>5</v>
      </c>
      <c r="F51" s="85" t="str">
        <f t="shared" si="9"/>
        <v>SI</v>
      </c>
      <c r="G51" s="38" t="s">
        <v>214</v>
      </c>
      <c r="H51" s="125">
        <f>IF(Hijuelas!$G$5="fracción",IF(F51="NO",0,IF(Hijuelas!$G$6="si",IF(D51=1,E51,E51*0.8),E51)),IF(F51="NO",0,IF(Hijuelas!$G$6="si",IF(D51=1,ROUNDUP(E51,0),ROUNDUP(E51*0.8,0)),ROUNDUP(E51,0))))</f>
        <v>4</v>
      </c>
      <c r="I51" s="269">
        <v>0</v>
      </c>
      <c r="J51" s="269">
        <f t="shared" si="7"/>
        <v>3.5678007896295202E-2</v>
      </c>
      <c r="K51" s="341">
        <f t="shared" si="1"/>
        <v>42974.006030610544</v>
      </c>
      <c r="L51" s="95">
        <f t="shared" si="2"/>
        <v>42974.041708618439</v>
      </c>
      <c r="M51" s="5"/>
      <c r="N51" s="5"/>
      <c r="O51" s="242" t="str">
        <f t="shared" si="8"/>
        <v>1253123</v>
      </c>
      <c r="P51" s="259">
        <f>VLOOKUP(O51,deuda!$A$1:$H$501,4,0)</f>
        <v>1</v>
      </c>
      <c r="Q51" s="259">
        <f>VLOOKUP(O51,deuda!A55:J553,5,0)</f>
        <v>0</v>
      </c>
      <c r="R51" s="131" t="str">
        <f>IF(VLOOKUP(O51,deuda!A55:J553,6,0)=0,"",VLOOKUP(O51,deuda!A55:J553,6,0))</f>
        <v/>
      </c>
      <c r="S51" s="531" t="str">
        <f>IF((VLOOKUP(O51,deuda!A55:J553,7,0))=0,"",VLOOKUP(O51,deuda!A55:J553,7,0))</f>
        <v/>
      </c>
      <c r="T51" s="532" t="str">
        <f>IF((VLOOKUP(O51,deuda!A55:J553,8,0))=0,"",VLOOKUP(O51,deuda!A55:J553,8,0))</f>
        <v/>
      </c>
    </row>
    <row r="52" spans="1:20" ht="27" customHeight="1">
      <c r="A52" s="24">
        <v>29</v>
      </c>
      <c r="B52" s="250">
        <v>1253</v>
      </c>
      <c r="C52" s="250">
        <v>107</v>
      </c>
      <c r="D52" s="250">
        <v>2</v>
      </c>
      <c r="E52" s="9">
        <v>8.2212999999999994</v>
      </c>
      <c r="F52" s="85" t="str">
        <f t="shared" si="9"/>
        <v>SI</v>
      </c>
      <c r="G52" s="38" t="s">
        <v>556</v>
      </c>
      <c r="H52" s="125">
        <f>IF(Hijuelas!$G$5="fracción",IF(F52="NO",0,IF(Hijuelas!$G$6="si",IF(D52=1,E52,E52*0.8),E52)),IF(F52="NO",0,IF(Hijuelas!$G$6="si",IF(D52=1,ROUNDUP(E52,0),ROUNDUP(E52*0.8,0)),ROUNDUP(E52,0))))</f>
        <v>6.5770400000000002</v>
      </c>
      <c r="I52" s="269">
        <v>0</v>
      </c>
      <c r="J52" s="269">
        <f t="shared" si="7"/>
        <v>5.8663921263562353E-2</v>
      </c>
      <c r="K52" s="341">
        <f t="shared" si="1"/>
        <v>42973.947366689281</v>
      </c>
      <c r="L52" s="95">
        <f t="shared" si="2"/>
        <v>42974.006030610544</v>
      </c>
      <c r="M52" s="5"/>
      <c r="N52" s="5"/>
      <c r="O52" s="242" t="str">
        <f t="shared" si="8"/>
        <v>1253107</v>
      </c>
      <c r="P52" s="259">
        <f>VLOOKUP(O52,deuda!$A$1:$H$501,4,0)</f>
        <v>1</v>
      </c>
      <c r="Q52" s="259">
        <f>VLOOKUP(O52,deuda!A56:J554,5,0)</f>
        <v>0</v>
      </c>
      <c r="R52" s="131" t="str">
        <f>IF(VLOOKUP(O52,deuda!A56:J554,6,0)=0,"",VLOOKUP(O52,deuda!A56:J554,6,0))</f>
        <v/>
      </c>
      <c r="S52" s="531" t="str">
        <f>IF((VLOOKUP(O52,deuda!A56:J554,7,0))=0,"",VLOOKUP(O52,deuda!A56:J554,7,0))</f>
        <v/>
      </c>
      <c r="T52" s="532" t="str">
        <f>IF((VLOOKUP(O52,deuda!A56:J554,8,0))=0,"",VLOOKUP(O52,deuda!A56:J554,8,0))</f>
        <v/>
      </c>
    </row>
    <row r="53" spans="1:20" ht="27" customHeight="1">
      <c r="A53" s="24">
        <v>29</v>
      </c>
      <c r="B53" s="250">
        <v>1253</v>
      </c>
      <c r="C53" s="250">
        <v>131</v>
      </c>
      <c r="D53" s="250">
        <v>2</v>
      </c>
      <c r="E53" s="9">
        <v>19.739799999999999</v>
      </c>
      <c r="F53" s="85" t="str">
        <f t="shared" si="9"/>
        <v>SI</v>
      </c>
      <c r="G53" s="236" t="s">
        <v>557</v>
      </c>
      <c r="H53" s="125">
        <f>IF(Hijuelas!$G$5="fracción",IF(F53="NO",0,IF(Hijuelas!$G$6="si",IF(D53=1,E53,E53*0.8),E53)),IF(F53="NO",0,IF(Hijuelas!$G$6="si",IF(D53=1,ROUNDUP(E53,0),ROUNDUP(E53*0.8,0)),ROUNDUP(E53,0))))</f>
        <v>15.791840000000001</v>
      </c>
      <c r="I53" s="350">
        <v>0</v>
      </c>
      <c r="J53" s="269">
        <f t="shared" si="7"/>
        <v>0.14085534805425762</v>
      </c>
      <c r="K53" s="341">
        <f t="shared" si="1"/>
        <v>42973.806511341223</v>
      </c>
      <c r="L53" s="95">
        <f t="shared" si="2"/>
        <v>42973.947366689281</v>
      </c>
      <c r="M53" s="5"/>
      <c r="N53" s="5"/>
      <c r="O53" s="242" t="str">
        <f t="shared" si="8"/>
        <v>1253131</v>
      </c>
      <c r="P53" s="259">
        <f>VLOOKUP(O53,deuda!$A$1:$H$501,4,0)</f>
        <v>1</v>
      </c>
      <c r="Q53" s="259">
        <f>VLOOKUP(O53,deuda!A57:J555,5,0)</f>
        <v>0</v>
      </c>
      <c r="R53" s="131" t="str">
        <f>IF(VLOOKUP(O53,deuda!A57:J555,6,0)=0,"",VLOOKUP(O53,deuda!A57:J555,6,0))</f>
        <v/>
      </c>
      <c r="S53" s="531" t="str">
        <f>IF((VLOOKUP(O53,deuda!A57:J555,7,0))=0,"",VLOOKUP(O53,deuda!A57:J555,7,0))</f>
        <v/>
      </c>
      <c r="T53" s="532" t="str">
        <f>IF((VLOOKUP(O53,deuda!A57:J555,8,0))=0,"",VLOOKUP(O53,deuda!A57:J555,8,0))</f>
        <v/>
      </c>
    </row>
    <row r="54" spans="1:20" ht="27" customHeight="1">
      <c r="A54" s="24">
        <v>29</v>
      </c>
      <c r="B54" s="250">
        <v>1253</v>
      </c>
      <c r="C54" s="250">
        <v>137</v>
      </c>
      <c r="D54" s="250">
        <v>2</v>
      </c>
      <c r="E54" s="9">
        <v>5</v>
      </c>
      <c r="F54" s="85" t="str">
        <f t="shared" si="9"/>
        <v>SI</v>
      </c>
      <c r="G54" s="38" t="s">
        <v>557</v>
      </c>
      <c r="H54" s="125">
        <f>IF(Hijuelas!$G$5="fracción",IF(F54="NO",0,IF(Hijuelas!$G$6="si",IF(D54=1,E54,E54*0.8),E54)),IF(F54="NO",0,IF(Hijuelas!$G$6="si",IF(D54=1,ROUNDUP(E54,0),ROUNDUP(E54*0.8,0)),ROUNDUP(E54,0))))</f>
        <v>4</v>
      </c>
      <c r="I54" s="269">
        <v>0</v>
      </c>
      <c r="J54" s="269">
        <f t="shared" si="7"/>
        <v>3.5678007896295202E-2</v>
      </c>
      <c r="K54" s="341">
        <f>+L55</f>
        <v>42973.770833333328</v>
      </c>
      <c r="L54" s="95">
        <f>+K54+J54+I54</f>
        <v>42973.806511341223</v>
      </c>
      <c r="M54" s="5"/>
      <c r="N54" s="5"/>
      <c r="O54" s="242" t="str">
        <f t="shared" si="8"/>
        <v>1253137</v>
      </c>
      <c r="P54" s="259">
        <f>VLOOKUP(O54,deuda!$A$1:$H$501,4,0)</f>
        <v>1</v>
      </c>
      <c r="Q54" s="259">
        <f>VLOOKUP(O54,deuda!A25:J523,5,0)</f>
        <v>0</v>
      </c>
      <c r="R54" s="131" t="str">
        <f>IF(VLOOKUP(O54,deuda!A25:J523,6,0)=0,"",VLOOKUP(O54,deuda!A25:J523,6,0))</f>
        <v/>
      </c>
      <c r="S54" s="531" t="str">
        <f>IF((VLOOKUP(O54,deuda!A25:J523,7,0))=0,"",VLOOKUP(O54,deuda!A25:J523,7,0))</f>
        <v/>
      </c>
      <c r="T54" s="532" t="str">
        <f>IF((VLOOKUP(O54,deuda!A25:J523,8,0))=0,"",VLOOKUP(O54,deuda!A25:J523,8,0))</f>
        <v/>
      </c>
    </row>
    <row r="55" spans="1:20" ht="27" customHeight="1">
      <c r="A55" s="24">
        <v>30</v>
      </c>
      <c r="B55" s="250">
        <v>1253</v>
      </c>
      <c r="C55" s="250">
        <v>15</v>
      </c>
      <c r="D55" s="250">
        <v>2</v>
      </c>
      <c r="E55" s="9">
        <v>20</v>
      </c>
      <c r="F55" s="85" t="str">
        <f t="shared" si="9"/>
        <v>NO</v>
      </c>
      <c r="G55" s="38" t="s">
        <v>558</v>
      </c>
      <c r="H55" s="125">
        <f>IF(Hijuelas!$G$5="fracción",IF(F55="NO",0,IF(Hijuelas!$G$6="si",IF(D55=1,E55,E55*0.8),E55)),IF(F55="NO",0,IF(Hijuelas!$G$6="si",IF(D55=1,ROUNDUP(E55,0),ROUNDUP(E55*0.8,0)),ROUNDUP(E55,0))))</f>
        <v>0</v>
      </c>
      <c r="I55" s="269">
        <v>0</v>
      </c>
      <c r="J55" s="269">
        <f t="shared" si="7"/>
        <v>0</v>
      </c>
      <c r="K55" s="341">
        <f>+C3+H4</f>
        <v>42973.770833333328</v>
      </c>
      <c r="L55" s="95">
        <f>+K55+J55</f>
        <v>42973.770833333328</v>
      </c>
      <c r="M55" s="5"/>
      <c r="N55" s="5"/>
      <c r="O55" s="242" t="str">
        <f t="shared" si="8"/>
        <v>125315</v>
      </c>
      <c r="P55" s="259">
        <f>VLOOKUP(O55,deuda!$A$1:$H$501,4,0)</f>
        <v>0</v>
      </c>
      <c r="Q55" s="259">
        <f>VLOOKUP(O55,deuda!A63:J561,5,0)</f>
        <v>176</v>
      </c>
      <c r="R55" s="131" t="str">
        <f>IF(VLOOKUP(O55,deuda!A63:J561,6,0)=0,"",VLOOKUP(O55,deuda!A63:J561,6,0))</f>
        <v/>
      </c>
      <c r="S55" s="531" t="str">
        <f>IF((VLOOKUP(O55,deuda!A63:J561,7,0))=0,"",VLOOKUP(O55,deuda!A63:J561,7,0))</f>
        <v/>
      </c>
      <c r="T55" s="532" t="str">
        <f>IF((VLOOKUP(O55,deuda!A63:J561,8,0))=0,"",VLOOKUP(O55,deuda!A63:J561,8,0))</f>
        <v/>
      </c>
    </row>
    <row r="56" spans="1:20" s="10" customFormat="1" ht="27" customHeight="1">
      <c r="C56" s="80"/>
      <c r="D56" s="80"/>
      <c r="E56" s="502">
        <f>SUM(E10:E55)</f>
        <v>560.54340000000013</v>
      </c>
      <c r="F56" s="408"/>
      <c r="G56" s="284"/>
      <c r="H56" s="502">
        <f>SUM(H10:H55)</f>
        <v>389.67359999999996</v>
      </c>
      <c r="I56" s="269">
        <f>SUM(I10:I55)</f>
        <v>0.28472222222222221</v>
      </c>
      <c r="J56" s="483">
        <f>SUM(J10:J55)</f>
        <v>3.4756944444444451</v>
      </c>
      <c r="K56" s="273"/>
      <c r="L56" s="273"/>
      <c r="O56" s="10" t="str">
        <f t="shared" si="8"/>
        <v/>
      </c>
      <c r="P56" s="13">
        <f>VLOOKUP(O56,deuda!A62:J560,4,0)</f>
        <v>0</v>
      </c>
      <c r="Q56" s="13">
        <f>VLOOKUP(O56,deuda!A62:J560,5,0)</f>
        <v>0</v>
      </c>
      <c r="R56" s="13" t="str">
        <f>IF(VLOOKUP(O56,deuda!A62:J560,6,0)=0,"",VLOOKUP(O56,deuda!A62:J560,6,0))</f>
        <v/>
      </c>
      <c r="S56" s="255" t="str">
        <f>IF((VLOOKUP(O56,deuda!A62:J560,7,0))=0,"",VLOOKUP(O56,deuda!A62:J560,7,0))</f>
        <v/>
      </c>
      <c r="T56" s="255" t="str">
        <f>IF((VLOOKUP(O56,deuda!A62:J560,8,0))=0,"",VLOOKUP(O56,deuda!A62:J560,8,0))</f>
        <v/>
      </c>
    </row>
    <row r="57" spans="1:20" ht="30" customHeight="1">
      <c r="H57" s="14"/>
      <c r="I57" s="269">
        <f>H57*$I$82</f>
        <v>0</v>
      </c>
      <c r="J57" s="503"/>
      <c r="K57" s="10"/>
    </row>
    <row r="58" spans="1:20" ht="30" customHeight="1"/>
    <row r="59" spans="1:20" ht="30" customHeight="1"/>
  </sheetData>
  <mergeCells count="7">
    <mergeCell ref="C1:G1"/>
    <mergeCell ref="H1:K1"/>
    <mergeCell ref="A7:B7"/>
    <mergeCell ref="A3:B3"/>
    <mergeCell ref="C3:E3"/>
    <mergeCell ref="A4:B4"/>
    <mergeCell ref="C4:E4"/>
  </mergeCells>
  <phoneticPr fontId="0" type="noConversion"/>
  <dataValidations disablePrompts="1" count="1">
    <dataValidation allowBlank="1" showInputMessage="1" showErrorMessage="1" errorTitle="ATENCIÓN" error="SOLO PUEDE INGRESAR EL &quot;2&quot;" promptTitle="RECORDAR" prompt="SI MODIFICA EL VALOR DE LA CELDA, RECUERDE VOLVER A COPIAR LA FÓRMULA." sqref="P10:P55" xr:uid="{00000000-0002-0000-2500-000000000000}"/>
  </dataValidations>
  <pageMargins left="0.39370078740157483" right="0.39370078740157483" top="0.98425196850393704" bottom="0.98425196850393704" header="0" footer="0"/>
  <pageSetup paperSize="9" scale="55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41"/>
  <dimension ref="A1:I526"/>
  <sheetViews>
    <sheetView view="pageBreakPreview" zoomScale="60" zoomScaleNormal="60" workbookViewId="0" xr3:uid="{87752282-9950-53E0-ACC6-858909551C9B}">
      <selection activeCell="K22" sqref="K22:K23"/>
    </sheetView>
  </sheetViews>
  <sheetFormatPr defaultRowHeight="12.75"/>
  <cols>
    <col min="1" max="2" width="11.42578125" customWidth="1"/>
    <col min="3" max="3" width="11.7109375" bestFit="1" customWidth="1"/>
    <col min="4" max="4" width="22.7109375" bestFit="1" customWidth="1"/>
    <col min="5" max="5" width="11.42578125" customWidth="1"/>
    <col min="6" max="7" width="11.7109375" bestFit="1" customWidth="1"/>
    <col min="8" max="8" width="19.7109375" customWidth="1"/>
    <col min="9" max="256" width="11.42578125" customWidth="1"/>
  </cols>
  <sheetData>
    <row r="1" spans="1:9">
      <c r="A1" s="86"/>
      <c r="B1" s="87"/>
      <c r="C1" s="87"/>
      <c r="D1" s="87"/>
      <c r="E1" s="87"/>
      <c r="F1" s="87"/>
      <c r="G1" s="87"/>
      <c r="H1" s="88"/>
    </row>
    <row r="2" spans="1:9">
      <c r="A2" s="75"/>
      <c r="B2" s="109" t="s">
        <v>82</v>
      </c>
      <c r="C2" s="76"/>
      <c r="D2" s="76"/>
      <c r="E2" s="76"/>
      <c r="F2" s="76"/>
      <c r="G2" s="76"/>
      <c r="H2" s="89"/>
    </row>
    <row r="3" spans="1:9">
      <c r="A3" s="75"/>
      <c r="B3" s="76"/>
      <c r="C3" s="76"/>
      <c r="D3" s="76"/>
      <c r="E3" s="76"/>
      <c r="F3" s="76"/>
      <c r="G3" s="76"/>
      <c r="H3" s="89"/>
    </row>
    <row r="4" spans="1:9">
      <c r="A4" s="75"/>
      <c r="B4" s="76" t="s">
        <v>182</v>
      </c>
      <c r="C4" s="76" t="str">
        <f>VLOOKUP(G5,'16_1'!$A$9:$G$55,7,0)</f>
        <v>CARLETTI, JORGE FERNANDO</v>
      </c>
      <c r="D4" s="76"/>
      <c r="E4" s="76"/>
      <c r="F4" s="76"/>
      <c r="G4" s="100" t="s">
        <v>134</v>
      </c>
      <c r="H4" s="89"/>
    </row>
    <row r="5" spans="1:9">
      <c r="A5" s="75"/>
      <c r="B5" s="76" t="s">
        <v>91</v>
      </c>
      <c r="C5" s="76" t="str">
        <f>+'16_1'!$H$1</f>
        <v>Hijuela PERFOGA OESTE</v>
      </c>
      <c r="D5" s="76"/>
      <c r="E5" s="76"/>
      <c r="F5" s="76"/>
      <c r="G5" s="100">
        <v>1</v>
      </c>
      <c r="H5" s="89"/>
    </row>
    <row r="6" spans="1:9">
      <c r="A6" s="75"/>
      <c r="B6" s="76"/>
      <c r="C6" s="76"/>
      <c r="D6" s="76"/>
      <c r="E6" s="76"/>
      <c r="F6" s="76"/>
      <c r="G6" s="76"/>
      <c r="H6" s="89"/>
    </row>
    <row r="7" spans="1:9">
      <c r="A7" s="75"/>
      <c r="B7" s="635" t="s">
        <v>183</v>
      </c>
      <c r="C7" s="331" t="e">
        <f>VLOOKUP(G5,'16_1'!$A$12:$B$55,2,0)</f>
        <v>#N/A</v>
      </c>
      <c r="D7" s="76"/>
      <c r="E7" s="635" t="s">
        <v>184</v>
      </c>
      <c r="F7" s="397">
        <f>DSUM('16_1'!A$9:J$55,'16_1'!$J$9,G4:G5)</f>
        <v>0.18667447291499575</v>
      </c>
      <c r="G7" s="76"/>
      <c r="H7" s="89"/>
    </row>
    <row r="8" spans="1:9">
      <c r="A8" s="75"/>
      <c r="B8" s="635" t="s">
        <v>185</v>
      </c>
      <c r="C8" s="374">
        <v>120</v>
      </c>
      <c r="D8" s="76"/>
      <c r="E8" s="635" t="s">
        <v>186</v>
      </c>
      <c r="F8" s="368" t="str">
        <f>IF(VLOOKUP(G5,'16_1'!$A$9:$D$87,4,0)=2,"Eventual 80%","Definitivo 100%")</f>
        <v>Eventual 80%</v>
      </c>
      <c r="G8" s="76"/>
      <c r="H8" s="89"/>
    </row>
    <row r="9" spans="1:9">
      <c r="A9" s="75"/>
      <c r="B9" s="635" t="s">
        <v>187</v>
      </c>
      <c r="C9" s="375">
        <f>DSUM('16_1'!$A$9:$H$55,'16_1'!$H$9,G4:G5)</f>
        <v>20.928800000000003</v>
      </c>
      <c r="D9" s="76"/>
      <c r="E9" s="635" t="s">
        <v>188</v>
      </c>
      <c r="F9" s="369" t="str">
        <f>+Hijuelas!$G$5</f>
        <v>fracción</v>
      </c>
      <c r="G9" s="106"/>
      <c r="H9" s="89"/>
    </row>
    <row r="10" spans="1:9" ht="15.75">
      <c r="A10" s="75"/>
      <c r="B10" s="76"/>
      <c r="C10" s="635" t="s">
        <v>189</v>
      </c>
      <c r="D10" s="107">
        <f>DMIN('16_1'!A$9:K$55,'16_1'!$K$9,G4:G5)</f>
        <v>42977.34457552703</v>
      </c>
      <c r="E10" s="127" t="str">
        <f>IF(F10=1,"Domingo",IF(F10=2,"Lunes",IF(F10=3,"Martes",IF(F10=4,"Miercoles",IF(F10=5,"Jueves",IF(F10=6,"Viernes",IF(F10=7,"Sábado",0)))))))</f>
        <v>Miercoles</v>
      </c>
      <c r="F10" s="128">
        <f>WEEKDAY(D10)</f>
        <v>4</v>
      </c>
      <c r="G10" s="103"/>
      <c r="H10" s="89"/>
    </row>
    <row r="11" spans="1:9" ht="15.75">
      <c r="A11" s="75"/>
      <c r="B11" s="76"/>
      <c r="C11" s="635" t="s">
        <v>190</v>
      </c>
      <c r="D11" s="107">
        <f>DMAX('16_1'!A$9:L$55,'16_1'!$L$9,G4:G5)</f>
        <v>42977.531249999942</v>
      </c>
      <c r="E11" s="127" t="str">
        <f>IF(F11=1,"Domingo",IF(F11=2,"Lunes",IF(F11=3,"Martes",IF(F11=4,"Miercoles",IF(F11=5,"Jueves",IF(F11=6,"Viernes",IF(F11=7,"Sábado",0)))))))</f>
        <v>Miercoles</v>
      </c>
      <c r="F11" s="128">
        <f>WEEKDAY(D11)</f>
        <v>4</v>
      </c>
      <c r="G11" s="103"/>
      <c r="H11" s="89"/>
    </row>
    <row r="12" spans="1:9">
      <c r="A12" s="75"/>
      <c r="B12" s="76"/>
      <c r="C12" s="76"/>
      <c r="D12" s="76"/>
      <c r="E12" s="76"/>
      <c r="F12" s="106"/>
      <c r="G12" s="106"/>
      <c r="H12" s="89"/>
    </row>
    <row r="13" spans="1:9">
      <c r="A13" s="331" t="str">
        <f>+Mensajes!$B$7</f>
        <v>PARA CUALQUIER MODIFICACION EN EL CUADRO DE TURNO COMUNIQUESE CON SU TOMERO</v>
      </c>
      <c r="C13" s="279"/>
      <c r="D13" s="76"/>
      <c r="E13" s="76"/>
      <c r="F13" s="76"/>
      <c r="G13" s="76"/>
      <c r="H13" s="89"/>
      <c r="I13">
        <f>38*17</f>
        <v>646</v>
      </c>
    </row>
    <row r="14" spans="1:9">
      <c r="A14" s="75"/>
      <c r="B14" s="332" t="str">
        <f>+Mensajes!$B$12</f>
        <v>Recuerde que con 1 (una) cuotas vigentes impagas se restringirá el servicio.</v>
      </c>
      <c r="C14" s="280"/>
      <c r="D14" s="76"/>
      <c r="E14" s="76"/>
      <c r="F14" s="76"/>
      <c r="G14" s="76"/>
      <c r="H14" s="89"/>
    </row>
    <row r="15" spans="1:9">
      <c r="A15" s="75"/>
      <c r="B15" s="108"/>
      <c r="C15" s="76"/>
      <c r="D15" s="76"/>
      <c r="E15" s="76"/>
      <c r="F15" s="76"/>
      <c r="G15" s="76"/>
      <c r="H15" s="89"/>
    </row>
    <row r="16" spans="1:9" ht="13.5" thickBot="1">
      <c r="A16" s="101"/>
      <c r="B16" s="387" t="str">
        <f>IF(DSUM('16_1'!$A$9:$P$87,16,G4:G5)=COUNTIF('16_1'!$A$9:$A$87,G5),"","Regularice su Deuda")</f>
        <v/>
      </c>
      <c r="C16" s="77"/>
      <c r="D16" s="77"/>
      <c r="E16" s="77"/>
      <c r="F16" s="77"/>
      <c r="G16" s="77"/>
      <c r="H16" s="78"/>
    </row>
    <row r="18" spans="1:8">
      <c r="A18" s="86"/>
      <c r="B18" s="87"/>
      <c r="C18" s="87"/>
      <c r="D18" s="87"/>
      <c r="E18" s="87"/>
      <c r="F18" s="87"/>
      <c r="G18" s="87"/>
      <c r="H18" s="88"/>
    </row>
    <row r="19" spans="1:8">
      <c r="A19" s="75"/>
      <c r="B19" s="109" t="s">
        <v>82</v>
      </c>
      <c r="C19" s="76"/>
      <c r="D19" s="76"/>
      <c r="E19" s="76"/>
      <c r="F19" s="76"/>
      <c r="G19" s="76"/>
      <c r="H19" s="89"/>
    </row>
    <row r="20" spans="1:8">
      <c r="A20" s="75"/>
      <c r="B20" s="76"/>
      <c r="C20" s="76"/>
      <c r="D20" s="76"/>
      <c r="E20" s="76"/>
      <c r="F20" s="76"/>
      <c r="G20" s="76"/>
      <c r="H20" s="89"/>
    </row>
    <row r="21" spans="1:8">
      <c r="A21" s="75"/>
      <c r="B21" s="76" t="s">
        <v>182</v>
      </c>
      <c r="C21" s="76" t="str">
        <f>VLOOKUP(G22,'16_1'!$A$9:$G$55,7,0)</f>
        <v>MARAÐON DE MINETTO, MONICA INES</v>
      </c>
      <c r="D21" s="76"/>
      <c r="E21" s="76"/>
      <c r="F21" s="76"/>
      <c r="G21" s="100" t="s">
        <v>134</v>
      </c>
      <c r="H21" s="89"/>
    </row>
    <row r="22" spans="1:8">
      <c r="A22" s="75"/>
      <c r="B22" s="76" t="s">
        <v>91</v>
      </c>
      <c r="C22" s="76" t="str">
        <f>+'16_1'!$H$1</f>
        <v>Hijuela PERFOGA OESTE</v>
      </c>
      <c r="D22" s="76"/>
      <c r="E22" s="76"/>
      <c r="F22" s="76"/>
      <c r="G22" s="100">
        <v>2</v>
      </c>
      <c r="H22" s="89"/>
    </row>
    <row r="23" spans="1:8">
      <c r="A23" s="75"/>
      <c r="B23" s="76"/>
      <c r="C23" s="76"/>
      <c r="D23" s="76"/>
      <c r="E23" s="76"/>
      <c r="F23" s="76"/>
      <c r="G23" s="76"/>
      <c r="H23" s="89"/>
    </row>
    <row r="24" spans="1:8">
      <c r="A24" s="75"/>
      <c r="B24" s="635" t="s">
        <v>183</v>
      </c>
      <c r="C24" s="331">
        <f>VLOOKUP(G22,'16_1'!$A$12:$B$55,2,0)</f>
        <v>1253</v>
      </c>
      <c r="D24" s="76"/>
      <c r="E24" s="635" t="s">
        <v>184</v>
      </c>
      <c r="F24" s="397">
        <f>DSUM('16_1'!A$9:J$55,'16_1'!$J$9,G21:G22)</f>
        <v>0.51424353969293501</v>
      </c>
      <c r="G24" s="76"/>
      <c r="H24" s="89"/>
    </row>
    <row r="25" spans="1:8">
      <c r="A25" s="75"/>
      <c r="B25" s="635" t="s">
        <v>185</v>
      </c>
      <c r="C25" s="374">
        <v>21</v>
      </c>
      <c r="D25" s="76"/>
      <c r="E25" s="635" t="s">
        <v>186</v>
      </c>
      <c r="F25" s="368" t="str">
        <f>IF(VLOOKUP(G22,'16_1'!$A$9:$D$87,4,0)=2,"Eventual 80%","Definitivo 100%")</f>
        <v>Eventual 80%</v>
      </c>
      <c r="G25" s="76"/>
      <c r="H25" s="89"/>
    </row>
    <row r="26" spans="1:8">
      <c r="A26" s="75"/>
      <c r="B26" s="635" t="s">
        <v>187</v>
      </c>
      <c r="C26" s="375">
        <f>DSUM('16_1'!$A$9:$H$55,'16_1'!$H$9,G21:G22)</f>
        <v>57.653840000000002</v>
      </c>
      <c r="D26" s="76"/>
      <c r="E26" s="635" t="s">
        <v>188</v>
      </c>
      <c r="F26" s="369" t="str">
        <f>+Hijuelas!$G$5</f>
        <v>fracción</v>
      </c>
      <c r="G26" s="106"/>
      <c r="H26" s="89"/>
    </row>
    <row r="27" spans="1:8" ht="15.75">
      <c r="A27" s="75"/>
      <c r="B27" s="76"/>
      <c r="C27" s="635" t="s">
        <v>189</v>
      </c>
      <c r="D27" s="107">
        <f>DMIN('16_1'!A$9:K$55,'16_1'!$K$9,G21:G22)</f>
        <v>42976.809498654002</v>
      </c>
      <c r="E27" s="127" t="str">
        <f>IF(F27=1,"Domingo",IF(F27=2,"Lunes",IF(F27=3,"Martes",IF(F27=4,"Miercoles",IF(F27=5,"Jueves",IF(F27=6,"Viernes",IF(F27=7,"Sábado",0)))))))</f>
        <v>Martes</v>
      </c>
      <c r="F27" s="128">
        <f>WEEKDAY(D27)</f>
        <v>3</v>
      </c>
      <c r="G27" s="103"/>
      <c r="H27" s="89"/>
    </row>
    <row r="28" spans="1:8" ht="15.75">
      <c r="A28" s="75"/>
      <c r="B28" s="76"/>
      <c r="C28" s="635" t="s">
        <v>190</v>
      </c>
      <c r="D28" s="107">
        <f>DMAX('16_1'!A$9:L$55,'16_1'!$L$9,G21:G22)</f>
        <v>42977.34457552703</v>
      </c>
      <c r="E28" s="127" t="str">
        <f>IF(F28=1,"Domingo",IF(F28=2,"Lunes",IF(F28=3,"Martes",IF(F28=4,"Miercoles",IF(F28=5,"Jueves",IF(F28=6,"Viernes",IF(F28=7,"Sábado",0)))))))</f>
        <v>Miercoles</v>
      </c>
      <c r="F28" s="128">
        <f>WEEKDAY(D28)</f>
        <v>4</v>
      </c>
      <c r="G28" s="103"/>
      <c r="H28" s="89"/>
    </row>
    <row r="29" spans="1:8">
      <c r="A29" s="75"/>
      <c r="B29" s="76"/>
      <c r="C29" s="76"/>
      <c r="D29" s="76"/>
      <c r="E29" s="76"/>
      <c r="F29" s="106"/>
      <c r="G29" s="106"/>
      <c r="H29" s="89"/>
    </row>
    <row r="30" spans="1:8">
      <c r="A30" s="331" t="str">
        <f>+Mensajes!$B$7</f>
        <v>PARA CUALQUIER MODIFICACION EN EL CUADRO DE TURNO COMUNIQUESE CON SU TOMERO</v>
      </c>
      <c r="C30" s="279"/>
      <c r="D30" s="76"/>
      <c r="E30" s="76"/>
      <c r="F30" s="76"/>
      <c r="G30" s="76"/>
      <c r="H30" s="89"/>
    </row>
    <row r="31" spans="1:8">
      <c r="A31" s="75"/>
      <c r="B31" s="332" t="str">
        <f>+Mensajes!$B$12</f>
        <v>Recuerde que con 1 (una) cuotas vigentes impagas se restringirá el servicio.</v>
      </c>
      <c r="C31" s="280"/>
      <c r="D31" s="76"/>
      <c r="E31" s="76"/>
      <c r="F31" s="76"/>
      <c r="G31" s="76"/>
      <c r="H31" s="89"/>
    </row>
    <row r="32" spans="1:8">
      <c r="A32" s="75"/>
      <c r="B32" s="108"/>
      <c r="C32" s="76"/>
      <c r="D32" s="76"/>
      <c r="E32" s="76"/>
      <c r="F32" s="76"/>
      <c r="G32" s="76"/>
      <c r="H32" s="89"/>
    </row>
    <row r="33" spans="1:8" ht="13.5" thickBot="1">
      <c r="A33" s="101"/>
      <c r="B33" s="387" t="str">
        <f>IF(DSUM('16_1'!$A$9:$P$87,16,G21:G22)=COUNTIF('16_1'!$A$9:$A$87,G22),"","Regularice su Deuda")</f>
        <v/>
      </c>
      <c r="C33" s="77"/>
      <c r="D33" s="77"/>
      <c r="E33" s="77"/>
      <c r="F33" s="77"/>
      <c r="G33" s="77"/>
      <c r="H33" s="78"/>
    </row>
    <row r="35" spans="1:8">
      <c r="A35" s="86"/>
      <c r="B35" s="87"/>
      <c r="C35" s="87"/>
      <c r="D35" s="87"/>
      <c r="E35" s="87"/>
      <c r="F35" s="87"/>
      <c r="G35" s="87"/>
      <c r="H35" s="88"/>
    </row>
    <row r="36" spans="1:8">
      <c r="A36" s="75"/>
      <c r="B36" s="109" t="s">
        <v>82</v>
      </c>
      <c r="C36" s="76"/>
      <c r="D36" s="76"/>
      <c r="E36" s="76"/>
      <c r="F36" s="76"/>
      <c r="G36" s="76"/>
      <c r="H36" s="89"/>
    </row>
    <row r="37" spans="1:8">
      <c r="A37" s="75"/>
      <c r="B37" s="76"/>
      <c r="C37" s="76"/>
      <c r="D37" s="76"/>
      <c r="E37" s="76"/>
      <c r="F37" s="76"/>
      <c r="G37" s="76"/>
      <c r="H37" s="89"/>
    </row>
    <row r="38" spans="1:8">
      <c r="A38" s="75"/>
      <c r="B38" s="76" t="s">
        <v>182</v>
      </c>
      <c r="C38" s="76" t="str">
        <f>VLOOKUP(G39,'16_1'!$A$9:$G$55,7,0)</f>
        <v>VAIERETTI, CESAR DELFOS</v>
      </c>
      <c r="D38" s="76"/>
      <c r="E38" s="76"/>
      <c r="F38" s="76"/>
      <c r="G38" s="100" t="s">
        <v>134</v>
      </c>
      <c r="H38" s="89"/>
    </row>
    <row r="39" spans="1:8">
      <c r="A39" s="75"/>
      <c r="B39" s="76" t="s">
        <v>91</v>
      </c>
      <c r="C39" s="76" t="str">
        <f>+'16_1'!$H$1</f>
        <v>Hijuela PERFOGA OESTE</v>
      </c>
      <c r="D39" s="76"/>
      <c r="E39" s="76"/>
      <c r="F39" s="76"/>
      <c r="G39" s="100">
        <v>3</v>
      </c>
      <c r="H39" s="89"/>
    </row>
    <row r="40" spans="1:8">
      <c r="A40" s="75"/>
      <c r="B40" s="76"/>
      <c r="C40" s="76"/>
      <c r="D40" s="76"/>
      <c r="E40" s="76"/>
      <c r="F40" s="76"/>
      <c r="G40" s="76"/>
      <c r="H40" s="89"/>
    </row>
    <row r="41" spans="1:8">
      <c r="A41" s="75"/>
      <c r="B41" s="635" t="s">
        <v>183</v>
      </c>
      <c r="C41" s="331">
        <f>VLOOKUP(G39,'16_1'!$A$12:$B$55,2,0)</f>
        <v>1253</v>
      </c>
      <c r="D41" s="76"/>
      <c r="E41" s="635" t="s">
        <v>184</v>
      </c>
      <c r="F41" s="397">
        <f>DSUM('16_1'!A$9:J$55,'16_1'!$J$9,G38:G39)</f>
        <v>6.7398611156733332E-2</v>
      </c>
      <c r="G41" s="76"/>
      <c r="H41" s="89"/>
    </row>
    <row r="42" spans="1:8">
      <c r="A42" s="75"/>
      <c r="B42" s="635" t="s">
        <v>185</v>
      </c>
      <c r="C42" s="374">
        <v>22</v>
      </c>
      <c r="D42" s="76"/>
      <c r="E42" s="635" t="s">
        <v>186</v>
      </c>
      <c r="F42" s="368" t="str">
        <f>IF(VLOOKUP(G39,'16_1'!$A$9:$D$87,4,0)=2,"Eventual 80%","Definitivo 100%")</f>
        <v>Eventual 80%</v>
      </c>
      <c r="G42" s="76"/>
      <c r="H42" s="89"/>
    </row>
    <row r="43" spans="1:8">
      <c r="A43" s="75"/>
      <c r="B43" s="635" t="s">
        <v>187</v>
      </c>
      <c r="C43" s="375">
        <f>DSUM('16_1'!$A$9:$H$55,'16_1'!$H$9,G38:G39)</f>
        <v>7.5563199999999995</v>
      </c>
      <c r="D43" s="76"/>
      <c r="E43" s="635" t="s">
        <v>188</v>
      </c>
      <c r="F43" s="369" t="str">
        <f>+Hijuelas!$G$5</f>
        <v>fracción</v>
      </c>
      <c r="G43" s="106"/>
      <c r="H43" s="89"/>
    </row>
    <row r="44" spans="1:8" ht="15.75">
      <c r="A44" s="75"/>
      <c r="B44" s="76"/>
      <c r="C44" s="635" t="s">
        <v>189</v>
      </c>
      <c r="D44" s="107">
        <f>DMIN('16_1'!A$9:K$55,'16_1'!$K$9,G38:G39)</f>
        <v>42976.721266709508</v>
      </c>
      <c r="E44" s="127" t="str">
        <f>IF(F44=1,"Domingo",IF(F44=2,"Lunes",IF(F44=3,"Martes",IF(F44=4,"Miercoles",IF(F44=5,"Jueves",IF(F44=6,"Viernes",IF(F44=7,"Sábado",0)))))))</f>
        <v>Martes</v>
      </c>
      <c r="F44" s="128">
        <f>WEEKDAY(D44)</f>
        <v>3</v>
      </c>
      <c r="G44" s="103"/>
      <c r="H44" s="89"/>
    </row>
    <row r="45" spans="1:8" ht="15.75">
      <c r="A45" s="75"/>
      <c r="B45" s="76"/>
      <c r="C45" s="635" t="s">
        <v>190</v>
      </c>
      <c r="D45" s="107">
        <f>DMAX('16_1'!A$9:L$55,'16_1'!$L$9,G38:G39)</f>
        <v>42976.809498654002</v>
      </c>
      <c r="E45" s="127" t="str">
        <f>IF(F45=1,"Domingo",IF(F45=2,"Lunes",IF(F45=3,"Martes",IF(F45=4,"Miercoles",IF(F45=5,"Jueves",IF(F45=6,"Viernes",IF(F45=7,"Sábado",0)))))))</f>
        <v>Martes</v>
      </c>
      <c r="F45" s="128">
        <f>WEEKDAY(D45)</f>
        <v>3</v>
      </c>
      <c r="G45" s="103"/>
      <c r="H45" s="89"/>
    </row>
    <row r="46" spans="1:8">
      <c r="A46" s="75"/>
      <c r="B46" s="76"/>
      <c r="C46" s="76"/>
      <c r="D46" s="76"/>
      <c r="E46" s="76"/>
      <c r="F46" s="106"/>
      <c r="G46" s="106"/>
      <c r="H46" s="89"/>
    </row>
    <row r="47" spans="1:8">
      <c r="A47" s="331" t="str">
        <f>+Mensajes!$B$7</f>
        <v>PARA CUALQUIER MODIFICACION EN EL CUADRO DE TURNO COMUNIQUESE CON SU TOMERO</v>
      </c>
      <c r="C47" s="279"/>
      <c r="D47" s="76"/>
      <c r="E47" s="76"/>
      <c r="F47" s="76"/>
      <c r="G47" s="76"/>
      <c r="H47" s="89"/>
    </row>
    <row r="48" spans="1:8">
      <c r="A48" s="75"/>
      <c r="B48" s="332" t="str">
        <f>+Mensajes!$B$12</f>
        <v>Recuerde que con 1 (una) cuotas vigentes impagas se restringirá el servicio.</v>
      </c>
      <c r="C48" s="280"/>
      <c r="D48" s="76"/>
      <c r="E48" s="76"/>
      <c r="F48" s="76"/>
      <c r="G48" s="76"/>
      <c r="H48" s="89"/>
    </row>
    <row r="49" spans="1:8">
      <c r="A49" s="75"/>
      <c r="B49" s="108"/>
      <c r="C49" s="76"/>
      <c r="D49" s="76"/>
      <c r="E49" s="76"/>
      <c r="F49" s="76"/>
      <c r="G49" s="76"/>
      <c r="H49" s="89"/>
    </row>
    <row r="50" spans="1:8" ht="13.5" thickBot="1">
      <c r="A50" s="101"/>
      <c r="B50" s="387" t="str">
        <f>IF(DSUM('16_1'!$A$9:$P$87,16,G38:G39)=COUNTIF('16_1'!$A$9:$A$87,G39),"","Regularice su Deuda")</f>
        <v/>
      </c>
      <c r="C50" s="77"/>
      <c r="D50" s="77"/>
      <c r="E50" s="77"/>
      <c r="F50" s="77"/>
      <c r="G50" s="77"/>
      <c r="H50" s="78"/>
    </row>
    <row r="52" spans="1:8">
      <c r="A52" s="86"/>
      <c r="B52" s="87"/>
      <c r="C52" s="87"/>
      <c r="D52" s="87"/>
      <c r="E52" s="87"/>
      <c r="F52" s="87"/>
      <c r="G52" s="87"/>
      <c r="H52" s="88"/>
    </row>
    <row r="53" spans="1:8">
      <c r="A53" s="75"/>
      <c r="B53" s="109" t="s">
        <v>82</v>
      </c>
      <c r="C53" s="76"/>
      <c r="D53" s="76"/>
      <c r="E53" s="76"/>
      <c r="F53" s="76"/>
      <c r="G53" s="76"/>
      <c r="H53" s="89"/>
    </row>
    <row r="54" spans="1:8">
      <c r="A54" s="75"/>
      <c r="B54" s="76"/>
      <c r="C54" s="76"/>
      <c r="D54" s="76"/>
      <c r="E54" s="76"/>
      <c r="F54" s="76"/>
      <c r="G54" s="76"/>
      <c r="H54" s="89"/>
    </row>
    <row r="55" spans="1:8">
      <c r="A55" s="75"/>
      <c r="B55" s="76" t="s">
        <v>182</v>
      </c>
      <c r="C55" s="76" t="str">
        <f>VLOOKUP(G56,'16_1'!$A$9:$G$55,7,0)</f>
        <v>CANEVA, JUAN BAUTISTA Y RIGONI DE CANEVA, ENRIQUETA</v>
      </c>
      <c r="D55" s="76"/>
      <c r="E55" s="76"/>
      <c r="F55" s="76"/>
      <c r="G55" s="100" t="s">
        <v>134</v>
      </c>
      <c r="H55" s="89"/>
    </row>
    <row r="56" spans="1:8">
      <c r="A56" s="75"/>
      <c r="B56" s="76" t="s">
        <v>91</v>
      </c>
      <c r="C56" s="76" t="str">
        <f>+'16_1'!$H$1</f>
        <v>Hijuela PERFOGA OESTE</v>
      </c>
      <c r="D56" s="76"/>
      <c r="E56" s="76"/>
      <c r="F56" s="76"/>
      <c r="G56" s="100">
        <v>4</v>
      </c>
      <c r="H56" s="89"/>
    </row>
    <row r="57" spans="1:8">
      <c r="A57" s="75"/>
      <c r="B57" s="76"/>
      <c r="C57" s="76"/>
      <c r="D57" s="76"/>
      <c r="E57" s="76"/>
      <c r="F57" s="76"/>
      <c r="G57" s="76"/>
      <c r="H57" s="89"/>
    </row>
    <row r="58" spans="1:8">
      <c r="A58" s="75"/>
      <c r="B58" s="635" t="s">
        <v>183</v>
      </c>
      <c r="C58" s="331">
        <f>VLOOKUP(G56,'16_1'!$A$12:$B$55,2,0)</f>
        <v>1253</v>
      </c>
      <c r="D58" s="76"/>
      <c r="E58" s="635" t="s">
        <v>184</v>
      </c>
      <c r="F58" s="397">
        <f>DSUM('16_1'!A$9:J$55,'16_1'!$J$9,G55:G56)</f>
        <v>0.10703402368888561</v>
      </c>
      <c r="G58" s="76"/>
      <c r="H58" s="89"/>
    </row>
    <row r="59" spans="1:8">
      <c r="A59" s="75"/>
      <c r="B59" s="635" t="s">
        <v>185</v>
      </c>
      <c r="C59" s="374">
        <v>26</v>
      </c>
      <c r="D59" s="76"/>
      <c r="E59" s="635" t="s">
        <v>186</v>
      </c>
      <c r="F59" s="368" t="str">
        <f>IF(VLOOKUP(G56,'16_1'!$A$9:$D$87,4,0)=2,"Eventual 80%","Definitivo 100%")</f>
        <v>Eventual 80%</v>
      </c>
      <c r="G59" s="76"/>
      <c r="H59" s="89"/>
    </row>
    <row r="60" spans="1:8">
      <c r="A60" s="75"/>
      <c r="B60" s="635" t="s">
        <v>187</v>
      </c>
      <c r="C60" s="375">
        <f>DSUM('16_1'!$A$9:$H$55,'16_1'!$H$9,G55:G56)</f>
        <v>12</v>
      </c>
      <c r="D60" s="76"/>
      <c r="E60" s="635" t="s">
        <v>188</v>
      </c>
      <c r="F60" s="369" t="str">
        <f>+Hijuelas!$G$5</f>
        <v>fracción</v>
      </c>
      <c r="G60" s="106"/>
      <c r="H60" s="89"/>
    </row>
    <row r="61" spans="1:8" ht="15.75">
      <c r="A61" s="75"/>
      <c r="B61" s="76"/>
      <c r="C61" s="635" t="s">
        <v>189</v>
      </c>
      <c r="D61" s="107">
        <f>DMIN('16_1'!A$9:K$55,'16_1'!$K$9,G55:G56)</f>
        <v>42976.614232685817</v>
      </c>
      <c r="E61" s="127" t="str">
        <f>IF(F61=1,"Domingo",IF(F61=2,"Lunes",IF(F61=3,"Martes",IF(F61=4,"Miercoles",IF(F61=5,"Jueves",IF(F61=6,"Viernes",IF(F61=7,"Sábado",0)))))))</f>
        <v>Martes</v>
      </c>
      <c r="F61" s="128">
        <f>WEEKDAY(D61)</f>
        <v>3</v>
      </c>
      <c r="G61" s="103"/>
      <c r="H61" s="89"/>
    </row>
    <row r="62" spans="1:8" ht="15.75">
      <c r="A62" s="75"/>
      <c r="B62" s="76"/>
      <c r="C62" s="635" t="s">
        <v>190</v>
      </c>
      <c r="D62" s="107">
        <f>DMAX('16_1'!A$9:L$55,'16_1'!$L$9,G55:G56)</f>
        <v>42976.721266709508</v>
      </c>
      <c r="E62" s="127" t="str">
        <f>IF(F62=1,"Domingo",IF(F62=2,"Lunes",IF(F62=3,"Martes",IF(F62=4,"Miercoles",IF(F62=5,"Jueves",IF(F62=6,"Viernes",IF(F62=7,"Sábado",0)))))))</f>
        <v>Martes</v>
      </c>
      <c r="F62" s="128">
        <f>WEEKDAY(D62)</f>
        <v>3</v>
      </c>
      <c r="G62" s="103"/>
      <c r="H62" s="89"/>
    </row>
    <row r="63" spans="1:8">
      <c r="A63" s="75"/>
      <c r="B63" s="76"/>
      <c r="C63" s="76"/>
      <c r="D63" s="76"/>
      <c r="E63" s="76"/>
      <c r="F63" s="106"/>
      <c r="G63" s="106"/>
      <c r="H63" s="89"/>
    </row>
    <row r="64" spans="1:8">
      <c r="A64" s="331" t="str">
        <f>+Mensajes!$B$7</f>
        <v>PARA CUALQUIER MODIFICACION EN EL CUADRO DE TURNO COMUNIQUESE CON SU TOMERO</v>
      </c>
      <c r="C64" s="279"/>
      <c r="D64" s="76"/>
      <c r="E64" s="76"/>
      <c r="F64" s="76"/>
      <c r="G64" s="76"/>
      <c r="H64" s="89"/>
    </row>
    <row r="65" spans="1:8">
      <c r="A65" s="75"/>
      <c r="B65" s="332" t="str">
        <f>+Mensajes!$B$12</f>
        <v>Recuerde que con 1 (una) cuotas vigentes impagas se restringirá el servicio.</v>
      </c>
      <c r="C65" s="280"/>
      <c r="D65" s="76"/>
      <c r="E65" s="76"/>
      <c r="F65" s="76"/>
      <c r="G65" s="76"/>
      <c r="H65" s="89"/>
    </row>
    <row r="66" spans="1:8">
      <c r="A66" s="75"/>
      <c r="B66" s="108"/>
      <c r="C66" s="76"/>
      <c r="D66" s="76"/>
      <c r="E66" s="76"/>
      <c r="F66" s="76"/>
      <c r="G66" s="76"/>
      <c r="H66" s="89"/>
    </row>
    <row r="67" spans="1:8" ht="13.5" thickBot="1">
      <c r="A67" s="101"/>
      <c r="B67" s="387" t="str">
        <f>IF(DSUM('16_1'!$A$9:$P$87,16,G55:G56)=COUNTIF('16_1'!$A$9:$A$87,G56),"","Regularice su Deuda")</f>
        <v/>
      </c>
      <c r="C67" s="77"/>
      <c r="D67" s="77"/>
      <c r="E67" s="77"/>
      <c r="F67" s="77"/>
      <c r="G67" s="77"/>
      <c r="H67" s="78"/>
    </row>
    <row r="69" spans="1:8">
      <c r="A69" s="86"/>
      <c r="B69" s="87"/>
      <c r="C69" s="87"/>
      <c r="D69" s="87"/>
      <c r="E69" s="87"/>
      <c r="F69" s="87"/>
      <c r="G69" s="87"/>
      <c r="H69" s="88"/>
    </row>
    <row r="70" spans="1:8">
      <c r="A70" s="75"/>
      <c r="B70" s="109" t="s">
        <v>82</v>
      </c>
      <c r="C70" s="76"/>
      <c r="D70" s="76"/>
      <c r="E70" s="76"/>
      <c r="F70" s="76"/>
      <c r="G70" s="76"/>
      <c r="H70" s="89"/>
    </row>
    <row r="71" spans="1:8">
      <c r="A71" s="75"/>
      <c r="B71" s="76"/>
      <c r="C71" s="76"/>
      <c r="D71" s="76"/>
      <c r="E71" s="76"/>
      <c r="F71" s="76"/>
      <c r="G71" s="76"/>
      <c r="H71" s="89"/>
    </row>
    <row r="72" spans="1:8">
      <c r="A72" s="75"/>
      <c r="B72" s="76" t="s">
        <v>182</v>
      </c>
      <c r="C72" s="76" t="str">
        <f>VLOOKUP(G73,'16_1'!$A$9:$G$55,7,0)</f>
        <v>RIVERA GRACIELA</v>
      </c>
      <c r="D72" s="76"/>
      <c r="E72" s="76"/>
      <c r="F72" s="76"/>
      <c r="G72" s="100" t="s">
        <v>134</v>
      </c>
      <c r="H72" s="89"/>
    </row>
    <row r="73" spans="1:8">
      <c r="A73" s="75"/>
      <c r="B73" s="76" t="s">
        <v>91</v>
      </c>
      <c r="C73" s="76" t="str">
        <f>+'16_1'!$H$1</f>
        <v>Hijuela PERFOGA OESTE</v>
      </c>
      <c r="D73" s="76"/>
      <c r="E73" s="76"/>
      <c r="F73" s="76"/>
      <c r="G73" s="100">
        <v>5</v>
      </c>
      <c r="H73" s="89"/>
    </row>
    <row r="74" spans="1:8">
      <c r="A74" s="75"/>
      <c r="B74" s="76"/>
      <c r="C74" s="76"/>
      <c r="D74" s="76"/>
      <c r="E74" s="76"/>
      <c r="F74" s="76"/>
      <c r="G74" s="76"/>
      <c r="H74" s="89"/>
    </row>
    <row r="75" spans="1:8">
      <c r="A75" s="75"/>
      <c r="B75" s="635" t="s">
        <v>183</v>
      </c>
      <c r="C75" s="331">
        <f>VLOOKUP(G73,'16_1'!$A$12:$B$55,2,0)</f>
        <v>1253</v>
      </c>
      <c r="D75" s="76"/>
      <c r="E75" s="635" t="s">
        <v>184</v>
      </c>
      <c r="F75" s="397">
        <f>DSUM('16_1'!A$9:J$55,'16_1'!$J$9,G72:G73)</f>
        <v>3.5678007896295202E-2</v>
      </c>
      <c r="G75" s="76"/>
      <c r="H75" s="89"/>
    </row>
    <row r="76" spans="1:8">
      <c r="A76" s="75"/>
      <c r="B76" s="635" t="s">
        <v>185</v>
      </c>
      <c r="C76" s="374" t="s">
        <v>559</v>
      </c>
      <c r="D76" s="76"/>
      <c r="E76" s="635" t="s">
        <v>186</v>
      </c>
      <c r="F76" s="368" t="str">
        <f>IF(VLOOKUP(G73,'16_1'!$A$9:$D$87,4,0)=2,"Eventual 80%","Definitivo 100%")</f>
        <v>Eventual 80%</v>
      </c>
      <c r="G76" s="76"/>
      <c r="H76" s="89"/>
    </row>
    <row r="77" spans="1:8">
      <c r="A77" s="75"/>
      <c r="B77" s="635" t="s">
        <v>187</v>
      </c>
      <c r="C77" s="375">
        <f>DSUM('16_1'!$A$9:$H$55,'16_1'!$H$9,G72:G73)</f>
        <v>4</v>
      </c>
      <c r="D77" s="76"/>
      <c r="E77" s="635" t="s">
        <v>188</v>
      </c>
      <c r="F77" s="369" t="str">
        <f>+Hijuelas!$G$5</f>
        <v>fracción</v>
      </c>
      <c r="G77" s="106"/>
      <c r="H77" s="89"/>
    </row>
    <row r="78" spans="1:8" ht="15.75">
      <c r="A78" s="75"/>
      <c r="B78" s="76"/>
      <c r="C78" s="635" t="s">
        <v>189</v>
      </c>
      <c r="D78" s="107">
        <f>DMIN('16_1'!A$9:K$55,'16_1'!$K$9,G72:G73)</f>
        <v>42976.578554677923</v>
      </c>
      <c r="E78" s="127" t="str">
        <f>IF(F78=1,"Domingo",IF(F78=2,"Lunes",IF(F78=3,"Martes",IF(F78=4,"Miercoles",IF(F78=5,"Jueves",IF(F78=6,"Viernes",IF(F78=7,"Sábado",0)))))))</f>
        <v>Martes</v>
      </c>
      <c r="F78" s="128">
        <f>WEEKDAY(D78)</f>
        <v>3</v>
      </c>
      <c r="G78" s="103"/>
      <c r="H78" s="89"/>
    </row>
    <row r="79" spans="1:8" ht="15.75">
      <c r="A79" s="75"/>
      <c r="B79" s="76"/>
      <c r="C79" s="635" t="s">
        <v>190</v>
      </c>
      <c r="D79" s="107">
        <f>DMAX('16_1'!A$9:L$55,'16_1'!$L$9,G72:G73)</f>
        <v>42976.614232685817</v>
      </c>
      <c r="E79" s="127" t="str">
        <f>IF(F79=1,"Domingo",IF(F79=2,"Lunes",IF(F79=3,"Martes",IF(F79=4,"Miercoles",IF(F79=5,"Jueves",IF(F79=6,"Viernes",IF(F79=7,"Sábado",0)))))))</f>
        <v>Martes</v>
      </c>
      <c r="F79" s="128">
        <f>WEEKDAY(D79)</f>
        <v>3</v>
      </c>
      <c r="G79" s="103"/>
      <c r="H79" s="89"/>
    </row>
    <row r="80" spans="1:8">
      <c r="A80" s="75"/>
      <c r="B80" s="76"/>
      <c r="C80" s="76"/>
      <c r="D80" s="76"/>
      <c r="E80" s="76"/>
      <c r="F80" s="106"/>
      <c r="G80" s="106"/>
      <c r="H80" s="89"/>
    </row>
    <row r="81" spans="1:8">
      <c r="A81" s="331" t="str">
        <f>+Mensajes!$B$7</f>
        <v>PARA CUALQUIER MODIFICACION EN EL CUADRO DE TURNO COMUNIQUESE CON SU TOMERO</v>
      </c>
      <c r="C81" s="279"/>
      <c r="D81" s="76"/>
      <c r="E81" s="76"/>
      <c r="F81" s="76"/>
      <c r="G81" s="76"/>
      <c r="H81" s="89"/>
    </row>
    <row r="82" spans="1:8">
      <c r="A82" s="75"/>
      <c r="B82" s="332" t="str">
        <f>+Mensajes!$B$12</f>
        <v>Recuerde que con 1 (una) cuotas vigentes impagas se restringirá el servicio.</v>
      </c>
      <c r="C82" s="280"/>
      <c r="D82" s="76"/>
      <c r="E82" s="76"/>
      <c r="F82" s="76"/>
      <c r="G82" s="76"/>
      <c r="H82" s="89"/>
    </row>
    <row r="83" spans="1:8">
      <c r="A83" s="75"/>
      <c r="B83" s="108"/>
      <c r="C83" s="76"/>
      <c r="D83" s="76"/>
      <c r="E83" s="76"/>
      <c r="F83" s="76"/>
      <c r="G83" s="76"/>
      <c r="H83" s="89"/>
    </row>
    <row r="84" spans="1:8" ht="13.5" thickBot="1">
      <c r="A84" s="101"/>
      <c r="B84" s="387" t="str">
        <f>IF(DSUM('16_1'!$A$9:$P$87,16,G72:G73)=COUNTIF('16_1'!$A$9:$A$87,G73),"","Regularice su Deuda")</f>
        <v/>
      </c>
      <c r="C84" s="77"/>
      <c r="D84" s="77"/>
      <c r="E84" s="77"/>
      <c r="F84" s="77"/>
      <c r="G84" s="77"/>
      <c r="H84" s="78"/>
    </row>
    <row r="86" spans="1:8">
      <c r="A86" s="86"/>
      <c r="B86" s="87"/>
      <c r="C86" s="87"/>
      <c r="D86" s="87"/>
      <c r="E86" s="87"/>
      <c r="F86" s="87"/>
      <c r="G86" s="87"/>
      <c r="H86" s="88"/>
    </row>
    <row r="87" spans="1:8">
      <c r="A87" s="75"/>
      <c r="B87" s="109" t="s">
        <v>82</v>
      </c>
      <c r="C87" s="76"/>
      <c r="D87" s="76"/>
      <c r="E87" s="76"/>
      <c r="F87" s="76"/>
      <c r="G87" s="76"/>
      <c r="H87" s="89"/>
    </row>
    <row r="88" spans="1:8">
      <c r="A88" s="75"/>
      <c r="B88" s="76"/>
      <c r="C88" s="76"/>
      <c r="D88" s="76"/>
      <c r="E88" s="76"/>
      <c r="F88" s="76"/>
      <c r="G88" s="76"/>
      <c r="H88" s="89"/>
    </row>
    <row r="89" spans="1:8">
      <c r="A89" s="75"/>
      <c r="B89" s="76" t="s">
        <v>182</v>
      </c>
      <c r="C89" s="76" t="str">
        <f>VLOOKUP(G90,'16_1'!$A$9:$G$55,7,0)</f>
        <v>FLORES MARTINEZ, JOHN</v>
      </c>
      <c r="D89" s="76"/>
      <c r="E89" s="76"/>
      <c r="F89" s="76"/>
      <c r="G89" s="100" t="s">
        <v>134</v>
      </c>
      <c r="H89" s="89"/>
    </row>
    <row r="90" spans="1:8">
      <c r="A90" s="75"/>
      <c r="B90" s="76" t="s">
        <v>91</v>
      </c>
      <c r="C90" s="76" t="str">
        <f>+'16_1'!$H$1</f>
        <v>Hijuela PERFOGA OESTE</v>
      </c>
      <c r="D90" s="76"/>
      <c r="E90" s="76"/>
      <c r="F90" s="76"/>
      <c r="G90" s="100">
        <v>6</v>
      </c>
      <c r="H90" s="89"/>
    </row>
    <row r="91" spans="1:8">
      <c r="A91" s="75"/>
      <c r="B91" s="76"/>
      <c r="C91" s="76"/>
      <c r="D91" s="76"/>
      <c r="E91" s="76"/>
      <c r="F91" s="76"/>
      <c r="G91" s="76"/>
      <c r="H91" s="89"/>
    </row>
    <row r="92" spans="1:8">
      <c r="A92" s="75"/>
      <c r="B92" s="635" t="s">
        <v>183</v>
      </c>
      <c r="C92" s="331">
        <f>VLOOKUP(G90,'16_1'!$A$12:$B$55,2,0)</f>
        <v>1253</v>
      </c>
      <c r="D92" s="76"/>
      <c r="E92" s="635" t="s">
        <v>184</v>
      </c>
      <c r="F92" s="397">
        <f>DSUM('16_1'!A$9:J$55,'16_1'!$J$9,G89:G90)</f>
        <v>3.5678007896295202E-2</v>
      </c>
      <c r="G92" s="76"/>
      <c r="H92" s="89"/>
    </row>
    <row r="93" spans="1:8">
      <c r="A93" s="75"/>
      <c r="B93" s="635" t="s">
        <v>185</v>
      </c>
      <c r="C93" s="374">
        <v>106</v>
      </c>
      <c r="D93" s="76"/>
      <c r="E93" s="635" t="s">
        <v>186</v>
      </c>
      <c r="F93" s="368" t="str">
        <f>IF(VLOOKUP(G90,'16_1'!$A$9:$D$87,4,0)=2,"Eventual 80%","Definitivo 100%")</f>
        <v>Eventual 80%</v>
      </c>
      <c r="G93" s="76"/>
      <c r="H93" s="89"/>
    </row>
    <row r="94" spans="1:8">
      <c r="A94" s="75"/>
      <c r="B94" s="635" t="s">
        <v>187</v>
      </c>
      <c r="C94" s="375">
        <f>DSUM('16_1'!$A$9:$H$55,'16_1'!$H$9,G89:G90)</f>
        <v>4</v>
      </c>
      <c r="D94" s="76"/>
      <c r="E94" s="635" t="s">
        <v>188</v>
      </c>
      <c r="F94" s="369" t="str">
        <f>+Hijuelas!$G$5</f>
        <v>fracción</v>
      </c>
      <c r="G94" s="106"/>
      <c r="H94" s="89"/>
    </row>
    <row r="95" spans="1:8" ht="15.75">
      <c r="A95" s="75"/>
      <c r="B95" s="76"/>
      <c r="C95" s="635" t="s">
        <v>189</v>
      </c>
      <c r="D95" s="107">
        <f>DMIN('16_1'!A$9:K$55,'16_1'!$K$9,G89:G90)</f>
        <v>42976.542876670028</v>
      </c>
      <c r="E95" s="127" t="str">
        <f>IF(F95=1,"Domingo",IF(F95=2,"Lunes",IF(F95=3,"Martes",IF(F95=4,"Miercoles",IF(F95=5,"Jueves",IF(F95=6,"Viernes",IF(F95=7,"Sábado",0)))))))</f>
        <v>Martes</v>
      </c>
      <c r="F95" s="128">
        <f>WEEKDAY(D95)</f>
        <v>3</v>
      </c>
      <c r="G95" s="103"/>
      <c r="H95" s="89"/>
    </row>
    <row r="96" spans="1:8" ht="15.75">
      <c r="A96" s="75"/>
      <c r="B96" s="76"/>
      <c r="C96" s="635" t="s">
        <v>190</v>
      </c>
      <c r="D96" s="107">
        <f>DMAX('16_1'!A$9:L$55,'16_1'!$L$9,G89:G90)</f>
        <v>42976.578554677923</v>
      </c>
      <c r="E96" s="127" t="str">
        <f>IF(F96=1,"Domingo",IF(F96=2,"Lunes",IF(F96=3,"Martes",IF(F96=4,"Miercoles",IF(F96=5,"Jueves",IF(F96=6,"Viernes",IF(F96=7,"Sábado",0)))))))</f>
        <v>Martes</v>
      </c>
      <c r="F96" s="128">
        <f>WEEKDAY(D96)</f>
        <v>3</v>
      </c>
      <c r="G96" s="103"/>
      <c r="H96" s="89"/>
    </row>
    <row r="97" spans="1:8">
      <c r="A97" s="75"/>
      <c r="B97" s="76"/>
      <c r="C97" s="76"/>
      <c r="D97" s="76"/>
      <c r="E97" s="76"/>
      <c r="F97" s="106"/>
      <c r="G97" s="106"/>
      <c r="H97" s="89"/>
    </row>
    <row r="98" spans="1:8">
      <c r="A98" s="331" t="str">
        <f>+Mensajes!$B$7</f>
        <v>PARA CUALQUIER MODIFICACION EN EL CUADRO DE TURNO COMUNIQUESE CON SU TOMERO</v>
      </c>
      <c r="C98" s="279"/>
      <c r="D98" s="76"/>
      <c r="E98" s="76"/>
      <c r="F98" s="76"/>
      <c r="G98" s="76"/>
      <c r="H98" s="89"/>
    </row>
    <row r="99" spans="1:8">
      <c r="A99" s="75"/>
      <c r="B99" s="332" t="str">
        <f>+Mensajes!$B$12</f>
        <v>Recuerde que con 1 (una) cuotas vigentes impagas se restringirá el servicio.</v>
      </c>
      <c r="C99" s="280"/>
      <c r="D99" s="76"/>
      <c r="E99" s="76"/>
      <c r="F99" s="76"/>
      <c r="G99" s="76"/>
      <c r="H99" s="89"/>
    </row>
    <row r="100" spans="1:8">
      <c r="A100" s="75"/>
      <c r="B100" s="108"/>
      <c r="C100" s="76"/>
      <c r="D100" s="76"/>
      <c r="E100" s="76"/>
      <c r="F100" s="76"/>
      <c r="G100" s="76"/>
      <c r="H100" s="89"/>
    </row>
    <row r="101" spans="1:8" ht="13.5" thickBot="1">
      <c r="A101" s="101"/>
      <c r="B101" s="387" t="str">
        <f>IF(DSUM('16_1'!$A$9:$P$87,16,G89:G90)=COUNTIF('16_1'!$A$9:$A$87,G90),"","Regularice su Deuda")</f>
        <v/>
      </c>
      <c r="C101" s="77"/>
      <c r="D101" s="77"/>
      <c r="E101" s="77"/>
      <c r="F101" s="77"/>
      <c r="G101" s="77"/>
      <c r="H101" s="78"/>
    </row>
    <row r="103" spans="1:8">
      <c r="A103" s="86"/>
      <c r="B103" s="87"/>
      <c r="C103" s="87"/>
      <c r="D103" s="87"/>
      <c r="E103" s="87"/>
      <c r="F103" s="87"/>
      <c r="G103" s="87"/>
      <c r="H103" s="88"/>
    </row>
    <row r="104" spans="1:8">
      <c r="A104" s="75"/>
      <c r="B104" s="109" t="s">
        <v>82</v>
      </c>
      <c r="C104" s="76"/>
      <c r="D104" s="76"/>
      <c r="E104" s="76"/>
      <c r="F104" s="76"/>
      <c r="G104" s="76"/>
      <c r="H104" s="89"/>
    </row>
    <row r="105" spans="1:8">
      <c r="A105" s="75"/>
      <c r="B105" s="76"/>
      <c r="C105" s="76"/>
      <c r="D105" s="76"/>
      <c r="E105" s="76"/>
      <c r="F105" s="76"/>
      <c r="G105" s="76"/>
      <c r="H105" s="89"/>
    </row>
    <row r="106" spans="1:8">
      <c r="A106" s="75"/>
      <c r="B106" s="76" t="s">
        <v>182</v>
      </c>
      <c r="C106" s="76" t="str">
        <f>VLOOKUP(G107,'16_1'!$A$9:$G$55,7,0)</f>
        <v>LORCA, JOSE</v>
      </c>
      <c r="D106" s="76"/>
      <c r="E106" s="76"/>
      <c r="F106" s="76"/>
      <c r="G106" s="100" t="s">
        <v>134</v>
      </c>
      <c r="H106" s="89"/>
    </row>
    <row r="107" spans="1:8">
      <c r="A107" s="75"/>
      <c r="B107" s="76" t="s">
        <v>91</v>
      </c>
      <c r="C107" s="76" t="str">
        <f>+'16_1'!$H$1</f>
        <v>Hijuela PERFOGA OESTE</v>
      </c>
      <c r="D107" s="76"/>
      <c r="E107" s="76"/>
      <c r="F107" s="76"/>
      <c r="G107" s="100">
        <v>7</v>
      </c>
      <c r="H107" s="89"/>
    </row>
    <row r="108" spans="1:8">
      <c r="A108" s="75"/>
      <c r="B108" s="76"/>
      <c r="C108" s="76"/>
      <c r="D108" s="76"/>
      <c r="E108" s="76"/>
      <c r="F108" s="76"/>
      <c r="G108" s="76"/>
      <c r="H108" s="89"/>
    </row>
    <row r="109" spans="1:8">
      <c r="A109" s="75"/>
      <c r="B109" s="635" t="s">
        <v>183</v>
      </c>
      <c r="C109" s="331">
        <f>VLOOKUP(G107,'16_1'!$A$12:$B$55,2,0)</f>
        <v>1253</v>
      </c>
      <c r="D109" s="76"/>
      <c r="E109" s="635" t="s">
        <v>184</v>
      </c>
      <c r="F109" s="397">
        <f>DSUM('16_1'!A$9:J$55,'16_1'!$J$9,G106:G107)</f>
        <v>0.11188623276278176</v>
      </c>
      <c r="G109" s="76"/>
      <c r="H109" s="89"/>
    </row>
    <row r="110" spans="1:8">
      <c r="A110" s="75"/>
      <c r="B110" s="635" t="s">
        <v>185</v>
      </c>
      <c r="C110" s="374">
        <v>97</v>
      </c>
      <c r="D110" s="76"/>
      <c r="E110" s="635" t="s">
        <v>186</v>
      </c>
      <c r="F110" s="368" t="str">
        <f>IF(VLOOKUP(G107,'16_1'!$A$9:$D$87,4,0)=2,"Eventual 80%","Definitivo 100%")</f>
        <v>Eventual 80%</v>
      </c>
      <c r="G110" s="76"/>
      <c r="H110" s="89"/>
    </row>
    <row r="111" spans="1:8">
      <c r="A111" s="75"/>
      <c r="B111" s="635" t="s">
        <v>187</v>
      </c>
      <c r="C111" s="375">
        <f>DSUM('16_1'!$A$9:$H$55,'16_1'!$H$9,G106:G107)</f>
        <v>12.544</v>
      </c>
      <c r="D111" s="76"/>
      <c r="E111" s="635" t="s">
        <v>188</v>
      </c>
      <c r="F111" s="369" t="str">
        <f>+Hijuelas!$G$5</f>
        <v>fracción</v>
      </c>
      <c r="G111" s="106"/>
      <c r="H111" s="89"/>
    </row>
    <row r="112" spans="1:8" ht="15.75">
      <c r="A112" s="75"/>
      <c r="B112" s="76"/>
      <c r="C112" s="635" t="s">
        <v>189</v>
      </c>
      <c r="D112" s="107">
        <f>DMIN('16_1'!A$9:K$55,'16_1'!$K$9,G106:G107)</f>
        <v>42976.430990437271</v>
      </c>
      <c r="E112" s="127" t="str">
        <f>IF(F112=1,"Domingo",IF(F112=2,"Lunes",IF(F112=3,"Martes",IF(F112=4,"Miercoles",IF(F112=5,"Jueves",IF(F112=6,"Viernes",IF(F112=7,"Sábado",0)))))))</f>
        <v>Martes</v>
      </c>
      <c r="F112" s="128">
        <f>WEEKDAY(D112)</f>
        <v>3</v>
      </c>
      <c r="G112" s="103"/>
      <c r="H112" s="89"/>
    </row>
    <row r="113" spans="1:8" ht="15.75">
      <c r="A113" s="75"/>
      <c r="B113" s="76"/>
      <c r="C113" s="635" t="s">
        <v>190</v>
      </c>
      <c r="D113" s="107">
        <f>DMAX('16_1'!A$9:L$55,'16_1'!$L$9,G106:G107)</f>
        <v>42976.542876670028</v>
      </c>
      <c r="E113" s="127" t="str">
        <f>IF(F113=1,"Domingo",IF(F113=2,"Lunes",IF(F113=3,"Martes",IF(F113=4,"Miercoles",IF(F113=5,"Jueves",IF(F113=6,"Viernes",IF(F113=7,"Sábado",0)))))))</f>
        <v>Martes</v>
      </c>
      <c r="F113" s="128">
        <f>WEEKDAY(D113)</f>
        <v>3</v>
      </c>
      <c r="G113" s="103"/>
      <c r="H113" s="89"/>
    </row>
    <row r="114" spans="1:8">
      <c r="A114" s="75"/>
      <c r="B114" s="76"/>
      <c r="C114" s="76"/>
      <c r="D114" s="76"/>
      <c r="E114" s="76"/>
      <c r="F114" s="106"/>
      <c r="G114" s="106"/>
      <c r="H114" s="89"/>
    </row>
    <row r="115" spans="1:8">
      <c r="A115" s="331" t="str">
        <f>+Mensajes!$B$7</f>
        <v>PARA CUALQUIER MODIFICACION EN EL CUADRO DE TURNO COMUNIQUESE CON SU TOMERO</v>
      </c>
      <c r="C115" s="279"/>
      <c r="D115" s="76"/>
      <c r="E115" s="76"/>
      <c r="F115" s="76"/>
      <c r="G115" s="76"/>
      <c r="H115" s="89"/>
    </row>
    <row r="116" spans="1:8">
      <c r="A116" s="75"/>
      <c r="B116" s="332" t="str">
        <f>+Mensajes!$B$12</f>
        <v>Recuerde que con 1 (una) cuotas vigentes impagas se restringirá el servicio.</v>
      </c>
      <c r="C116" s="280"/>
      <c r="D116" s="76"/>
      <c r="E116" s="76"/>
      <c r="F116" s="76"/>
      <c r="G116" s="76"/>
      <c r="H116" s="89"/>
    </row>
    <row r="117" spans="1:8">
      <c r="A117" s="75"/>
      <c r="B117" s="108"/>
      <c r="C117" s="76"/>
      <c r="D117" s="76"/>
      <c r="E117" s="76"/>
      <c r="F117" s="76"/>
      <c r="G117" s="76"/>
      <c r="H117" s="89"/>
    </row>
    <row r="118" spans="1:8" ht="13.5" thickBot="1">
      <c r="A118" s="101"/>
      <c r="B118" s="387" t="str">
        <f>IF(DSUM('16_1'!$A$9:$P$87,16,G106:G107)=COUNTIF('16_1'!$A$9:$A$87,G107),"","Regularice su Deuda")</f>
        <v/>
      </c>
      <c r="C118" s="77"/>
      <c r="D118" s="77"/>
      <c r="E118" s="77"/>
      <c r="F118" s="77"/>
      <c r="G118" s="77"/>
      <c r="H118" s="78"/>
    </row>
    <row r="120" spans="1:8">
      <c r="A120" s="86"/>
      <c r="B120" s="87"/>
      <c r="C120" s="87"/>
      <c r="D120" s="87"/>
      <c r="E120" s="87"/>
      <c r="F120" s="87"/>
      <c r="G120" s="87"/>
      <c r="H120" s="88"/>
    </row>
    <row r="121" spans="1:8">
      <c r="A121" s="75"/>
      <c r="B121" s="109" t="s">
        <v>82</v>
      </c>
      <c r="C121" s="76"/>
      <c r="D121" s="76"/>
      <c r="E121" s="76"/>
      <c r="F121" s="76"/>
      <c r="G121" s="76"/>
      <c r="H121" s="89"/>
    </row>
    <row r="122" spans="1:8">
      <c r="A122" s="75"/>
      <c r="B122" s="76"/>
      <c r="C122" s="76"/>
      <c r="D122" s="76"/>
      <c r="E122" s="76"/>
      <c r="F122" s="76"/>
      <c r="G122" s="76"/>
      <c r="H122" s="89"/>
    </row>
    <row r="123" spans="1:8">
      <c r="A123" s="75"/>
      <c r="B123" s="76" t="s">
        <v>182</v>
      </c>
      <c r="C123" s="76" t="str">
        <f>VLOOKUP(G124,'16_1'!$A$9:$G$55,7,0)</f>
        <v>CARBONI, MARCELINO ALFONSO</v>
      </c>
      <c r="D123" s="76"/>
      <c r="E123" s="76"/>
      <c r="F123" s="76"/>
      <c r="G123" s="100" t="s">
        <v>134</v>
      </c>
      <c r="H123" s="89"/>
    </row>
    <row r="124" spans="1:8">
      <c r="A124" s="75"/>
      <c r="B124" s="76" t="s">
        <v>91</v>
      </c>
      <c r="C124" s="76" t="str">
        <f>+'16_1'!$H$1</f>
        <v>Hijuela PERFOGA OESTE</v>
      </c>
      <c r="D124" s="76"/>
      <c r="E124" s="76"/>
      <c r="F124" s="76"/>
      <c r="G124" s="100">
        <v>8</v>
      </c>
      <c r="H124" s="89"/>
    </row>
    <row r="125" spans="1:8">
      <c r="A125" s="75"/>
      <c r="B125" s="76"/>
      <c r="C125" s="76"/>
      <c r="D125" s="76"/>
      <c r="E125" s="76"/>
      <c r="F125" s="76"/>
      <c r="G125" s="76"/>
      <c r="H125" s="89"/>
    </row>
    <row r="126" spans="1:8">
      <c r="A126" s="75"/>
      <c r="B126" s="635" t="s">
        <v>183</v>
      </c>
      <c r="C126" s="331">
        <f>VLOOKUP(G124,'16_1'!$A$12:$B$55,2,0)</f>
        <v>1253</v>
      </c>
      <c r="D126" s="76"/>
      <c r="E126" s="635" t="s">
        <v>184</v>
      </c>
      <c r="F126" s="397">
        <f>DSUM('16_1'!A$9:J$55,'16_1'!$J$9,G123:G124)</f>
        <v>2.7828846159110261E-2</v>
      </c>
      <c r="G126" s="76"/>
      <c r="H126" s="89"/>
    </row>
    <row r="127" spans="1:8">
      <c r="A127" s="75"/>
      <c r="B127" s="635" t="s">
        <v>185</v>
      </c>
      <c r="C127" s="374" t="s">
        <v>560</v>
      </c>
      <c r="D127" s="76"/>
      <c r="E127" s="635" t="s">
        <v>186</v>
      </c>
      <c r="F127" s="368" t="str">
        <f>IF(VLOOKUP(G124,'16_1'!$A$9:$D$87,4,0)=2,"Eventual 80%","Definitivo 100%")</f>
        <v>Eventual 80%</v>
      </c>
      <c r="G127" s="76"/>
      <c r="H127" s="89"/>
    </row>
    <row r="128" spans="1:8">
      <c r="A128" s="75"/>
      <c r="B128" s="635" t="s">
        <v>187</v>
      </c>
      <c r="C128" s="375">
        <f>DSUM('16_1'!$A$9:$H$55,'16_1'!$H$9,G123:G124)</f>
        <v>3.12</v>
      </c>
      <c r="D128" s="76"/>
      <c r="E128" s="635" t="s">
        <v>188</v>
      </c>
      <c r="F128" s="369" t="str">
        <f>+Hijuelas!$G$5</f>
        <v>fracción</v>
      </c>
      <c r="G128" s="106"/>
      <c r="H128" s="89"/>
    </row>
    <row r="129" spans="1:8" ht="15.75">
      <c r="A129" s="75"/>
      <c r="B129" s="76"/>
      <c r="C129" s="635" t="s">
        <v>189</v>
      </c>
      <c r="D129" s="107">
        <f>DMIN('16_1'!A$9:K$55,'16_1'!$K$9,G123:G124)</f>
        <v>42976.403161591115</v>
      </c>
      <c r="E129" s="127" t="str">
        <f>IF(F129=1,"Domingo",IF(F129=2,"Lunes",IF(F129=3,"Martes",IF(F129=4,"Miercoles",IF(F129=5,"Jueves",IF(F129=6,"Viernes",IF(F129=7,"Sábado",0)))))))</f>
        <v>Martes</v>
      </c>
      <c r="F129" s="128">
        <f>WEEKDAY(D129)</f>
        <v>3</v>
      </c>
      <c r="G129" s="103"/>
      <c r="H129" s="89"/>
    </row>
    <row r="130" spans="1:8" ht="15.75">
      <c r="A130" s="75"/>
      <c r="B130" s="76"/>
      <c r="C130" s="635" t="s">
        <v>190</v>
      </c>
      <c r="D130" s="107">
        <f>DMAX('16_1'!A$9:L$55,'16_1'!$L$9,G123:G124)</f>
        <v>42976.430990437271</v>
      </c>
      <c r="E130" s="127" t="str">
        <f>IF(F130=1,"Domingo",IF(F130=2,"Lunes",IF(F130=3,"Martes",IF(F130=4,"Miercoles",IF(F130=5,"Jueves",IF(F130=6,"Viernes",IF(F130=7,"Sábado",0)))))))</f>
        <v>Martes</v>
      </c>
      <c r="F130" s="128">
        <f>WEEKDAY(D130)</f>
        <v>3</v>
      </c>
      <c r="G130" s="103"/>
      <c r="H130" s="89"/>
    </row>
    <row r="131" spans="1:8">
      <c r="A131" s="75"/>
      <c r="B131" s="76"/>
      <c r="C131" s="76"/>
      <c r="D131" s="76"/>
      <c r="E131" s="76"/>
      <c r="F131" s="106"/>
      <c r="G131" s="106"/>
      <c r="H131" s="89"/>
    </row>
    <row r="132" spans="1:8">
      <c r="A132" s="331" t="str">
        <f>+Mensajes!$B$7</f>
        <v>PARA CUALQUIER MODIFICACION EN EL CUADRO DE TURNO COMUNIQUESE CON SU TOMERO</v>
      </c>
      <c r="C132" s="279"/>
      <c r="D132" s="76"/>
      <c r="E132" s="76"/>
      <c r="F132" s="76"/>
      <c r="G132" s="76"/>
      <c r="H132" s="89"/>
    </row>
    <row r="133" spans="1:8">
      <c r="A133" s="75"/>
      <c r="B133" s="332" t="str">
        <f>+Mensajes!$B$12</f>
        <v>Recuerde que con 1 (una) cuotas vigentes impagas se restringirá el servicio.</v>
      </c>
      <c r="C133" s="280"/>
      <c r="D133" s="76"/>
      <c r="E133" s="76"/>
      <c r="F133" s="76"/>
      <c r="G133" s="76"/>
      <c r="H133" s="89"/>
    </row>
    <row r="134" spans="1:8">
      <c r="A134" s="75"/>
      <c r="B134" s="108"/>
      <c r="C134" s="76"/>
      <c r="D134" s="76"/>
      <c r="E134" s="76"/>
      <c r="F134" s="76"/>
      <c r="G134" s="76"/>
      <c r="H134" s="89"/>
    </row>
    <row r="135" spans="1:8" ht="13.5" thickBot="1">
      <c r="A135" s="101"/>
      <c r="B135" s="387" t="str">
        <f>IF(DSUM('16_1'!$A$9:$P$87,16,G123:G124)=COUNTIF('16_1'!$A$9:$A$87,G124),"","Regularice su Deuda")</f>
        <v/>
      </c>
      <c r="C135" s="77"/>
      <c r="D135" s="77"/>
      <c r="E135" s="77"/>
      <c r="F135" s="77"/>
      <c r="G135" s="77"/>
      <c r="H135" s="78"/>
    </row>
    <row r="137" spans="1:8">
      <c r="A137" s="86"/>
      <c r="B137" s="87"/>
      <c r="C137" s="87"/>
      <c r="D137" s="87"/>
      <c r="E137" s="87"/>
      <c r="F137" s="87"/>
      <c r="G137" s="87"/>
      <c r="H137" s="88"/>
    </row>
    <row r="138" spans="1:8">
      <c r="A138" s="75"/>
      <c r="B138" s="109" t="s">
        <v>82</v>
      </c>
      <c r="C138" s="76"/>
      <c r="D138" s="76"/>
      <c r="E138" s="76"/>
      <c r="F138" s="76"/>
      <c r="G138" s="76"/>
      <c r="H138" s="89"/>
    </row>
    <row r="139" spans="1:8">
      <c r="A139" s="75"/>
      <c r="B139" s="76"/>
      <c r="C139" s="76"/>
      <c r="D139" s="76"/>
      <c r="E139" s="76"/>
      <c r="F139" s="76"/>
      <c r="G139" s="76"/>
      <c r="H139" s="89"/>
    </row>
    <row r="140" spans="1:8">
      <c r="A140" s="75"/>
      <c r="B140" s="76" t="s">
        <v>182</v>
      </c>
      <c r="C140" s="76" t="str">
        <f>VLOOKUP(G141,'16_1'!$A$9:$G$55,7,0)</f>
        <v>GARCIA, CESAR</v>
      </c>
      <c r="D140" s="76"/>
      <c r="E140" s="76"/>
      <c r="F140" s="76"/>
      <c r="G140" s="100" t="s">
        <v>134</v>
      </c>
      <c r="H140" s="89"/>
    </row>
    <row r="141" spans="1:8">
      <c r="A141" s="75"/>
      <c r="B141" s="76" t="s">
        <v>91</v>
      </c>
      <c r="C141" s="76" t="str">
        <f>+'16_1'!$H$1</f>
        <v>Hijuela PERFOGA OESTE</v>
      </c>
      <c r="D141" s="76"/>
      <c r="E141" s="76"/>
      <c r="F141" s="76"/>
      <c r="G141" s="100">
        <v>9</v>
      </c>
      <c r="H141" s="89"/>
    </row>
    <row r="142" spans="1:8">
      <c r="A142" s="75"/>
      <c r="B142" s="76"/>
      <c r="C142" s="76"/>
      <c r="D142" s="76"/>
      <c r="E142" s="76"/>
      <c r="F142" s="76"/>
      <c r="G142" s="76"/>
      <c r="H142" s="89"/>
    </row>
    <row r="143" spans="1:8">
      <c r="A143" s="75"/>
      <c r="B143" s="635" t="s">
        <v>183</v>
      </c>
      <c r="C143" s="331">
        <f>VLOOKUP(G141,'16_1'!$A$12:$B$55,2,0)</f>
        <v>1253</v>
      </c>
      <c r="D143" s="76"/>
      <c r="E143" s="635" t="s">
        <v>184</v>
      </c>
      <c r="F143" s="397">
        <f>DSUM('16_1'!A$9:J$55,'16_1'!$J$9,G140:G141)</f>
        <v>3.5678007896295202E-2</v>
      </c>
      <c r="G143" s="76"/>
      <c r="H143" s="89"/>
    </row>
    <row r="144" spans="1:8">
      <c r="A144" s="75"/>
      <c r="B144" s="635" t="s">
        <v>185</v>
      </c>
      <c r="C144" s="374" t="s">
        <v>561</v>
      </c>
      <c r="D144" s="76"/>
      <c r="E144" s="635" t="s">
        <v>186</v>
      </c>
      <c r="F144" s="368" t="str">
        <f>IF(VLOOKUP(G141,'16_1'!$A$9:$D$87,4,0)=2,"Eventual 80%","Definitivo 100%")</f>
        <v>Eventual 80%</v>
      </c>
      <c r="G144" s="76"/>
      <c r="H144" s="89"/>
    </row>
    <row r="145" spans="1:8">
      <c r="A145" s="75"/>
      <c r="B145" s="635" t="s">
        <v>187</v>
      </c>
      <c r="C145" s="375">
        <f>DSUM('16_1'!$A$9:$H$55,'16_1'!$H$9,G140:G141)</f>
        <v>4</v>
      </c>
      <c r="D145" s="76"/>
      <c r="E145" s="635" t="s">
        <v>188</v>
      </c>
      <c r="F145" s="369" t="str">
        <f>+Hijuelas!$G$5</f>
        <v>fracción</v>
      </c>
      <c r="G145" s="106"/>
      <c r="H145" s="89"/>
    </row>
    <row r="146" spans="1:8" ht="15.75">
      <c r="A146" s="75"/>
      <c r="B146" s="76"/>
      <c r="C146" s="635" t="s">
        <v>189</v>
      </c>
      <c r="D146" s="107">
        <f>DMIN('16_1'!A$9:K$55,'16_1'!$K$9,G140:G141)</f>
        <v>42976.357066916557</v>
      </c>
      <c r="E146" s="127" t="str">
        <f>IF(F146=1,"Domingo",IF(F146=2,"Lunes",IF(F146=3,"Martes",IF(F146=4,"Miercoles",IF(F146=5,"Jueves",IF(F146=6,"Viernes",IF(F146=7,"Sábado",0)))))))</f>
        <v>Martes</v>
      </c>
      <c r="F146" s="128">
        <f>WEEKDAY(D146)</f>
        <v>3</v>
      </c>
      <c r="G146" s="103"/>
      <c r="H146" s="89"/>
    </row>
    <row r="147" spans="1:8" ht="15.75">
      <c r="A147" s="75"/>
      <c r="B147" s="76"/>
      <c r="C147" s="635" t="s">
        <v>190</v>
      </c>
      <c r="D147" s="107">
        <f>DMAX('16_1'!A$9:L$55,'16_1'!$L$9,G140:G141)</f>
        <v>42976.403161591115</v>
      </c>
      <c r="E147" s="127" t="str">
        <f>IF(F147=1,"Domingo",IF(F147=2,"Lunes",IF(F147=3,"Martes",IF(F147=4,"Miercoles",IF(F147=5,"Jueves",IF(F147=6,"Viernes",IF(F147=7,"Sábado",0)))))))</f>
        <v>Martes</v>
      </c>
      <c r="F147" s="128">
        <f>WEEKDAY(D147)</f>
        <v>3</v>
      </c>
      <c r="G147" s="103"/>
      <c r="H147" s="89"/>
    </row>
    <row r="148" spans="1:8">
      <c r="A148" s="75"/>
      <c r="B148" s="76"/>
      <c r="C148" s="76"/>
      <c r="D148" s="76"/>
      <c r="E148" s="76"/>
      <c r="F148" s="106"/>
      <c r="G148" s="106"/>
      <c r="H148" s="89"/>
    </row>
    <row r="149" spans="1:8">
      <c r="A149" s="331" t="str">
        <f>+Mensajes!$B$7</f>
        <v>PARA CUALQUIER MODIFICACION EN EL CUADRO DE TURNO COMUNIQUESE CON SU TOMERO</v>
      </c>
      <c r="C149" s="279"/>
      <c r="D149" s="76"/>
      <c r="E149" s="76"/>
      <c r="F149" s="76"/>
      <c r="G149" s="76"/>
      <c r="H149" s="89"/>
    </row>
    <row r="150" spans="1:8">
      <c r="A150" s="75"/>
      <c r="B150" s="332" t="str">
        <f>+Mensajes!$B$12</f>
        <v>Recuerde que con 1 (una) cuotas vigentes impagas se restringirá el servicio.</v>
      </c>
      <c r="C150" s="280"/>
      <c r="D150" s="76"/>
      <c r="E150" s="76"/>
      <c r="F150" s="76"/>
      <c r="G150" s="76"/>
      <c r="H150" s="89"/>
    </row>
    <row r="151" spans="1:8">
      <c r="A151" s="75"/>
      <c r="B151" s="108"/>
      <c r="C151" s="76"/>
      <c r="D151" s="76"/>
      <c r="E151" s="76"/>
      <c r="F151" s="76"/>
      <c r="G151" s="76"/>
      <c r="H151" s="89"/>
    </row>
    <row r="152" spans="1:8" ht="13.5" thickBot="1">
      <c r="A152" s="101"/>
      <c r="B152" s="387" t="str">
        <f>IF(DSUM('16_1'!$A$9:$P$87,16,G140:G141)=COUNTIF('16_1'!$A$9:$A$87,G141),"","Regularice su Deuda")</f>
        <v/>
      </c>
      <c r="C152" s="77"/>
      <c r="D152" s="77"/>
      <c r="E152" s="77"/>
      <c r="F152" s="77"/>
      <c r="G152" s="77"/>
      <c r="H152" s="78"/>
    </row>
    <row r="154" spans="1:8">
      <c r="A154" s="86"/>
      <c r="B154" s="87"/>
      <c r="C154" s="87"/>
      <c r="D154" s="87"/>
      <c r="E154" s="87"/>
      <c r="F154" s="87"/>
      <c r="G154" s="87"/>
      <c r="H154" s="88"/>
    </row>
    <row r="155" spans="1:8">
      <c r="A155" s="75"/>
      <c r="B155" s="109" t="s">
        <v>82</v>
      </c>
      <c r="C155" s="76"/>
      <c r="D155" s="76"/>
      <c r="E155" s="76"/>
      <c r="F155" s="76"/>
      <c r="G155" s="76"/>
      <c r="H155" s="89"/>
    </row>
    <row r="156" spans="1:8">
      <c r="A156" s="75"/>
      <c r="B156" s="76"/>
      <c r="C156" s="76"/>
      <c r="D156" s="76"/>
      <c r="E156" s="76"/>
      <c r="F156" s="76"/>
      <c r="G156" s="76"/>
      <c r="H156" s="89"/>
    </row>
    <row r="157" spans="1:8">
      <c r="A157" s="75"/>
      <c r="B157" s="76" t="s">
        <v>182</v>
      </c>
      <c r="C157" s="76" t="str">
        <f>VLOOKUP(G158,'16_1'!$A$9:$G$55,7,0)</f>
        <v>GIMENEZ, JOSE MANUEL</v>
      </c>
      <c r="D157" s="76"/>
      <c r="E157" s="76"/>
      <c r="F157" s="76"/>
      <c r="G157" s="100" t="s">
        <v>134</v>
      </c>
      <c r="H157" s="89"/>
    </row>
    <row r="158" spans="1:8">
      <c r="A158" s="75"/>
      <c r="B158" s="76" t="s">
        <v>91</v>
      </c>
      <c r="C158" s="76" t="str">
        <f>+'16_1'!$H$1</f>
        <v>Hijuela PERFOGA OESTE</v>
      </c>
      <c r="D158" s="76"/>
      <c r="E158" s="76"/>
      <c r="F158" s="76"/>
      <c r="G158" s="100">
        <v>10</v>
      </c>
      <c r="H158" s="89"/>
    </row>
    <row r="159" spans="1:8">
      <c r="A159" s="75"/>
      <c r="B159" s="76"/>
      <c r="C159" s="76"/>
      <c r="D159" s="76"/>
      <c r="E159" s="76"/>
      <c r="F159" s="76"/>
      <c r="G159" s="76"/>
      <c r="H159" s="89"/>
    </row>
    <row r="160" spans="1:8">
      <c r="A160" s="75"/>
      <c r="B160" s="635" t="s">
        <v>183</v>
      </c>
      <c r="C160" s="331">
        <f>VLOOKUP(G158,'16_1'!$A$12:$B$55,2,0)</f>
        <v>1253</v>
      </c>
      <c r="D160" s="76"/>
      <c r="E160" s="635" t="s">
        <v>184</v>
      </c>
      <c r="F160" s="397">
        <f>DSUM('16_1'!A$9:J$55,'16_1'!$J$9,G157:G158)</f>
        <v>7.1356015792590405E-2</v>
      </c>
      <c r="G160" s="76"/>
      <c r="H160" s="89"/>
    </row>
    <row r="161" spans="1:8">
      <c r="A161" s="75"/>
      <c r="B161" s="635" t="s">
        <v>185</v>
      </c>
      <c r="C161" s="374" t="s">
        <v>562</v>
      </c>
      <c r="D161" s="76"/>
      <c r="E161" s="635" t="s">
        <v>186</v>
      </c>
      <c r="F161" s="368" t="str">
        <f>IF(VLOOKUP(G158,'16_1'!$A$9:$D$87,4,0)=2,"Eventual 80%","Definitivo 100%")</f>
        <v>Eventual 80%</v>
      </c>
      <c r="G161" s="76"/>
      <c r="H161" s="89"/>
    </row>
    <row r="162" spans="1:8">
      <c r="A162" s="75"/>
      <c r="B162" s="635" t="s">
        <v>187</v>
      </c>
      <c r="C162" s="375">
        <f>DSUM('16_1'!$A$9:$H$55,'16_1'!$H$9,G157:G158)</f>
        <v>8</v>
      </c>
      <c r="D162" s="76"/>
      <c r="E162" s="635" t="s">
        <v>188</v>
      </c>
      <c r="F162" s="369" t="str">
        <f>+Hijuelas!$G$5</f>
        <v>fracción</v>
      </c>
      <c r="G162" s="106"/>
      <c r="H162" s="89"/>
    </row>
    <row r="163" spans="1:8" ht="15.75">
      <c r="A163" s="75"/>
      <c r="B163" s="76"/>
      <c r="C163" s="635" t="s">
        <v>189</v>
      </c>
      <c r="D163" s="107">
        <f>DMIN('16_1'!A$9:K$55,'16_1'!$K$9,G157:G158)</f>
        <v>42976.275294234103</v>
      </c>
      <c r="E163" s="127" t="str">
        <f>IF(F163=1,"Domingo",IF(F163=2,"Lunes",IF(F163=3,"Martes",IF(F163=4,"Miercoles",IF(F163=5,"Jueves",IF(F163=6,"Viernes",IF(F163=7,"Sábado",0)))))))</f>
        <v>Martes</v>
      </c>
      <c r="F163" s="128">
        <f>WEEKDAY(D163)</f>
        <v>3</v>
      </c>
      <c r="G163" s="103"/>
      <c r="H163" s="89"/>
    </row>
    <row r="164" spans="1:8" ht="15.75">
      <c r="A164" s="75"/>
      <c r="B164" s="76"/>
      <c r="C164" s="635" t="s">
        <v>190</v>
      </c>
      <c r="D164" s="107">
        <f>DMAX('16_1'!A$9:L$55,'16_1'!$L$9,G157:G158)</f>
        <v>42976.357066916557</v>
      </c>
      <c r="E164" s="127" t="str">
        <f>IF(F164=1,"Domingo",IF(F164=2,"Lunes",IF(F164=3,"Martes",IF(F164=4,"Miercoles",IF(F164=5,"Jueves",IF(F164=6,"Viernes",IF(F164=7,"Sábado",0)))))))</f>
        <v>Martes</v>
      </c>
      <c r="F164" s="128">
        <f>WEEKDAY(D164)</f>
        <v>3</v>
      </c>
      <c r="G164" s="103"/>
      <c r="H164" s="89"/>
    </row>
    <row r="165" spans="1:8">
      <c r="A165" s="75"/>
      <c r="B165" s="76"/>
      <c r="C165" s="76"/>
      <c r="D165" s="76"/>
      <c r="E165" s="76"/>
      <c r="F165" s="106"/>
      <c r="G165" s="106"/>
      <c r="H165" s="89"/>
    </row>
    <row r="166" spans="1:8">
      <c r="A166" s="331" t="str">
        <f>+Mensajes!$B$7</f>
        <v>PARA CUALQUIER MODIFICACION EN EL CUADRO DE TURNO COMUNIQUESE CON SU TOMERO</v>
      </c>
      <c r="C166" s="279"/>
      <c r="D166" s="76"/>
      <c r="E166" s="76"/>
      <c r="F166" s="76"/>
      <c r="G166" s="76"/>
      <c r="H166" s="89"/>
    </row>
    <row r="167" spans="1:8">
      <c r="A167" s="75"/>
      <c r="B167" s="332" t="str">
        <f>+Mensajes!$B$12</f>
        <v>Recuerde que con 1 (una) cuotas vigentes impagas se restringirá el servicio.</v>
      </c>
      <c r="C167" s="280"/>
      <c r="D167" s="76"/>
      <c r="E167" s="76"/>
      <c r="F167" s="76"/>
      <c r="G167" s="76"/>
      <c r="H167" s="89"/>
    </row>
    <row r="168" spans="1:8">
      <c r="A168" s="75"/>
      <c r="B168" s="108"/>
      <c r="C168" s="76"/>
      <c r="D168" s="76"/>
      <c r="E168" s="76"/>
      <c r="F168" s="76"/>
      <c r="G168" s="76"/>
      <c r="H168" s="89"/>
    </row>
    <row r="169" spans="1:8" ht="13.5" thickBot="1">
      <c r="A169" s="101"/>
      <c r="B169" s="387" t="str">
        <f>IF(DSUM('16_1'!$A$9:$P$87,16,G157:G158)=COUNTIF('16_1'!$A$9:$A$87,G158),"","Regularice su Deuda")</f>
        <v/>
      </c>
      <c r="C169" s="77"/>
      <c r="D169" s="77"/>
      <c r="E169" s="77"/>
      <c r="F169" s="77"/>
      <c r="G169" s="77"/>
      <c r="H169" s="78"/>
    </row>
    <row r="171" spans="1:8">
      <c r="A171" s="86"/>
      <c r="B171" s="87"/>
      <c r="C171" s="87"/>
      <c r="D171" s="87"/>
      <c r="E171" s="87"/>
      <c r="F171" s="87"/>
      <c r="G171" s="87"/>
      <c r="H171" s="88"/>
    </row>
    <row r="172" spans="1:8">
      <c r="A172" s="75"/>
      <c r="B172" s="109" t="s">
        <v>82</v>
      </c>
      <c r="C172" s="76"/>
      <c r="D172" s="76"/>
      <c r="E172" s="76"/>
      <c r="F172" s="76"/>
      <c r="G172" s="76"/>
      <c r="H172" s="89"/>
    </row>
    <row r="173" spans="1:8">
      <c r="A173" s="75"/>
      <c r="B173" s="76"/>
      <c r="C173" s="76"/>
      <c r="D173" s="76"/>
      <c r="E173" s="76"/>
      <c r="F173" s="76"/>
      <c r="G173" s="76"/>
      <c r="H173" s="89"/>
    </row>
    <row r="174" spans="1:8">
      <c r="A174" s="75"/>
      <c r="B174" s="76" t="s">
        <v>182</v>
      </c>
      <c r="C174" s="76" t="str">
        <f>VLOOKUP(G175,'16_1'!$A$9:$G$55,7,0)</f>
        <v>FERRER, MARIO ANTONIO</v>
      </c>
      <c r="D174" s="76"/>
      <c r="E174" s="76"/>
      <c r="F174" s="76"/>
      <c r="G174" s="100" t="s">
        <v>134</v>
      </c>
      <c r="H174" s="89"/>
    </row>
    <row r="175" spans="1:8">
      <c r="A175" s="75"/>
      <c r="B175" s="76" t="s">
        <v>91</v>
      </c>
      <c r="C175" s="76" t="str">
        <f>+'16_1'!$H$1</f>
        <v>Hijuela PERFOGA OESTE</v>
      </c>
      <c r="D175" s="76"/>
      <c r="E175" s="76"/>
      <c r="F175" s="76"/>
      <c r="G175" s="100">
        <v>11</v>
      </c>
      <c r="H175" s="89"/>
    </row>
    <row r="176" spans="1:8">
      <c r="A176" s="75"/>
      <c r="B176" s="76"/>
      <c r="C176" s="76"/>
      <c r="D176" s="76"/>
      <c r="E176" s="76"/>
      <c r="F176" s="76"/>
      <c r="G176" s="76"/>
      <c r="H176" s="89"/>
    </row>
    <row r="177" spans="1:8">
      <c r="A177" s="75"/>
      <c r="B177" s="635" t="s">
        <v>183</v>
      </c>
      <c r="C177" s="331">
        <f>VLOOKUP(G175,'16_1'!$A$12:$B$55,2,0)</f>
        <v>1253</v>
      </c>
      <c r="D177" s="76"/>
      <c r="E177" s="635" t="s">
        <v>184</v>
      </c>
      <c r="F177" s="397">
        <f>DSUM('16_1'!A$9:J$55,'16_1'!$J$9,G174:G175)</f>
        <v>0.14271203158518081</v>
      </c>
      <c r="G177" s="76"/>
      <c r="H177" s="89"/>
    </row>
    <row r="178" spans="1:8">
      <c r="A178" s="75"/>
      <c r="B178" s="635" t="s">
        <v>185</v>
      </c>
      <c r="C178" s="374">
        <v>29</v>
      </c>
      <c r="D178" s="76"/>
      <c r="E178" s="635" t="s">
        <v>186</v>
      </c>
      <c r="F178" s="368" t="str">
        <f>IF(VLOOKUP(G175,'16_1'!$A$9:$D$87,4,0)=2,"Eventual 80%","Definitivo 100%")</f>
        <v>Eventual 80%</v>
      </c>
      <c r="G178" s="76"/>
      <c r="H178" s="89"/>
    </row>
    <row r="179" spans="1:8">
      <c r="A179" s="75"/>
      <c r="B179" s="635" t="s">
        <v>187</v>
      </c>
      <c r="C179" s="375">
        <f>DSUM('16_1'!$A$9:$H$55,'16_1'!$H$9,G174:G175)</f>
        <v>16</v>
      </c>
      <c r="D179" s="76"/>
      <c r="E179" s="635" t="s">
        <v>188</v>
      </c>
      <c r="F179" s="369" t="str">
        <f>+Hijuelas!$G$5</f>
        <v>fracción</v>
      </c>
      <c r="G179" s="106"/>
      <c r="H179" s="89"/>
    </row>
    <row r="180" spans="1:8" ht="15.75">
      <c r="A180" s="75"/>
      <c r="B180" s="76"/>
      <c r="C180" s="635" t="s">
        <v>189</v>
      </c>
      <c r="D180" s="107">
        <f>DMIN('16_1'!A$9:K$55,'16_1'!$K$9,G174:G175)</f>
        <v>42976.097859980306</v>
      </c>
      <c r="E180" s="127" t="str">
        <f>IF(F180=1,"Domingo",IF(F180=2,"Lunes",IF(F180=3,"Martes",IF(F180=4,"Miercoles",IF(F180=5,"Jueves",IF(F180=6,"Viernes",IF(F180=7,"Sábado",0)))))))</f>
        <v>Martes</v>
      </c>
      <c r="F180" s="128">
        <f>WEEKDAY(D180)</f>
        <v>3</v>
      </c>
      <c r="G180" s="103"/>
      <c r="H180" s="89"/>
    </row>
    <row r="181" spans="1:8" ht="15.75">
      <c r="A181" s="75"/>
      <c r="B181" s="76"/>
      <c r="C181" s="635" t="s">
        <v>190</v>
      </c>
      <c r="D181" s="107">
        <f>DMAX('16_1'!A$9:L$55,'16_1'!$L$9,G174:G175)</f>
        <v>42976.275294234103</v>
      </c>
      <c r="E181" s="127" t="str">
        <f>IF(F181=1,"Domingo",IF(F181=2,"Lunes",IF(F181=3,"Martes",IF(F181=4,"Miercoles",IF(F181=5,"Jueves",IF(F181=6,"Viernes",IF(F181=7,"Sábado",0)))))))</f>
        <v>Martes</v>
      </c>
      <c r="F181" s="128">
        <f>WEEKDAY(D181)</f>
        <v>3</v>
      </c>
      <c r="G181" s="103"/>
      <c r="H181" s="89"/>
    </row>
    <row r="182" spans="1:8">
      <c r="A182" s="75"/>
      <c r="B182" s="76"/>
      <c r="C182" s="76"/>
      <c r="D182" s="76"/>
      <c r="E182" s="76"/>
      <c r="F182" s="106"/>
      <c r="G182" s="106"/>
      <c r="H182" s="89"/>
    </row>
    <row r="183" spans="1:8">
      <c r="A183" s="331" t="str">
        <f>+Mensajes!$B$7</f>
        <v>PARA CUALQUIER MODIFICACION EN EL CUADRO DE TURNO COMUNIQUESE CON SU TOMERO</v>
      </c>
      <c r="C183" s="279"/>
      <c r="D183" s="76"/>
      <c r="E183" s="76"/>
      <c r="F183" s="76"/>
      <c r="G183" s="76"/>
      <c r="H183" s="89"/>
    </row>
    <row r="184" spans="1:8">
      <c r="A184" s="75"/>
      <c r="B184" s="332" t="str">
        <f>+Mensajes!$B$12</f>
        <v>Recuerde que con 1 (una) cuotas vigentes impagas se restringirá el servicio.</v>
      </c>
      <c r="C184" s="280"/>
      <c r="D184" s="76"/>
      <c r="E184" s="76"/>
      <c r="F184" s="76"/>
      <c r="G184" s="76"/>
      <c r="H184" s="89"/>
    </row>
    <row r="185" spans="1:8">
      <c r="A185" s="75"/>
      <c r="B185" s="108"/>
      <c r="C185" s="76"/>
      <c r="D185" s="76"/>
      <c r="E185" s="76"/>
      <c r="F185" s="76"/>
      <c r="G185" s="76"/>
      <c r="H185" s="89"/>
    </row>
    <row r="186" spans="1:8" ht="13.5" thickBot="1">
      <c r="A186" s="101"/>
      <c r="B186" s="387" t="str">
        <f>IF(DSUM('16_1'!$A$9:$P$87,16,G174:G175)=COUNTIF('16_1'!$A$9:$A$87,G175),"","Regularice su Deuda")</f>
        <v/>
      </c>
      <c r="C186" s="77"/>
      <c r="D186" s="77"/>
      <c r="E186" s="77"/>
      <c r="F186" s="77"/>
      <c r="G186" s="77"/>
      <c r="H186" s="78"/>
    </row>
    <row r="188" spans="1:8">
      <c r="A188" s="86"/>
      <c r="B188" s="87"/>
      <c r="C188" s="87"/>
      <c r="D188" s="87"/>
      <c r="E188" s="87"/>
      <c r="F188" s="87"/>
      <c r="G188" s="87"/>
      <c r="H188" s="88"/>
    </row>
    <row r="189" spans="1:8">
      <c r="A189" s="75"/>
      <c r="B189" s="109" t="s">
        <v>82</v>
      </c>
      <c r="C189" s="76"/>
      <c r="D189" s="76"/>
      <c r="E189" s="76"/>
      <c r="F189" s="76"/>
      <c r="G189" s="76"/>
      <c r="H189" s="89"/>
    </row>
    <row r="190" spans="1:8">
      <c r="A190" s="75"/>
      <c r="B190" s="76"/>
      <c r="C190" s="76"/>
      <c r="D190" s="76"/>
      <c r="E190" s="76"/>
      <c r="F190" s="76"/>
      <c r="G190" s="76"/>
      <c r="H190" s="89"/>
    </row>
    <row r="191" spans="1:8">
      <c r="A191" s="75"/>
      <c r="B191" s="76" t="s">
        <v>182</v>
      </c>
      <c r="C191" s="76" t="str">
        <f>VLOOKUP(G192,'16_1'!$A$9:$G$55,7,0)</f>
        <v>BUONO, MARIA SANDRA</v>
      </c>
      <c r="D191" s="76"/>
      <c r="E191" s="76"/>
      <c r="F191" s="76"/>
      <c r="G191" s="100" t="s">
        <v>134</v>
      </c>
      <c r="H191" s="89"/>
    </row>
    <row r="192" spans="1:8">
      <c r="A192" s="75"/>
      <c r="B192" s="76" t="s">
        <v>91</v>
      </c>
      <c r="C192" s="76" t="str">
        <f>+'16_1'!$H$1</f>
        <v>Hijuela PERFOGA OESTE</v>
      </c>
      <c r="D192" s="76"/>
      <c r="E192" s="76"/>
      <c r="F192" s="76"/>
      <c r="G192" s="100">
        <v>12</v>
      </c>
      <c r="H192" s="89"/>
    </row>
    <row r="193" spans="1:8">
      <c r="A193" s="75"/>
      <c r="B193" s="76"/>
      <c r="C193" s="76"/>
      <c r="D193" s="76"/>
      <c r="E193" s="76"/>
      <c r="F193" s="76"/>
      <c r="G193" s="76"/>
      <c r="H193" s="89"/>
    </row>
    <row r="194" spans="1:8">
      <c r="A194" s="75"/>
      <c r="B194" s="635" t="s">
        <v>183</v>
      </c>
      <c r="C194" s="331">
        <f>VLOOKUP(G192,'16_1'!$A$12:$B$55,2,0)</f>
        <v>1253</v>
      </c>
      <c r="D194" s="76"/>
      <c r="E194" s="635" t="s">
        <v>184</v>
      </c>
      <c r="F194" s="397">
        <f>DSUM('16_1'!A$9:J$55,'16_1'!$J$9,G191:G192)</f>
        <v>0.28542406317036162</v>
      </c>
      <c r="G194" s="76"/>
      <c r="H194" s="89"/>
    </row>
    <row r="195" spans="1:8">
      <c r="A195" s="75"/>
      <c r="B195" s="635" t="s">
        <v>185</v>
      </c>
      <c r="C195" s="374" t="s">
        <v>563</v>
      </c>
      <c r="D195" s="76"/>
      <c r="E195" s="635" t="s">
        <v>186</v>
      </c>
      <c r="F195" s="368" t="str">
        <f>IF(VLOOKUP(G192,'16_1'!$A$9:$D$87,4,0)=2,"Eventual 80%","Definitivo 100%")</f>
        <v>Eventual 80%</v>
      </c>
      <c r="G195" s="76"/>
      <c r="H195" s="89"/>
    </row>
    <row r="196" spans="1:8">
      <c r="A196" s="75"/>
      <c r="B196" s="635" t="s">
        <v>187</v>
      </c>
      <c r="C196" s="375">
        <f>DSUM('16_1'!$A$9:$H$55,'16_1'!$H$9,G191:G192)</f>
        <v>32</v>
      </c>
      <c r="D196" s="76"/>
      <c r="E196" s="635" t="s">
        <v>188</v>
      </c>
      <c r="F196" s="369" t="str">
        <f>+Hijuelas!$G$5</f>
        <v>fracción</v>
      </c>
      <c r="G196" s="106"/>
      <c r="H196" s="89"/>
    </row>
    <row r="197" spans="1:8" ht="15.75">
      <c r="A197" s="75"/>
      <c r="B197" s="76"/>
      <c r="C197" s="635" t="s">
        <v>189</v>
      </c>
      <c r="D197" s="107">
        <f>DMIN('16_1'!A$9:K$55,'16_1'!$K$9,G191:G192)</f>
        <v>42975.812435917134</v>
      </c>
      <c r="E197" s="127" t="str">
        <f>IF(F197=1,"Domingo",IF(F197=2,"Lunes",IF(F197=3,"Martes",IF(F197=4,"Miercoles",IF(F197=5,"Jueves",IF(F197=6,"Viernes",IF(F197=7,"Sábado",0)))))))</f>
        <v>Lunes</v>
      </c>
      <c r="F197" s="128">
        <f>WEEKDAY(D197)</f>
        <v>2</v>
      </c>
      <c r="G197" s="103"/>
      <c r="H197" s="89"/>
    </row>
    <row r="198" spans="1:8" ht="15.75">
      <c r="A198" s="75"/>
      <c r="B198" s="76"/>
      <c r="C198" s="635" t="s">
        <v>190</v>
      </c>
      <c r="D198" s="107">
        <f>DMAX('16_1'!A$9:L$55,'16_1'!$L$9,G191:G192)</f>
        <v>42976.097859980306</v>
      </c>
      <c r="E198" s="127" t="str">
        <f>IF(F198=1,"Domingo",IF(F198=2,"Lunes",IF(F198=3,"Martes",IF(F198=4,"Miercoles",IF(F198=5,"Jueves",IF(F198=6,"Viernes",IF(F198=7,"Sábado",0)))))))</f>
        <v>Martes</v>
      </c>
      <c r="F198" s="128">
        <f>WEEKDAY(D198)</f>
        <v>3</v>
      </c>
      <c r="G198" s="103"/>
      <c r="H198" s="89"/>
    </row>
    <row r="199" spans="1:8">
      <c r="A199" s="75"/>
      <c r="B199" s="76"/>
      <c r="C199" s="76"/>
      <c r="D199" s="76"/>
      <c r="E199" s="76"/>
      <c r="F199" s="106"/>
      <c r="G199" s="106"/>
      <c r="H199" s="89"/>
    </row>
    <row r="200" spans="1:8">
      <c r="A200" s="331" t="str">
        <f>+Mensajes!$B$7</f>
        <v>PARA CUALQUIER MODIFICACION EN EL CUADRO DE TURNO COMUNIQUESE CON SU TOMERO</v>
      </c>
      <c r="C200" s="279"/>
      <c r="D200" s="76"/>
      <c r="E200" s="76"/>
      <c r="F200" s="76"/>
      <c r="G200" s="76"/>
      <c r="H200" s="89"/>
    </row>
    <row r="201" spans="1:8">
      <c r="A201" s="75"/>
      <c r="B201" s="332" t="str">
        <f>+Mensajes!$B$12</f>
        <v>Recuerde que con 1 (una) cuotas vigentes impagas se restringirá el servicio.</v>
      </c>
      <c r="C201" s="280"/>
      <c r="D201" s="76"/>
      <c r="E201" s="76"/>
      <c r="F201" s="76"/>
      <c r="G201" s="76"/>
      <c r="H201" s="89"/>
    </row>
    <row r="202" spans="1:8">
      <c r="A202" s="75"/>
      <c r="B202" s="108"/>
      <c r="C202" s="76"/>
      <c r="D202" s="76"/>
      <c r="E202" s="76"/>
      <c r="F202" s="76"/>
      <c r="G202" s="76"/>
      <c r="H202" s="89"/>
    </row>
    <row r="203" spans="1:8" ht="13.5" thickBot="1">
      <c r="A203" s="101"/>
      <c r="B203" s="387" t="str">
        <f>IF(DSUM('16_1'!$A$9:$P$87,16,G191:G192)=COUNTIF('16_1'!$A$9:$A$87,G192),"","Regularice su Deuda")</f>
        <v/>
      </c>
      <c r="C203" s="77"/>
      <c r="D203" s="77"/>
      <c r="E203" s="77"/>
      <c r="F203" s="77"/>
      <c r="G203" s="77"/>
      <c r="H203" s="78"/>
    </row>
    <row r="205" spans="1:8">
      <c r="A205" s="86"/>
      <c r="B205" s="87"/>
      <c r="C205" s="87"/>
      <c r="D205" s="87"/>
      <c r="E205" s="87"/>
      <c r="F205" s="87"/>
      <c r="G205" s="87"/>
      <c r="H205" s="88"/>
    </row>
    <row r="206" spans="1:8">
      <c r="A206" s="75"/>
      <c r="B206" s="109" t="s">
        <v>82</v>
      </c>
      <c r="C206" s="76"/>
      <c r="D206" s="76"/>
      <c r="E206" s="76"/>
      <c r="F206" s="76"/>
      <c r="G206" s="76"/>
      <c r="H206" s="89"/>
    </row>
    <row r="207" spans="1:8">
      <c r="A207" s="75"/>
      <c r="B207" s="76"/>
      <c r="C207" s="76"/>
      <c r="D207" s="76"/>
      <c r="E207" s="76"/>
      <c r="F207" s="76"/>
      <c r="G207" s="76"/>
      <c r="H207" s="89"/>
    </row>
    <row r="208" spans="1:8">
      <c r="A208" s="75"/>
      <c r="B208" s="76" t="s">
        <v>182</v>
      </c>
      <c r="C208" s="76" t="str">
        <f>VLOOKUP(G209,'16_1'!$A$9:$G$55,7,0)</f>
        <v>ROSAS, LUIS LUCIO</v>
      </c>
      <c r="D208" s="76"/>
      <c r="E208" s="76"/>
      <c r="F208" s="76"/>
      <c r="G208" s="100" t="s">
        <v>134</v>
      </c>
      <c r="H208" s="89"/>
    </row>
    <row r="209" spans="1:8">
      <c r="A209" s="75"/>
      <c r="B209" s="76" t="s">
        <v>91</v>
      </c>
      <c r="C209" s="76" t="str">
        <f>+'16_1'!$H$1</f>
        <v>Hijuela PERFOGA OESTE</v>
      </c>
      <c r="D209" s="76"/>
      <c r="E209" s="76"/>
      <c r="F209" s="76"/>
      <c r="G209" s="100">
        <v>13</v>
      </c>
      <c r="H209" s="89"/>
    </row>
    <row r="210" spans="1:8">
      <c r="A210" s="75"/>
      <c r="B210" s="76"/>
      <c r="C210" s="76"/>
      <c r="D210" s="76"/>
      <c r="E210" s="76"/>
      <c r="F210" s="76"/>
      <c r="G210" s="76"/>
      <c r="H210" s="89"/>
    </row>
    <row r="211" spans="1:8">
      <c r="A211" s="75"/>
      <c r="B211" s="635" t="s">
        <v>183</v>
      </c>
      <c r="C211" s="331">
        <f>VLOOKUP(G209,'16_1'!$A$12:$B$55,2,0)</f>
        <v>1253</v>
      </c>
      <c r="D211" s="76"/>
      <c r="E211" s="635" t="s">
        <v>184</v>
      </c>
      <c r="F211" s="397">
        <f>DSUM('16_1'!A$9:J$55,'16_1'!$J$9,G208:G209)</f>
        <v>3.9999328212694481E-2</v>
      </c>
      <c r="G211" s="76"/>
      <c r="H211" s="89"/>
    </row>
    <row r="212" spans="1:8">
      <c r="A212" s="75"/>
      <c r="B212" s="635" t="s">
        <v>185</v>
      </c>
      <c r="C212" s="374">
        <v>9</v>
      </c>
      <c r="D212" s="76"/>
      <c r="E212" s="635" t="s">
        <v>186</v>
      </c>
      <c r="F212" s="368" t="str">
        <f>IF(VLOOKUP(G209,'16_1'!$A$9:$D$87,4,0)=2,"Eventual 80%","Definitivo 100%")</f>
        <v>Eventual 80%</v>
      </c>
      <c r="G212" s="76"/>
      <c r="H212" s="89"/>
    </row>
    <row r="213" spans="1:8">
      <c r="A213" s="75"/>
      <c r="B213" s="635" t="s">
        <v>187</v>
      </c>
      <c r="C213" s="375">
        <f>DSUM('16_1'!$A$9:$H$55,'16_1'!$H$9,G208:G209)</f>
        <v>4.4844800000000005</v>
      </c>
      <c r="D213" s="76"/>
      <c r="E213" s="635" t="s">
        <v>188</v>
      </c>
      <c r="F213" s="369" t="str">
        <f>+Hijuelas!$G$5</f>
        <v>fracción</v>
      </c>
      <c r="G213" s="106"/>
      <c r="H213" s="89"/>
    </row>
    <row r="214" spans="1:8" ht="15.75">
      <c r="A214" s="75"/>
      <c r="B214" s="76"/>
      <c r="C214" s="635" t="s">
        <v>189</v>
      </c>
      <c r="D214" s="107">
        <f>DMIN('16_1'!A$9:K$55,'16_1'!$K$9,G208:G209)</f>
        <v>42975.772436588923</v>
      </c>
      <c r="E214" s="127" t="str">
        <f>IF(F214=1,"Domingo",IF(F214=2,"Lunes",IF(F214=3,"Martes",IF(F214=4,"Miercoles",IF(F214=5,"Jueves",IF(F214=6,"Viernes",IF(F214=7,"Sábado",0)))))))</f>
        <v>Lunes</v>
      </c>
      <c r="F214" s="128">
        <f>WEEKDAY(D214)</f>
        <v>2</v>
      </c>
      <c r="G214" s="103"/>
      <c r="H214" s="89"/>
    </row>
    <row r="215" spans="1:8" ht="15.75">
      <c r="A215" s="75"/>
      <c r="B215" s="76"/>
      <c r="C215" s="635" t="s">
        <v>190</v>
      </c>
      <c r="D215" s="107">
        <f>DMAX('16_1'!A$9:L$55,'16_1'!$L$9,G208:G209)</f>
        <v>42975.812435917134</v>
      </c>
      <c r="E215" s="127" t="str">
        <f>IF(F215=1,"Domingo",IF(F215=2,"Lunes",IF(F215=3,"Martes",IF(F215=4,"Miercoles",IF(F215=5,"Jueves",IF(F215=6,"Viernes",IF(F215=7,"Sábado",0)))))))</f>
        <v>Lunes</v>
      </c>
      <c r="F215" s="128">
        <f>WEEKDAY(D215)</f>
        <v>2</v>
      </c>
      <c r="G215" s="103"/>
      <c r="H215" s="89"/>
    </row>
    <row r="216" spans="1:8">
      <c r="A216" s="75"/>
      <c r="B216" s="76"/>
      <c r="C216" s="76"/>
      <c r="D216" s="76"/>
      <c r="E216" s="76"/>
      <c r="F216" s="106"/>
      <c r="G216" s="106"/>
      <c r="H216" s="89"/>
    </row>
    <row r="217" spans="1:8">
      <c r="A217" s="331" t="str">
        <f>+Mensajes!$B$7</f>
        <v>PARA CUALQUIER MODIFICACION EN EL CUADRO DE TURNO COMUNIQUESE CON SU TOMERO</v>
      </c>
      <c r="C217" s="279"/>
      <c r="D217" s="76"/>
      <c r="E217" s="76"/>
      <c r="F217" s="76"/>
      <c r="G217" s="76"/>
      <c r="H217" s="89"/>
    </row>
    <row r="218" spans="1:8">
      <c r="A218" s="75"/>
      <c r="B218" s="332" t="str">
        <f>+Mensajes!$B$12</f>
        <v>Recuerde que con 1 (una) cuotas vigentes impagas se restringirá el servicio.</v>
      </c>
      <c r="C218" s="280"/>
      <c r="D218" s="76"/>
      <c r="E218" s="76"/>
      <c r="F218" s="76"/>
      <c r="G218" s="76"/>
      <c r="H218" s="89"/>
    </row>
    <row r="219" spans="1:8">
      <c r="A219" s="75"/>
      <c r="B219" s="108"/>
      <c r="C219" s="76"/>
      <c r="D219" s="76"/>
      <c r="E219" s="76"/>
      <c r="F219" s="76"/>
      <c r="G219" s="76"/>
      <c r="H219" s="89"/>
    </row>
    <row r="220" spans="1:8" ht="13.5" thickBot="1">
      <c r="A220" s="101"/>
      <c r="B220" s="387" t="str">
        <f>IF(DSUM('16_1'!$A$9:$P$87,16,G208:G209)=COUNTIF('16_1'!$A$9:$A$87,G209),"","Regularice su Deuda")</f>
        <v/>
      </c>
      <c r="C220" s="77"/>
      <c r="D220" s="77"/>
      <c r="E220" s="77"/>
      <c r="F220" s="77"/>
      <c r="G220" s="77"/>
      <c r="H220" s="78"/>
    </row>
    <row r="222" spans="1:8">
      <c r="A222" s="86"/>
      <c r="B222" s="87"/>
      <c r="C222" s="87"/>
      <c r="D222" s="87"/>
      <c r="E222" s="87"/>
      <c r="F222" s="87"/>
      <c r="G222" s="87"/>
      <c r="H222" s="88"/>
    </row>
    <row r="223" spans="1:8">
      <c r="A223" s="75"/>
      <c r="B223" s="109" t="s">
        <v>82</v>
      </c>
      <c r="C223" s="76"/>
      <c r="D223" s="76"/>
      <c r="E223" s="76"/>
      <c r="F223" s="76"/>
      <c r="G223" s="76"/>
      <c r="H223" s="89"/>
    </row>
    <row r="224" spans="1:8">
      <c r="A224" s="75"/>
      <c r="B224" s="76"/>
      <c r="C224" s="76"/>
      <c r="D224" s="76"/>
      <c r="E224" s="76"/>
      <c r="F224" s="76"/>
      <c r="G224" s="76"/>
      <c r="H224" s="89"/>
    </row>
    <row r="225" spans="1:8">
      <c r="A225" s="75"/>
      <c r="B225" s="76" t="s">
        <v>182</v>
      </c>
      <c r="C225" s="76" t="str">
        <f>VLOOKUP(G226,'16_1'!$A$9:$G$55,7,0)</f>
        <v>GONZALEZ, OSCAR CLEMENTE</v>
      </c>
      <c r="D225" s="76"/>
      <c r="E225" s="76"/>
      <c r="F225" s="76"/>
      <c r="G225" s="100" t="s">
        <v>134</v>
      </c>
      <c r="H225" s="89"/>
    </row>
    <row r="226" spans="1:8">
      <c r="A226" s="75"/>
      <c r="B226" s="76" t="s">
        <v>91</v>
      </c>
      <c r="C226" s="76" t="str">
        <f>+'16_1'!$H$1</f>
        <v>Hijuela PERFOGA OESTE</v>
      </c>
      <c r="D226" s="76"/>
      <c r="E226" s="76"/>
      <c r="F226" s="76"/>
      <c r="G226" s="100">
        <v>14</v>
      </c>
      <c r="H226" s="89"/>
    </row>
    <row r="227" spans="1:8">
      <c r="A227" s="75"/>
      <c r="B227" s="76"/>
      <c r="C227" s="76"/>
      <c r="D227" s="76"/>
      <c r="E227" s="76"/>
      <c r="F227" s="76"/>
      <c r="G227" s="76"/>
      <c r="H227" s="89"/>
    </row>
    <row r="228" spans="1:8">
      <c r="A228" s="75"/>
      <c r="B228" s="635" t="s">
        <v>183</v>
      </c>
      <c r="C228" s="331">
        <f>VLOOKUP(G226,'16_1'!$A$12:$B$55,2,0)</f>
        <v>1253</v>
      </c>
      <c r="D228" s="76"/>
      <c r="E228" s="635" t="s">
        <v>184</v>
      </c>
      <c r="F228" s="397">
        <f>DSUM('16_1'!A$9:J$55,'16_1'!$J$9,G225:G226)</f>
        <v>0.21406804737777121</v>
      </c>
      <c r="G228" s="76"/>
      <c r="H228" s="89"/>
    </row>
    <row r="229" spans="1:8">
      <c r="A229" s="75"/>
      <c r="B229" s="635" t="s">
        <v>185</v>
      </c>
      <c r="C229" s="374">
        <v>30</v>
      </c>
      <c r="D229" s="76"/>
      <c r="E229" s="635" t="s">
        <v>186</v>
      </c>
      <c r="F229" s="368" t="str">
        <f>IF(VLOOKUP(G226,'16_1'!$A$9:$D$87,4,0)=2,"Eventual 80%","Definitivo 100%")</f>
        <v>Eventual 80%</v>
      </c>
      <c r="G229" s="76"/>
      <c r="H229" s="89"/>
    </row>
    <row r="230" spans="1:8">
      <c r="A230" s="75"/>
      <c r="B230" s="635" t="s">
        <v>187</v>
      </c>
      <c r="C230" s="375">
        <f>DSUM('16_1'!$A$9:$H$55,'16_1'!$H$9,G225:G226)</f>
        <v>24</v>
      </c>
      <c r="D230" s="76"/>
      <c r="E230" s="635" t="s">
        <v>188</v>
      </c>
      <c r="F230" s="369" t="str">
        <f>+Hijuelas!$G$5</f>
        <v>fracción</v>
      </c>
      <c r="G230" s="106"/>
      <c r="H230" s="89"/>
    </row>
    <row r="231" spans="1:8" ht="15.75">
      <c r="A231" s="75"/>
      <c r="B231" s="76"/>
      <c r="C231" s="635" t="s">
        <v>189</v>
      </c>
      <c r="D231" s="107">
        <f>DMIN('16_1'!A$9:K$55,'16_1'!$K$9,G225:G226)</f>
        <v>42975.558368541548</v>
      </c>
      <c r="E231" s="127" t="str">
        <f>IF(F231=1,"Domingo",IF(F231=2,"Lunes",IF(F231=3,"Martes",IF(F231=4,"Miercoles",IF(F231=5,"Jueves",IF(F231=6,"Viernes",IF(F231=7,"Sábado",0)))))))</f>
        <v>Lunes</v>
      </c>
      <c r="F231" s="128">
        <f>WEEKDAY(D231)</f>
        <v>2</v>
      </c>
      <c r="G231" s="103"/>
      <c r="H231" s="89"/>
    </row>
    <row r="232" spans="1:8" ht="15.75">
      <c r="A232" s="75"/>
      <c r="B232" s="76"/>
      <c r="C232" s="635" t="s">
        <v>190</v>
      </c>
      <c r="D232" s="107">
        <f>DMAX('16_1'!A$9:L$55,'16_1'!$L$9,G225:G226)</f>
        <v>42975.772436588923</v>
      </c>
      <c r="E232" s="127" t="str">
        <f>IF(F232=1,"Domingo",IF(F232=2,"Lunes",IF(F232=3,"Martes",IF(F232=4,"Miercoles",IF(F232=5,"Jueves",IF(F232=6,"Viernes",IF(F232=7,"Sábado",0)))))))</f>
        <v>Lunes</v>
      </c>
      <c r="F232" s="128">
        <f>WEEKDAY(D232)</f>
        <v>2</v>
      </c>
      <c r="G232" s="103"/>
      <c r="H232" s="89"/>
    </row>
    <row r="233" spans="1:8">
      <c r="A233" s="75"/>
      <c r="B233" s="76"/>
      <c r="C233" s="76"/>
      <c r="D233" s="76"/>
      <c r="E233" s="76"/>
      <c r="F233" s="106"/>
      <c r="G233" s="106"/>
      <c r="H233" s="89"/>
    </row>
    <row r="234" spans="1:8">
      <c r="A234" s="331" t="str">
        <f>+Mensajes!$B$7</f>
        <v>PARA CUALQUIER MODIFICACION EN EL CUADRO DE TURNO COMUNIQUESE CON SU TOMERO</v>
      </c>
      <c r="C234" s="279"/>
      <c r="D234" s="76"/>
      <c r="E234" s="76"/>
      <c r="F234" s="76"/>
      <c r="G234" s="76"/>
      <c r="H234" s="89"/>
    </row>
    <row r="235" spans="1:8">
      <c r="A235" s="75"/>
      <c r="B235" s="332" t="str">
        <f>+Mensajes!$B$12</f>
        <v>Recuerde que con 1 (una) cuotas vigentes impagas se restringirá el servicio.</v>
      </c>
      <c r="C235" s="280"/>
      <c r="D235" s="76"/>
      <c r="E235" s="76"/>
      <c r="F235" s="76"/>
      <c r="G235" s="76"/>
      <c r="H235" s="89"/>
    </row>
    <row r="236" spans="1:8">
      <c r="A236" s="75"/>
      <c r="B236" s="108"/>
      <c r="C236" s="76"/>
      <c r="D236" s="76"/>
      <c r="E236" s="76"/>
      <c r="F236" s="76"/>
      <c r="G236" s="76"/>
      <c r="H236" s="89"/>
    </row>
    <row r="237" spans="1:8" ht="13.5" thickBot="1">
      <c r="A237" s="101"/>
      <c r="B237" s="387" t="str">
        <f>IF(DSUM('16_1'!$A$9:$P$87,16,G225:G226)=COUNTIF('16_1'!$A$9:$A$87,G226),"","Regularice su Deuda")</f>
        <v/>
      </c>
      <c r="C237" s="77"/>
      <c r="D237" s="77"/>
      <c r="E237" s="77"/>
      <c r="F237" s="77"/>
      <c r="G237" s="77"/>
      <c r="H237" s="78"/>
    </row>
    <row r="239" spans="1:8">
      <c r="A239" s="86"/>
      <c r="B239" s="87"/>
      <c r="C239" s="87"/>
      <c r="D239" s="87"/>
      <c r="E239" s="87"/>
      <c r="F239" s="87"/>
      <c r="G239" s="87"/>
      <c r="H239" s="88"/>
    </row>
    <row r="240" spans="1:8">
      <c r="A240" s="75"/>
      <c r="B240" s="109" t="s">
        <v>82</v>
      </c>
      <c r="C240" s="76"/>
      <c r="D240" s="76"/>
      <c r="E240" s="76"/>
      <c r="F240" s="76"/>
      <c r="G240" s="76"/>
      <c r="H240" s="89"/>
    </row>
    <row r="241" spans="1:8">
      <c r="A241" s="75"/>
      <c r="B241" s="76"/>
      <c r="C241" s="76"/>
      <c r="D241" s="76"/>
      <c r="E241" s="76"/>
      <c r="F241" s="76"/>
      <c r="G241" s="76"/>
      <c r="H241" s="89"/>
    </row>
    <row r="242" spans="1:8">
      <c r="A242" s="75"/>
      <c r="B242" s="76" t="s">
        <v>182</v>
      </c>
      <c r="C242" s="76" t="str">
        <f>VLOOKUP(G243,'16_1'!$A$9:$G$55,7,0)</f>
        <v>CHIODIN HUGO ARIEL</v>
      </c>
      <c r="D242" s="76"/>
      <c r="E242" s="76"/>
      <c r="F242" s="76"/>
      <c r="G242" s="100" t="s">
        <v>134</v>
      </c>
      <c r="H242" s="89"/>
    </row>
    <row r="243" spans="1:8">
      <c r="A243" s="75"/>
      <c r="B243" s="76" t="s">
        <v>91</v>
      </c>
      <c r="C243" s="76" t="str">
        <f>+'16_1'!$H$1</f>
        <v>Hijuela PERFOGA OESTE</v>
      </c>
      <c r="D243" s="76"/>
      <c r="E243" s="76"/>
      <c r="F243" s="76"/>
      <c r="G243" s="100">
        <v>15</v>
      </c>
      <c r="H243" s="89"/>
    </row>
    <row r="244" spans="1:8">
      <c r="A244" s="75"/>
      <c r="B244" s="76"/>
      <c r="C244" s="76"/>
      <c r="D244" s="76"/>
      <c r="E244" s="76"/>
      <c r="F244" s="76"/>
      <c r="G244" s="76"/>
      <c r="H244" s="89"/>
    </row>
    <row r="245" spans="1:8">
      <c r="A245" s="75"/>
      <c r="B245" s="635" t="s">
        <v>183</v>
      </c>
      <c r="C245" s="331">
        <f>VLOOKUP(G243,'16_1'!$A$12:$B$55,2,0)</f>
        <v>1253</v>
      </c>
      <c r="D245" s="76"/>
      <c r="E245" s="635" t="s">
        <v>184</v>
      </c>
      <c r="F245" s="397">
        <f>DSUM('16_1'!A$9:J$55,'16_1'!$J$9,G242:G243)</f>
        <v>7.1355302232432485E-2</v>
      </c>
      <c r="G245" s="76"/>
      <c r="H245" s="89"/>
    </row>
    <row r="246" spans="1:8">
      <c r="A246" s="75"/>
      <c r="B246" s="635" t="s">
        <v>185</v>
      </c>
      <c r="C246" s="374">
        <v>33</v>
      </c>
      <c r="D246" s="76"/>
      <c r="E246" s="635" t="s">
        <v>186</v>
      </c>
      <c r="F246" s="368" t="str">
        <f>IF(VLOOKUP(G243,'16_1'!$A$9:$D$87,4,0)=2,"Eventual 80%","Definitivo 100%")</f>
        <v>Eventual 80%</v>
      </c>
      <c r="G246" s="76"/>
      <c r="H246" s="89"/>
    </row>
    <row r="247" spans="1:8">
      <c r="A247" s="75"/>
      <c r="B247" s="635" t="s">
        <v>187</v>
      </c>
      <c r="C247" s="375">
        <f>DSUM('16_1'!$A$9:$H$55,'16_1'!$H$9,G242:G243)</f>
        <v>7.9999200000000004</v>
      </c>
      <c r="D247" s="76"/>
      <c r="E247" s="635" t="s">
        <v>188</v>
      </c>
      <c r="F247" s="369" t="str">
        <f>+Hijuelas!$G$5</f>
        <v>fracción</v>
      </c>
      <c r="G247" s="106"/>
      <c r="H247" s="89"/>
    </row>
    <row r="248" spans="1:8" ht="15.75">
      <c r="A248" s="75"/>
      <c r="B248" s="76"/>
      <c r="C248" s="635" t="s">
        <v>189</v>
      </c>
      <c r="D248" s="107">
        <f>DMIN('16_1'!A$9:K$55,'16_1'!$K$9,G242:G243)</f>
        <v>42975.487013239312</v>
      </c>
      <c r="E248" s="127" t="str">
        <f>IF(F248=1,"Domingo",IF(F248=2,"Lunes",IF(F248=3,"Martes",IF(F248=4,"Miercoles",IF(F248=5,"Jueves",IF(F248=6,"Viernes",IF(F248=7,"Sábado",0)))))))</f>
        <v>Lunes</v>
      </c>
      <c r="F248" s="128">
        <f>WEEKDAY(D248)</f>
        <v>2</v>
      </c>
      <c r="G248" s="103"/>
      <c r="H248" s="89"/>
    </row>
    <row r="249" spans="1:8" ht="15.75">
      <c r="A249" s="75"/>
      <c r="B249" s="76"/>
      <c r="C249" s="635" t="s">
        <v>190</v>
      </c>
      <c r="D249" s="107">
        <f>DMAX('16_1'!A$9:L$55,'16_1'!$L$9,G242:G243)</f>
        <v>42975.558368541548</v>
      </c>
      <c r="E249" s="127" t="str">
        <f>IF(F249=1,"Domingo",IF(F249=2,"Lunes",IF(F249=3,"Martes",IF(F249=4,"Miercoles",IF(F249=5,"Jueves",IF(F249=6,"Viernes",IF(F249=7,"Sábado",0)))))))</f>
        <v>Lunes</v>
      </c>
      <c r="F249" s="128">
        <f>WEEKDAY(D249)</f>
        <v>2</v>
      </c>
      <c r="G249" s="103"/>
      <c r="H249" s="89"/>
    </row>
    <row r="250" spans="1:8">
      <c r="A250" s="75"/>
      <c r="B250" s="76"/>
      <c r="C250" s="76"/>
      <c r="D250" s="76"/>
      <c r="E250" s="76"/>
      <c r="F250" s="106"/>
      <c r="G250" s="106"/>
      <c r="H250" s="89"/>
    </row>
    <row r="251" spans="1:8">
      <c r="A251" s="331" t="str">
        <f>+Mensajes!$B$7</f>
        <v>PARA CUALQUIER MODIFICACION EN EL CUADRO DE TURNO COMUNIQUESE CON SU TOMERO</v>
      </c>
      <c r="C251" s="279"/>
      <c r="D251" s="76"/>
      <c r="E251" s="76"/>
      <c r="F251" s="76"/>
      <c r="G251" s="76"/>
      <c r="H251" s="89"/>
    </row>
    <row r="252" spans="1:8">
      <c r="A252" s="75"/>
      <c r="B252" s="332" t="str">
        <f>+Mensajes!$B$12</f>
        <v>Recuerde que con 1 (una) cuotas vigentes impagas se restringirá el servicio.</v>
      </c>
      <c r="C252" s="280"/>
      <c r="D252" s="76"/>
      <c r="E252" s="76"/>
      <c r="F252" s="76"/>
      <c r="G252" s="76"/>
      <c r="H252" s="89"/>
    </row>
    <row r="253" spans="1:8">
      <c r="A253" s="75"/>
      <c r="B253" s="108"/>
      <c r="C253" s="76"/>
      <c r="D253" s="76"/>
      <c r="E253" s="76"/>
      <c r="F253" s="76"/>
      <c r="G253" s="76"/>
      <c r="H253" s="89"/>
    </row>
    <row r="254" spans="1:8" ht="13.5" thickBot="1">
      <c r="A254" s="101"/>
      <c r="B254" s="387" t="str">
        <f>IF(DSUM('16_1'!$A$9:$P$87,16,G242:G243)=COUNTIF('16_1'!$A$9:$A$87,G243),"","Regularice su Deuda")</f>
        <v/>
      </c>
      <c r="C254" s="77"/>
      <c r="D254" s="77"/>
      <c r="E254" s="77"/>
      <c r="F254" s="77"/>
      <c r="G254" s="77"/>
      <c r="H254" s="78"/>
    </row>
    <row r="256" spans="1:8">
      <c r="A256" s="86"/>
      <c r="B256" s="87"/>
      <c r="C256" s="87"/>
      <c r="D256" s="87"/>
      <c r="E256" s="87"/>
      <c r="F256" s="87"/>
      <c r="G256" s="87"/>
      <c r="H256" s="88"/>
    </row>
    <row r="257" spans="1:8">
      <c r="A257" s="75"/>
      <c r="B257" s="109" t="s">
        <v>82</v>
      </c>
      <c r="C257" s="76"/>
      <c r="D257" s="76"/>
      <c r="E257" s="76"/>
      <c r="F257" s="76"/>
      <c r="G257" s="76"/>
      <c r="H257" s="89"/>
    </row>
    <row r="258" spans="1:8">
      <c r="A258" s="75"/>
      <c r="B258" s="76"/>
      <c r="C258" s="76"/>
      <c r="D258" s="76"/>
      <c r="E258" s="76"/>
      <c r="F258" s="76"/>
      <c r="G258" s="76"/>
      <c r="H258" s="89"/>
    </row>
    <row r="259" spans="1:8">
      <c r="A259" s="75"/>
      <c r="B259" s="76" t="s">
        <v>182</v>
      </c>
      <c r="C259" s="76" t="str">
        <f>VLOOKUP(G260,'16_1'!$A$9:$G$55,7,0)</f>
        <v>TEJENO, HIGINIO BRUNO</v>
      </c>
      <c r="D259" s="76"/>
      <c r="E259" s="76"/>
      <c r="F259" s="76"/>
      <c r="G259" s="100" t="s">
        <v>134</v>
      </c>
      <c r="H259" s="89"/>
    </row>
    <row r="260" spans="1:8">
      <c r="A260" s="75"/>
      <c r="B260" s="76" t="s">
        <v>91</v>
      </c>
      <c r="C260" s="76" t="str">
        <f>+'16_1'!$H$1</f>
        <v>Hijuela PERFOGA OESTE</v>
      </c>
      <c r="D260" s="76"/>
      <c r="E260" s="76"/>
      <c r="F260" s="76"/>
      <c r="G260" s="100">
        <v>16</v>
      </c>
      <c r="H260" s="89"/>
    </row>
    <row r="261" spans="1:8">
      <c r="A261" s="75"/>
      <c r="B261" s="76"/>
      <c r="C261" s="76"/>
      <c r="D261" s="76"/>
      <c r="E261" s="76"/>
      <c r="F261" s="76"/>
      <c r="G261" s="76"/>
      <c r="H261" s="89"/>
    </row>
    <row r="262" spans="1:8">
      <c r="A262" s="75"/>
      <c r="B262" s="635" t="s">
        <v>183</v>
      </c>
      <c r="C262" s="331">
        <f>VLOOKUP(G260,'16_1'!$A$12:$B$55,2,0)</f>
        <v>1253</v>
      </c>
      <c r="D262" s="76"/>
      <c r="E262" s="635" t="s">
        <v>184</v>
      </c>
      <c r="F262" s="397">
        <f>DSUM('16_1'!A$9:J$55,'16_1'!$J$9,G259:G260)</f>
        <v>7.1356015792590405E-2</v>
      </c>
      <c r="G262" s="76"/>
      <c r="H262" s="89"/>
    </row>
    <row r="263" spans="1:8">
      <c r="A263" s="75"/>
      <c r="B263" s="635" t="s">
        <v>185</v>
      </c>
      <c r="C263" s="374" t="s">
        <v>564</v>
      </c>
      <c r="D263" s="76"/>
      <c r="E263" s="635" t="s">
        <v>186</v>
      </c>
      <c r="F263" s="368" t="str">
        <f>IF(VLOOKUP(G260,'16_1'!$A$9:$D$87,4,0)=2,"Eventual 80%","Definitivo 100%")</f>
        <v>Eventual 80%</v>
      </c>
      <c r="G263" s="76"/>
      <c r="H263" s="89"/>
    </row>
    <row r="264" spans="1:8">
      <c r="A264" s="75"/>
      <c r="B264" s="635" t="s">
        <v>187</v>
      </c>
      <c r="C264" s="375">
        <f>DSUM('16_1'!$A$9:$H$55,'16_1'!$H$9,G259:G260)</f>
        <v>8</v>
      </c>
      <c r="D264" s="76"/>
      <c r="E264" s="635" t="s">
        <v>188</v>
      </c>
      <c r="F264" s="369" t="str">
        <f>+Hijuelas!$G$5</f>
        <v>fracción</v>
      </c>
      <c r="G264" s="106"/>
      <c r="H264" s="89"/>
    </row>
    <row r="265" spans="1:8" ht="15.75">
      <c r="A265" s="75"/>
      <c r="B265" s="76"/>
      <c r="C265" s="635" t="s">
        <v>189</v>
      </c>
      <c r="D265" s="107">
        <f>DMIN('16_1'!A$9:K$55,'16_1'!$K$9,G259:G260)</f>
        <v>42975.415657223522</v>
      </c>
      <c r="E265" s="127" t="str">
        <f>IF(F265=1,"Domingo",IF(F265=2,"Lunes",IF(F265=3,"Martes",IF(F265=4,"Miercoles",IF(F265=5,"Jueves",IF(F265=6,"Viernes",IF(F265=7,"Sábado",0)))))))</f>
        <v>Lunes</v>
      </c>
      <c r="F265" s="128">
        <f>WEEKDAY(D265)</f>
        <v>2</v>
      </c>
      <c r="G265" s="103"/>
      <c r="H265" s="89"/>
    </row>
    <row r="266" spans="1:8" ht="15.75">
      <c r="A266" s="75"/>
      <c r="B266" s="76"/>
      <c r="C266" s="635" t="s">
        <v>190</v>
      </c>
      <c r="D266" s="107">
        <f>DMAX('16_1'!A$9:L$55,'16_1'!$L$9,G259:G260)</f>
        <v>42975.487013239312</v>
      </c>
      <c r="E266" s="127" t="str">
        <f>IF(F266=1,"Domingo",IF(F266=2,"Lunes",IF(F266=3,"Martes",IF(F266=4,"Miercoles",IF(F266=5,"Jueves",IF(F266=6,"Viernes",IF(F266=7,"Sábado",0)))))))</f>
        <v>Lunes</v>
      </c>
      <c r="F266" s="128">
        <f>WEEKDAY(D266)</f>
        <v>2</v>
      </c>
      <c r="G266" s="103"/>
      <c r="H266" s="89"/>
    </row>
    <row r="267" spans="1:8">
      <c r="A267" s="75"/>
      <c r="B267" s="76"/>
      <c r="C267" s="76"/>
      <c r="D267" s="76"/>
      <c r="E267" s="76"/>
      <c r="F267" s="106"/>
      <c r="G267" s="106"/>
      <c r="H267" s="89"/>
    </row>
    <row r="268" spans="1:8">
      <c r="A268" s="331" t="str">
        <f>+Mensajes!$B$7</f>
        <v>PARA CUALQUIER MODIFICACION EN EL CUADRO DE TURNO COMUNIQUESE CON SU TOMERO</v>
      </c>
      <c r="C268" s="279"/>
      <c r="D268" s="76"/>
      <c r="E268" s="76"/>
      <c r="F268" s="76"/>
      <c r="G268" s="76"/>
      <c r="H268" s="89"/>
    </row>
    <row r="269" spans="1:8">
      <c r="A269" s="75"/>
      <c r="B269" s="332" t="str">
        <f>+Mensajes!$B$12</f>
        <v>Recuerde que con 1 (una) cuotas vigentes impagas se restringirá el servicio.</v>
      </c>
      <c r="C269" s="280"/>
      <c r="D269" s="76"/>
      <c r="E269" s="76"/>
      <c r="F269" s="76"/>
      <c r="G269" s="76"/>
      <c r="H269" s="89"/>
    </row>
    <row r="270" spans="1:8">
      <c r="A270" s="75"/>
      <c r="B270" s="108"/>
      <c r="C270" s="76"/>
      <c r="D270" s="76"/>
      <c r="E270" s="76"/>
      <c r="F270" s="76"/>
      <c r="G270" s="76"/>
      <c r="H270" s="89"/>
    </row>
    <row r="271" spans="1:8" ht="13.5" thickBot="1">
      <c r="A271" s="101"/>
      <c r="B271" s="387" t="str">
        <f>IF(DSUM('16_1'!$A$9:$P$87,16,G259:G260)=COUNTIF('16_1'!$A$9:$A$87,G260),"","Regularice su Deuda")</f>
        <v/>
      </c>
      <c r="C271" s="77"/>
      <c r="D271" s="77"/>
      <c r="E271" s="77"/>
      <c r="F271" s="77"/>
      <c r="G271" s="77"/>
      <c r="H271" s="78"/>
    </row>
    <row r="273" spans="1:8">
      <c r="A273" s="86"/>
      <c r="B273" s="87"/>
      <c r="C273" s="87"/>
      <c r="D273" s="87"/>
      <c r="E273" s="87"/>
      <c r="F273" s="87"/>
      <c r="G273" s="87"/>
      <c r="H273" s="88"/>
    </row>
    <row r="274" spans="1:8">
      <c r="A274" s="75"/>
      <c r="B274" s="109" t="s">
        <v>82</v>
      </c>
      <c r="C274" s="76"/>
      <c r="D274" s="76"/>
      <c r="E274" s="76"/>
      <c r="F274" s="76"/>
      <c r="G274" s="76"/>
      <c r="H274" s="89"/>
    </row>
    <row r="275" spans="1:8">
      <c r="A275" s="75"/>
      <c r="B275" s="76"/>
      <c r="C275" s="76"/>
      <c r="D275" s="76"/>
      <c r="E275" s="76"/>
      <c r="F275" s="76"/>
      <c r="G275" s="76"/>
      <c r="H275" s="89"/>
    </row>
    <row r="276" spans="1:8">
      <c r="A276" s="75"/>
      <c r="B276" s="76" t="s">
        <v>182</v>
      </c>
      <c r="C276" s="76" t="str">
        <f>VLOOKUP(G277,'16_1'!$A$9:$G$55,7,0)</f>
        <v>SANJURJO, CARLOS RAFAEL</v>
      </c>
      <c r="D276" s="76"/>
      <c r="E276" s="76"/>
      <c r="F276" s="76"/>
      <c r="G276" s="100" t="s">
        <v>134</v>
      </c>
      <c r="H276" s="89"/>
    </row>
    <row r="277" spans="1:8">
      <c r="A277" s="75"/>
      <c r="B277" s="76" t="s">
        <v>91</v>
      </c>
      <c r="C277" s="76" t="str">
        <f>+'16_1'!$H$1</f>
        <v>Hijuela PERFOGA OESTE</v>
      </c>
      <c r="D277" s="76"/>
      <c r="E277" s="76"/>
      <c r="F277" s="76"/>
      <c r="G277" s="100">
        <v>17</v>
      </c>
      <c r="H277" s="89"/>
    </row>
    <row r="278" spans="1:8">
      <c r="A278" s="75"/>
      <c r="B278" s="76"/>
      <c r="C278" s="76"/>
      <c r="D278" s="76"/>
      <c r="E278" s="76"/>
      <c r="F278" s="76"/>
      <c r="G278" s="76"/>
      <c r="H278" s="89"/>
    </row>
    <row r="279" spans="1:8">
      <c r="A279" s="75"/>
      <c r="B279" s="635" t="s">
        <v>183</v>
      </c>
      <c r="C279" s="331">
        <f>VLOOKUP(G277,'16_1'!$A$12:$B$55,2,0)</f>
        <v>1253</v>
      </c>
      <c r="D279" s="76"/>
      <c r="E279" s="635" t="s">
        <v>184</v>
      </c>
      <c r="F279" s="397">
        <f>DSUM('16_1'!A$9:J$55,'16_1'!$J$9,G276:G277)</f>
        <v>7.4482122844463802E-2</v>
      </c>
      <c r="G279" s="76"/>
      <c r="H279" s="89"/>
    </row>
    <row r="280" spans="1:8">
      <c r="A280" s="75"/>
      <c r="B280" s="635" t="s">
        <v>185</v>
      </c>
      <c r="C280" s="374">
        <v>31</v>
      </c>
      <c r="D280" s="76"/>
      <c r="E280" s="635" t="s">
        <v>186</v>
      </c>
      <c r="F280" s="368" t="str">
        <f>IF(VLOOKUP(G277,'16_1'!$A$9:$D$87,4,0)=2,"Eventual 80%","Definitivo 100%")</f>
        <v>Eventual 80%</v>
      </c>
      <c r="G280" s="76"/>
      <c r="H280" s="89"/>
    </row>
    <row r="281" spans="1:8">
      <c r="A281" s="75"/>
      <c r="B281" s="635" t="s">
        <v>187</v>
      </c>
      <c r="C281" s="375">
        <f>DSUM('16_1'!$A$9:$H$55,'16_1'!$H$9,G276:G277)</f>
        <v>8.350480000000001</v>
      </c>
      <c r="D281" s="76"/>
      <c r="E281" s="635" t="s">
        <v>188</v>
      </c>
      <c r="F281" s="369" t="str">
        <f>+Hijuelas!$G$5</f>
        <v>fracción</v>
      </c>
      <c r="G281" s="106"/>
      <c r="H281" s="89"/>
    </row>
    <row r="282" spans="1:8" ht="15.75">
      <c r="A282" s="75"/>
      <c r="B282" s="76"/>
      <c r="C282" s="635" t="s">
        <v>189</v>
      </c>
      <c r="D282" s="107">
        <f>DMIN('16_1'!A$9:K$55,'16_1'!$K$9,G276:G277)</f>
        <v>42975.341175100679</v>
      </c>
      <c r="E282" s="127" t="str">
        <f>IF(F282=1,"Domingo",IF(F282=2,"Lunes",IF(F282=3,"Martes",IF(F282=4,"Miercoles",IF(F282=5,"Jueves",IF(F282=6,"Viernes",IF(F282=7,"Sábado",0)))))))</f>
        <v>Lunes</v>
      </c>
      <c r="F282" s="128">
        <f>WEEKDAY(D282)</f>
        <v>2</v>
      </c>
      <c r="G282" s="103"/>
      <c r="H282" s="89"/>
    </row>
    <row r="283" spans="1:8" ht="15.75">
      <c r="A283" s="75"/>
      <c r="B283" s="76"/>
      <c r="C283" s="635" t="s">
        <v>190</v>
      </c>
      <c r="D283" s="107">
        <f>DMAX('16_1'!A$9:L$55,'16_1'!$L$9,G276:G277)</f>
        <v>42975.415657223522</v>
      </c>
      <c r="E283" s="127" t="str">
        <f>IF(F283=1,"Domingo",IF(F283=2,"Lunes",IF(F283=3,"Martes",IF(F283=4,"Miercoles",IF(F283=5,"Jueves",IF(F283=6,"Viernes",IF(F283=7,"Sábado",0)))))))</f>
        <v>Lunes</v>
      </c>
      <c r="F283" s="128">
        <f>WEEKDAY(D283)</f>
        <v>2</v>
      </c>
      <c r="G283" s="103"/>
      <c r="H283" s="89"/>
    </row>
    <row r="284" spans="1:8">
      <c r="A284" s="75"/>
      <c r="B284" s="76"/>
      <c r="C284" s="76"/>
      <c r="D284" s="76"/>
      <c r="E284" s="76"/>
      <c r="F284" s="106"/>
      <c r="G284" s="106"/>
      <c r="H284" s="89"/>
    </row>
    <row r="285" spans="1:8">
      <c r="A285" s="331" t="str">
        <f>+Mensajes!$B$7</f>
        <v>PARA CUALQUIER MODIFICACION EN EL CUADRO DE TURNO COMUNIQUESE CON SU TOMERO</v>
      </c>
      <c r="C285" s="279"/>
      <c r="D285" s="76"/>
      <c r="E285" s="76"/>
      <c r="F285" s="76"/>
      <c r="G285" s="76"/>
      <c r="H285" s="89"/>
    </row>
    <row r="286" spans="1:8">
      <c r="A286" s="75"/>
      <c r="B286" s="332" t="str">
        <f>+Mensajes!$B$12</f>
        <v>Recuerde que con 1 (una) cuotas vigentes impagas se restringirá el servicio.</v>
      </c>
      <c r="C286" s="280"/>
      <c r="D286" s="76"/>
      <c r="E286" s="76"/>
      <c r="F286" s="76"/>
      <c r="G286" s="76"/>
      <c r="H286" s="89"/>
    </row>
    <row r="287" spans="1:8">
      <c r="A287" s="75"/>
      <c r="B287" s="108"/>
      <c r="C287" s="76"/>
      <c r="D287" s="76"/>
      <c r="E287" s="76"/>
      <c r="F287" s="76"/>
      <c r="G287" s="76"/>
      <c r="H287" s="89"/>
    </row>
    <row r="288" spans="1:8" ht="13.5" thickBot="1">
      <c r="A288" s="101"/>
      <c r="B288" s="387" t="str">
        <f>IF(DSUM('16_1'!$A$9:$P$87,16,G276:G277)=COUNTIF('16_1'!$A$9:$A$87,G277),"","Regularice su Deuda")</f>
        <v/>
      </c>
      <c r="C288" s="77"/>
      <c r="D288" s="77"/>
      <c r="E288" s="77"/>
      <c r="F288" s="77"/>
      <c r="G288" s="77"/>
      <c r="H288" s="78"/>
    </row>
    <row r="290" spans="1:8">
      <c r="A290" s="86"/>
      <c r="B290" s="87"/>
      <c r="C290" s="87"/>
      <c r="D290" s="87"/>
      <c r="E290" s="87"/>
      <c r="F290" s="87"/>
      <c r="G290" s="87"/>
      <c r="H290" s="88"/>
    </row>
    <row r="291" spans="1:8">
      <c r="A291" s="75"/>
      <c r="B291" s="109" t="s">
        <v>82</v>
      </c>
      <c r="C291" s="76"/>
      <c r="D291" s="76"/>
      <c r="E291" s="76"/>
      <c r="F291" s="76"/>
      <c r="G291" s="76"/>
      <c r="H291" s="89"/>
    </row>
    <row r="292" spans="1:8">
      <c r="A292" s="75"/>
      <c r="B292" s="76"/>
      <c r="C292" s="76"/>
      <c r="D292" s="76"/>
      <c r="E292" s="76"/>
      <c r="F292" s="76"/>
      <c r="G292" s="76"/>
      <c r="H292" s="89"/>
    </row>
    <row r="293" spans="1:8">
      <c r="A293" s="75"/>
      <c r="B293" s="76" t="s">
        <v>182</v>
      </c>
      <c r="C293" s="76" t="str">
        <f>VLOOKUP(G294,'16_1'!$A$9:$G$55,7,0)</f>
        <v>LOPEZ, AMILCAR CRISTIAN</v>
      </c>
      <c r="D293" s="76"/>
      <c r="E293" s="76"/>
      <c r="F293" s="76"/>
      <c r="G293" s="100" t="s">
        <v>134</v>
      </c>
      <c r="H293" s="89"/>
    </row>
    <row r="294" spans="1:8">
      <c r="A294" s="75"/>
      <c r="B294" s="76" t="s">
        <v>91</v>
      </c>
      <c r="C294" s="76" t="str">
        <f>+'16_1'!$H$1</f>
        <v>Hijuela PERFOGA OESTE</v>
      </c>
      <c r="D294" s="76"/>
      <c r="E294" s="76"/>
      <c r="F294" s="76"/>
      <c r="G294" s="100">
        <v>18</v>
      </c>
      <c r="H294" s="89"/>
    </row>
    <row r="295" spans="1:8">
      <c r="A295" s="75"/>
      <c r="B295" s="76"/>
      <c r="C295" s="76"/>
      <c r="D295" s="76"/>
      <c r="E295" s="76"/>
      <c r="F295" s="76"/>
      <c r="G295" s="76"/>
      <c r="H295" s="89"/>
    </row>
    <row r="296" spans="1:8">
      <c r="A296" s="75"/>
      <c r="B296" s="635" t="s">
        <v>183</v>
      </c>
      <c r="C296" s="331">
        <f>VLOOKUP(G294,'16_1'!$A$12:$B$55,2,0)</f>
        <v>1253</v>
      </c>
      <c r="D296" s="76"/>
      <c r="E296" s="635" t="s">
        <v>184</v>
      </c>
      <c r="F296" s="397">
        <f>DSUM('16_1'!A$9:J$55,'16_1'!$J$9,G293:G294)</f>
        <v>0.14594588622090099</v>
      </c>
      <c r="G296" s="76"/>
      <c r="H296" s="89"/>
    </row>
    <row r="297" spans="1:8">
      <c r="A297" s="75"/>
      <c r="B297" s="635" t="s">
        <v>185</v>
      </c>
      <c r="C297" s="374" t="s">
        <v>565</v>
      </c>
      <c r="D297" s="76"/>
      <c r="E297" s="635" t="s">
        <v>186</v>
      </c>
      <c r="F297" s="368" t="str">
        <f>IF(VLOOKUP(G294,'16_1'!$A$9:$D$87,4,0)=2,"Eventual 80%","Definitivo 100%")</f>
        <v>Eventual 80%</v>
      </c>
      <c r="G297" s="76"/>
      <c r="H297" s="89"/>
    </row>
    <row r="298" spans="1:8">
      <c r="A298" s="75"/>
      <c r="B298" s="635" t="s">
        <v>187</v>
      </c>
      <c r="C298" s="375">
        <f>DSUM('16_1'!$A$9:$H$55,'16_1'!$H$9,G293:G294)</f>
        <v>16.362560000000002</v>
      </c>
      <c r="D298" s="76"/>
      <c r="E298" s="635" t="s">
        <v>188</v>
      </c>
      <c r="F298" s="369" t="str">
        <f>+Hijuelas!$G$5</f>
        <v>fracción</v>
      </c>
      <c r="G298" s="106"/>
      <c r="H298" s="89"/>
    </row>
    <row r="299" spans="1:8" ht="15.75">
      <c r="A299" s="75"/>
      <c r="B299" s="76"/>
      <c r="C299" s="635" t="s">
        <v>189</v>
      </c>
      <c r="D299" s="107">
        <f>DMIN('16_1'!A$9:K$55,'16_1'!$K$9,G293:G294)</f>
        <v>42975.111895881128</v>
      </c>
      <c r="E299" s="127" t="str">
        <f>IF(F299=1,"Domingo",IF(F299=2,"Lunes",IF(F299=3,"Martes",IF(F299=4,"Miercoles",IF(F299=5,"Jueves",IF(F299=6,"Viernes",IF(F299=7,"Sábado",0)))))))</f>
        <v>Lunes</v>
      </c>
      <c r="F299" s="128">
        <f>WEEKDAY(D299)</f>
        <v>2</v>
      </c>
      <c r="G299" s="103"/>
      <c r="H299" s="89"/>
    </row>
    <row r="300" spans="1:8" ht="15.75">
      <c r="A300" s="75"/>
      <c r="B300" s="76"/>
      <c r="C300" s="635" t="s">
        <v>190</v>
      </c>
      <c r="D300" s="107">
        <f>DMAX('16_1'!A$9:L$55,'16_1'!$L$9,G293:G294)</f>
        <v>42975.341175100679</v>
      </c>
      <c r="E300" s="127" t="str">
        <f>IF(F300=1,"Domingo",IF(F300=2,"Lunes",IF(F300=3,"Martes",IF(F300=4,"Miercoles",IF(F300=5,"Jueves",IF(F300=6,"Viernes",IF(F300=7,"Sábado",0)))))))</f>
        <v>Lunes</v>
      </c>
      <c r="F300" s="128">
        <f>WEEKDAY(D300)</f>
        <v>2</v>
      </c>
      <c r="G300" s="103"/>
      <c r="H300" s="89"/>
    </row>
    <row r="301" spans="1:8">
      <c r="A301" s="75"/>
      <c r="B301" s="76"/>
      <c r="C301" s="76"/>
      <c r="D301" s="76"/>
      <c r="E301" s="76"/>
      <c r="F301" s="106"/>
      <c r="G301" s="106"/>
      <c r="H301" s="89"/>
    </row>
    <row r="302" spans="1:8">
      <c r="A302" s="331" t="str">
        <f>+Mensajes!$B$7</f>
        <v>PARA CUALQUIER MODIFICACION EN EL CUADRO DE TURNO COMUNIQUESE CON SU TOMERO</v>
      </c>
      <c r="C302" s="279"/>
      <c r="D302" s="76"/>
      <c r="E302" s="76"/>
      <c r="F302" s="76"/>
      <c r="G302" s="76"/>
      <c r="H302" s="89"/>
    </row>
    <row r="303" spans="1:8">
      <c r="A303" s="75"/>
      <c r="B303" s="332" t="str">
        <f>+Mensajes!$B$12</f>
        <v>Recuerde que con 1 (una) cuotas vigentes impagas se restringirá el servicio.</v>
      </c>
      <c r="C303" s="280"/>
      <c r="D303" s="76"/>
      <c r="E303" s="76"/>
      <c r="F303" s="76"/>
      <c r="G303" s="76"/>
      <c r="H303" s="89"/>
    </row>
    <row r="304" spans="1:8">
      <c r="A304" s="75"/>
      <c r="B304" s="108"/>
      <c r="C304" s="76"/>
      <c r="D304" s="76"/>
      <c r="E304" s="76"/>
      <c r="F304" s="76"/>
      <c r="G304" s="76"/>
      <c r="H304" s="89"/>
    </row>
    <row r="305" spans="1:8" ht="13.5" thickBot="1">
      <c r="A305" s="101"/>
      <c r="B305" s="387" t="str">
        <f>IF(DSUM('16_1'!$A$9:$P$87,16,G293:G294)=COUNTIF('16_1'!$A$9:$A$87,G294),"","Regularice su Deuda")</f>
        <v/>
      </c>
      <c r="C305" s="77"/>
      <c r="D305" s="77"/>
      <c r="E305" s="77"/>
      <c r="F305" s="77"/>
      <c r="G305" s="77"/>
      <c r="H305" s="78"/>
    </row>
    <row r="307" spans="1:8">
      <c r="A307" s="86"/>
      <c r="B307" s="87"/>
      <c r="C307" s="87"/>
      <c r="D307" s="87"/>
      <c r="E307" s="87"/>
      <c r="F307" s="87"/>
      <c r="G307" s="87"/>
      <c r="H307" s="88"/>
    </row>
    <row r="308" spans="1:8">
      <c r="A308" s="75"/>
      <c r="B308" s="109" t="s">
        <v>82</v>
      </c>
      <c r="C308" s="76"/>
      <c r="D308" s="76"/>
      <c r="E308" s="76"/>
      <c r="F308" s="76"/>
      <c r="G308" s="76"/>
      <c r="H308" s="89"/>
    </row>
    <row r="309" spans="1:8">
      <c r="A309" s="75"/>
      <c r="B309" s="76"/>
      <c r="C309" s="76"/>
      <c r="D309" s="76"/>
      <c r="E309" s="76"/>
      <c r="F309" s="76"/>
      <c r="G309" s="76"/>
      <c r="H309" s="89"/>
    </row>
    <row r="310" spans="1:8">
      <c r="A310" s="75"/>
      <c r="B310" s="76" t="s">
        <v>182</v>
      </c>
      <c r="C310" s="76" t="str">
        <f>VLOOKUP(G311,'16_1'!$A$9:$G$55,7,0)</f>
        <v>RIVERO SAAVEDRA, MARIA DE LAS NIEVES</v>
      </c>
      <c r="D310" s="76"/>
      <c r="E310" s="76"/>
      <c r="F310" s="76"/>
      <c r="G310" s="100" t="s">
        <v>134</v>
      </c>
      <c r="H310" s="89"/>
    </row>
    <row r="311" spans="1:8">
      <c r="A311" s="75"/>
      <c r="B311" s="76" t="s">
        <v>91</v>
      </c>
      <c r="C311" s="76" t="str">
        <f>+'16_1'!$H$1</f>
        <v>Hijuela PERFOGA OESTE</v>
      </c>
      <c r="D311" s="76"/>
      <c r="E311" s="76"/>
      <c r="F311" s="76"/>
      <c r="G311" s="100">
        <v>19</v>
      </c>
      <c r="H311" s="89"/>
    </row>
    <row r="312" spans="1:8">
      <c r="A312" s="75"/>
      <c r="B312" s="76"/>
      <c r="C312" s="76"/>
      <c r="D312" s="76"/>
      <c r="E312" s="76"/>
      <c r="F312" s="76"/>
      <c r="G312" s="76"/>
      <c r="H312" s="89"/>
    </row>
    <row r="313" spans="1:8">
      <c r="A313" s="75"/>
      <c r="B313" s="635" t="s">
        <v>183</v>
      </c>
      <c r="C313" s="331">
        <f>VLOOKUP(G311,'16_1'!$A$12:$B$55,2,0)</f>
        <v>1253</v>
      </c>
      <c r="D313" s="76"/>
      <c r="E313" s="635" t="s">
        <v>184</v>
      </c>
      <c r="F313" s="397">
        <f>DSUM('16_1'!A$9:J$55,'16_1'!$J$9,G310:G311)</f>
        <v>0</v>
      </c>
      <c r="G313" s="76"/>
      <c r="H313" s="89"/>
    </row>
    <row r="314" spans="1:8">
      <c r="A314" s="75"/>
      <c r="B314" s="635" t="s">
        <v>185</v>
      </c>
      <c r="C314" s="374">
        <v>91</v>
      </c>
      <c r="D314" s="76"/>
      <c r="E314" s="635" t="s">
        <v>186</v>
      </c>
      <c r="F314" s="368" t="str">
        <f>IF(VLOOKUP(G311,'16_1'!$A$9:$D$87,4,0)=2,"Eventual 80%","Definitivo 100%")</f>
        <v>Eventual 80%</v>
      </c>
      <c r="G314" s="76"/>
      <c r="H314" s="89"/>
    </row>
    <row r="315" spans="1:8">
      <c r="A315" s="75"/>
      <c r="B315" s="635" t="s">
        <v>187</v>
      </c>
      <c r="C315" s="375">
        <f>DSUM('16_1'!$A$9:$H$55,'16_1'!$H$9,G310:G311)</f>
        <v>0</v>
      </c>
      <c r="D315" s="76"/>
      <c r="E315" s="635" t="s">
        <v>188</v>
      </c>
      <c r="F315" s="369" t="str">
        <f>+Hijuelas!$G$5</f>
        <v>fracción</v>
      </c>
      <c r="G315" s="106"/>
      <c r="H315" s="89"/>
    </row>
    <row r="316" spans="1:8" ht="15.75">
      <c r="A316" s="75"/>
      <c r="B316" s="76"/>
      <c r="C316" s="635" t="s">
        <v>189</v>
      </c>
      <c r="D316" s="107">
        <f>DMIN('16_1'!A$9:K$55,'16_1'!$K$9,G310:G311)</f>
        <v>42975.111895881128</v>
      </c>
      <c r="E316" s="127" t="str">
        <f>IF(F316=1,"Domingo",IF(F316=2,"Lunes",IF(F316=3,"Martes",IF(F316=4,"Miercoles",IF(F316=5,"Jueves",IF(F316=6,"Viernes",IF(F316=7,"Sábado",0)))))))</f>
        <v>Lunes</v>
      </c>
      <c r="F316" s="128">
        <f>WEEKDAY(D316)</f>
        <v>2</v>
      </c>
      <c r="G316" s="103"/>
      <c r="H316" s="89"/>
    </row>
    <row r="317" spans="1:8" ht="15.75">
      <c r="A317" s="75"/>
      <c r="B317" s="76"/>
      <c r="C317" s="635" t="s">
        <v>190</v>
      </c>
      <c r="D317" s="107">
        <f>DMAX('16_1'!A$9:L$55,'16_1'!$L$9,G310:G311)</f>
        <v>42975.111895881128</v>
      </c>
      <c r="E317" s="127" t="str">
        <f>IF(F317=1,"Domingo",IF(F317=2,"Lunes",IF(F317=3,"Martes",IF(F317=4,"Miercoles",IF(F317=5,"Jueves",IF(F317=6,"Viernes",IF(F317=7,"Sábado",0)))))))</f>
        <v>Lunes</v>
      </c>
      <c r="F317" s="128">
        <f>WEEKDAY(D317)</f>
        <v>2</v>
      </c>
      <c r="G317" s="103"/>
      <c r="H317" s="89"/>
    </row>
    <row r="318" spans="1:8">
      <c r="A318" s="75"/>
      <c r="B318" s="76"/>
      <c r="C318" s="76"/>
      <c r="D318" s="76"/>
      <c r="E318" s="76"/>
      <c r="F318" s="106"/>
      <c r="G318" s="106"/>
      <c r="H318" s="89"/>
    </row>
    <row r="319" spans="1:8">
      <c r="A319" s="331" t="str">
        <f>+Mensajes!$B$7</f>
        <v>PARA CUALQUIER MODIFICACION EN EL CUADRO DE TURNO COMUNIQUESE CON SU TOMERO</v>
      </c>
      <c r="C319" s="279"/>
      <c r="D319" s="76"/>
      <c r="E319" s="76"/>
      <c r="F319" s="76"/>
      <c r="G319" s="76"/>
      <c r="H319" s="89"/>
    </row>
    <row r="320" spans="1:8">
      <c r="A320" s="75"/>
      <c r="B320" s="332" t="str">
        <f>+Mensajes!$B$12</f>
        <v>Recuerde que con 1 (una) cuotas vigentes impagas se restringirá el servicio.</v>
      </c>
      <c r="C320" s="280"/>
      <c r="D320" s="76"/>
      <c r="E320" s="76"/>
      <c r="F320" s="76"/>
      <c r="G320" s="76"/>
      <c r="H320" s="89"/>
    </row>
    <row r="321" spans="1:8">
      <c r="A321" s="75"/>
      <c r="B321" s="108"/>
      <c r="C321" s="76"/>
      <c r="D321" s="76"/>
      <c r="E321" s="76"/>
      <c r="F321" s="76"/>
      <c r="G321" s="76"/>
      <c r="H321" s="89"/>
    </row>
    <row r="322" spans="1:8" ht="13.5" thickBot="1">
      <c r="A322" s="101"/>
      <c r="B322" s="387" t="str">
        <f>IF(DSUM('16_1'!$A$9:$P$87,16,G310:G311)=COUNTIF('16_1'!$A$9:$A$87,G311),"","Regularice su Deuda")</f>
        <v>Regularice su Deuda</v>
      </c>
      <c r="C322" s="77"/>
      <c r="D322" s="77"/>
      <c r="E322" s="77"/>
      <c r="F322" s="77"/>
      <c r="G322" s="77"/>
      <c r="H322" s="78"/>
    </row>
    <row r="324" spans="1:8">
      <c r="A324" s="86"/>
      <c r="B324" s="87"/>
      <c r="C324" s="87"/>
      <c r="D324" s="87"/>
      <c r="E324" s="87"/>
      <c r="F324" s="87"/>
      <c r="G324" s="87"/>
      <c r="H324" s="88"/>
    </row>
    <row r="325" spans="1:8">
      <c r="A325" s="75"/>
      <c r="B325" s="109" t="s">
        <v>82</v>
      </c>
      <c r="C325" s="76"/>
      <c r="D325" s="76"/>
      <c r="E325" s="76"/>
      <c r="F325" s="76"/>
      <c r="G325" s="76"/>
      <c r="H325" s="89"/>
    </row>
    <row r="326" spans="1:8">
      <c r="A326" s="75"/>
      <c r="B326" s="76"/>
      <c r="C326" s="76"/>
      <c r="D326" s="76"/>
      <c r="E326" s="76"/>
      <c r="F326" s="76"/>
      <c r="G326" s="76"/>
      <c r="H326" s="89"/>
    </row>
    <row r="327" spans="1:8">
      <c r="A327" s="75"/>
      <c r="B327" s="76" t="s">
        <v>182</v>
      </c>
      <c r="C327" s="76" t="str">
        <f>VLOOKUP(G328,'16_1'!$A$9:$G$55,7,0)</f>
        <v>TORRES PALIZAS, MANUEL Y ESCUDERO, ANTONIO</v>
      </c>
      <c r="D327" s="76"/>
      <c r="E327" s="76"/>
      <c r="F327" s="76"/>
      <c r="G327" s="100" t="s">
        <v>134</v>
      </c>
      <c r="H327" s="89"/>
    </row>
    <row r="328" spans="1:8">
      <c r="A328" s="75"/>
      <c r="B328" s="76" t="s">
        <v>91</v>
      </c>
      <c r="C328" s="76" t="str">
        <f>+'16_1'!$H$1</f>
        <v>Hijuela PERFOGA OESTE</v>
      </c>
      <c r="D328" s="76"/>
      <c r="E328" s="76"/>
      <c r="F328" s="76"/>
      <c r="G328" s="100">
        <v>20</v>
      </c>
      <c r="H328" s="89"/>
    </row>
    <row r="329" spans="1:8">
      <c r="A329" s="75"/>
      <c r="B329" s="76"/>
      <c r="C329" s="76"/>
      <c r="D329" s="76"/>
      <c r="E329" s="76"/>
      <c r="F329" s="76"/>
      <c r="G329" s="76"/>
      <c r="H329" s="89"/>
    </row>
    <row r="330" spans="1:8">
      <c r="A330" s="75"/>
      <c r="B330" s="635" t="s">
        <v>183</v>
      </c>
      <c r="C330" s="331">
        <f>VLOOKUP(G328,'16_1'!$A$12:$B$55,2,0)</f>
        <v>1253</v>
      </c>
      <c r="D330" s="76"/>
      <c r="E330" s="635" t="s">
        <v>184</v>
      </c>
      <c r="F330" s="397">
        <f>DSUM('16_1'!A$9:J$55,'16_1'!$J$9,G327:G328)</f>
        <v>0.14271203158518081</v>
      </c>
      <c r="G330" s="76"/>
      <c r="H330" s="89"/>
    </row>
    <row r="331" spans="1:8">
      <c r="A331" s="75"/>
      <c r="B331" s="635" t="s">
        <v>185</v>
      </c>
      <c r="C331" s="374" t="s">
        <v>566</v>
      </c>
      <c r="D331" s="76"/>
      <c r="E331" s="635" t="s">
        <v>186</v>
      </c>
      <c r="F331" s="368" t="str">
        <f>IF(VLOOKUP(G328,'16_1'!$A$9:$D$87,4,0)=2,"Eventual 80%","Definitivo 100%")</f>
        <v>Eventual 80%</v>
      </c>
      <c r="G331" s="76"/>
      <c r="H331" s="89"/>
    </row>
    <row r="332" spans="1:8">
      <c r="A332" s="75"/>
      <c r="B332" s="635" t="s">
        <v>187</v>
      </c>
      <c r="C332" s="375">
        <f>DSUM('16_1'!$A$9:$H$55,'16_1'!$H$9,G327:G328)</f>
        <v>16</v>
      </c>
      <c r="D332" s="76"/>
      <c r="E332" s="635" t="s">
        <v>188</v>
      </c>
      <c r="F332" s="369" t="str">
        <f>+Hijuelas!$G$5</f>
        <v>fracción</v>
      </c>
      <c r="G332" s="106"/>
      <c r="H332" s="89"/>
    </row>
    <row r="333" spans="1:8" ht="15.75">
      <c r="A333" s="75"/>
      <c r="B333" s="76"/>
      <c r="C333" s="635" t="s">
        <v>189</v>
      </c>
      <c r="D333" s="107">
        <f>DMIN('16_1'!A$9:K$55,'16_1'!$K$9,G327:G328)</f>
        <v>42974.969183849549</v>
      </c>
      <c r="E333" s="127" t="str">
        <f>IF(F333=1,"Domingo",IF(F333=2,"Lunes",IF(F333=3,"Martes",IF(F333=4,"Miercoles",IF(F333=5,"Jueves",IF(F333=6,"Viernes",IF(F333=7,"Sábado",0)))))))</f>
        <v>Domingo</v>
      </c>
      <c r="F333" s="128">
        <f>WEEKDAY(D333)</f>
        <v>1</v>
      </c>
      <c r="G333" s="103"/>
      <c r="H333" s="89"/>
    </row>
    <row r="334" spans="1:8" ht="15.75">
      <c r="A334" s="75"/>
      <c r="B334" s="76"/>
      <c r="C334" s="635" t="s">
        <v>190</v>
      </c>
      <c r="D334" s="107">
        <f>DMAX('16_1'!A$9:L$55,'16_1'!$L$9,G327:G328)</f>
        <v>42975.111895881128</v>
      </c>
      <c r="E334" s="127" t="str">
        <f>IF(F334=1,"Domingo",IF(F334=2,"Lunes",IF(F334=3,"Martes",IF(F334=4,"Miercoles",IF(F334=5,"Jueves",IF(F334=6,"Viernes",IF(F334=7,"Sábado",0)))))))</f>
        <v>Lunes</v>
      </c>
      <c r="F334" s="128">
        <f>WEEKDAY(D334)</f>
        <v>2</v>
      </c>
      <c r="G334" s="103"/>
      <c r="H334" s="89"/>
    </row>
    <row r="335" spans="1:8">
      <c r="A335" s="75"/>
      <c r="B335" s="76"/>
      <c r="C335" s="76"/>
      <c r="D335" s="76"/>
      <c r="E335" s="76"/>
      <c r="F335" s="106"/>
      <c r="G335" s="106"/>
      <c r="H335" s="89"/>
    </row>
    <row r="336" spans="1:8">
      <c r="A336" s="331" t="str">
        <f>+Mensajes!$B$7</f>
        <v>PARA CUALQUIER MODIFICACION EN EL CUADRO DE TURNO COMUNIQUESE CON SU TOMERO</v>
      </c>
      <c r="C336" s="279"/>
      <c r="D336" s="76"/>
      <c r="E336" s="76"/>
      <c r="F336" s="76"/>
      <c r="G336" s="76"/>
      <c r="H336" s="89"/>
    </row>
    <row r="337" spans="1:8">
      <c r="A337" s="75"/>
      <c r="B337" s="332" t="str">
        <f>+Mensajes!$B$12</f>
        <v>Recuerde que con 1 (una) cuotas vigentes impagas se restringirá el servicio.</v>
      </c>
      <c r="C337" s="280"/>
      <c r="D337" s="76"/>
      <c r="E337" s="76"/>
      <c r="F337" s="76"/>
      <c r="G337" s="76"/>
      <c r="H337" s="89"/>
    </row>
    <row r="338" spans="1:8">
      <c r="A338" s="75"/>
      <c r="B338" s="108"/>
      <c r="C338" s="76"/>
      <c r="D338" s="76"/>
      <c r="E338" s="76"/>
      <c r="F338" s="76"/>
      <c r="G338" s="76"/>
      <c r="H338" s="89"/>
    </row>
    <row r="339" spans="1:8" ht="13.5" thickBot="1">
      <c r="A339" s="101"/>
      <c r="B339" s="387" t="str">
        <f>IF(DSUM('16_1'!$A$9:$P$87,16,G327:G328)=COUNTIF('16_1'!$A$9:$A$87,G328),"","Regularice su Deuda")</f>
        <v/>
      </c>
      <c r="C339" s="77"/>
      <c r="D339" s="77"/>
      <c r="E339" s="77"/>
      <c r="F339" s="77"/>
      <c r="G339" s="77"/>
      <c r="H339" s="78"/>
    </row>
    <row r="341" spans="1:8">
      <c r="A341" s="86"/>
      <c r="B341" s="87"/>
      <c r="C341" s="87"/>
      <c r="D341" s="87"/>
      <c r="E341" s="87"/>
      <c r="F341" s="87"/>
      <c r="G341" s="87"/>
      <c r="H341" s="88"/>
    </row>
    <row r="342" spans="1:8">
      <c r="A342" s="75"/>
      <c r="B342" s="109" t="s">
        <v>82</v>
      </c>
      <c r="C342" s="76"/>
      <c r="D342" s="76"/>
      <c r="E342" s="76"/>
      <c r="F342" s="76"/>
      <c r="G342" s="76"/>
      <c r="H342" s="89"/>
    </row>
    <row r="343" spans="1:8">
      <c r="A343" s="75"/>
      <c r="B343" s="76"/>
      <c r="C343" s="76"/>
      <c r="D343" s="76"/>
      <c r="E343" s="76"/>
      <c r="F343" s="76"/>
      <c r="G343" s="76"/>
      <c r="H343" s="89"/>
    </row>
    <row r="344" spans="1:8">
      <c r="A344" s="75"/>
      <c r="B344" s="76" t="s">
        <v>182</v>
      </c>
      <c r="C344" s="76" t="str">
        <f>VLOOKUP(G345,'16_1'!$A$9:$G$55,7,0)</f>
        <v>GIMENEZ, EUSEBIO ITALO Y GIMENEZ, RICARDO MANUEL</v>
      </c>
      <c r="D344" s="76"/>
      <c r="E344" s="76"/>
      <c r="F344" s="76"/>
      <c r="G344" s="100" t="s">
        <v>134</v>
      </c>
      <c r="H344" s="89"/>
    </row>
    <row r="345" spans="1:8">
      <c r="A345" s="75"/>
      <c r="B345" s="76" t="s">
        <v>91</v>
      </c>
      <c r="C345" s="76" t="str">
        <f>+'16_1'!$H$1</f>
        <v>Hijuela PERFOGA OESTE</v>
      </c>
      <c r="D345" s="76"/>
      <c r="E345" s="76"/>
      <c r="F345" s="76"/>
      <c r="G345" s="100">
        <v>21</v>
      </c>
      <c r="H345" s="89"/>
    </row>
    <row r="346" spans="1:8">
      <c r="A346" s="75"/>
      <c r="B346" s="76"/>
      <c r="C346" s="76"/>
      <c r="D346" s="76"/>
      <c r="E346" s="76"/>
      <c r="F346" s="76"/>
      <c r="G346" s="76"/>
      <c r="H346" s="89"/>
    </row>
    <row r="347" spans="1:8">
      <c r="A347" s="75"/>
      <c r="B347" s="635" t="s">
        <v>183</v>
      </c>
      <c r="C347" s="331">
        <f>VLOOKUP(G345,'16_1'!$A$12:$B$55,2,0)</f>
        <v>1253</v>
      </c>
      <c r="D347" s="76"/>
      <c r="E347" s="635" t="s">
        <v>184</v>
      </c>
      <c r="F347" s="397">
        <f>DSUM('16_1'!A$9:J$55,'16_1'!$J$9,G344:G345)</f>
        <v>7.9998656425388961E-2</v>
      </c>
      <c r="G347" s="76"/>
      <c r="H347" s="89"/>
    </row>
    <row r="348" spans="1:8">
      <c r="A348" s="75"/>
      <c r="B348" s="635" t="s">
        <v>185</v>
      </c>
      <c r="C348" s="374" t="s">
        <v>567</v>
      </c>
      <c r="D348" s="76"/>
      <c r="E348" s="635" t="s">
        <v>186</v>
      </c>
      <c r="F348" s="368" t="str">
        <f>IF(VLOOKUP(G345,'16_1'!$A$9:$D$87,4,0)=2,"Eventual 80%","Definitivo 100%")</f>
        <v>Eventual 80%</v>
      </c>
      <c r="G348" s="76"/>
      <c r="H348" s="89"/>
    </row>
    <row r="349" spans="1:8">
      <c r="A349" s="75"/>
      <c r="B349" s="635" t="s">
        <v>187</v>
      </c>
      <c r="C349" s="375">
        <f>DSUM('16_1'!$A$9:$H$55,'16_1'!$H$9,G344:G345)</f>
        <v>8.9689600000000009</v>
      </c>
      <c r="D349" s="76"/>
      <c r="E349" s="635" t="s">
        <v>188</v>
      </c>
      <c r="F349" s="369" t="str">
        <f>+Hijuelas!$G$5</f>
        <v>fracción</v>
      </c>
      <c r="G349" s="106"/>
      <c r="H349" s="89"/>
    </row>
    <row r="350" spans="1:8" ht="15.75">
      <c r="A350" s="75"/>
      <c r="B350" s="76"/>
      <c r="C350" s="635" t="s">
        <v>189</v>
      </c>
      <c r="D350" s="107">
        <f>DMIN('16_1'!A$9:K$55,'16_1'!$K$9,G344:G345)</f>
        <v>42974.847518526461</v>
      </c>
      <c r="E350" s="127" t="str">
        <f>IF(F350=1,"Domingo",IF(F350=2,"Lunes",IF(F350=3,"Martes",IF(F350=4,"Miercoles",IF(F350=5,"Jueves",IF(F350=6,"Viernes",IF(F350=7,"Sábado",0)))))))</f>
        <v>Domingo</v>
      </c>
      <c r="F350" s="128">
        <f>WEEKDAY(D350)</f>
        <v>1</v>
      </c>
      <c r="G350" s="103"/>
      <c r="H350" s="89"/>
    </row>
    <row r="351" spans="1:8" ht="15.75">
      <c r="A351" s="75"/>
      <c r="B351" s="76"/>
      <c r="C351" s="635" t="s">
        <v>190</v>
      </c>
      <c r="D351" s="107">
        <f>DMAX('16_1'!A$9:L$55,'16_1'!$L$9,G344:G345)</f>
        <v>42974.969183849549</v>
      </c>
      <c r="E351" s="127" t="str">
        <f>IF(F351=1,"Domingo",IF(F351=2,"Lunes",IF(F351=3,"Martes",IF(F351=4,"Miercoles",IF(F351=5,"Jueves",IF(F351=6,"Viernes",IF(F351=7,"Sábado",0)))))))</f>
        <v>Domingo</v>
      </c>
      <c r="F351" s="128">
        <f>WEEKDAY(D351)</f>
        <v>1</v>
      </c>
      <c r="G351" s="103"/>
      <c r="H351" s="89"/>
    </row>
    <row r="352" spans="1:8">
      <c r="A352" s="75"/>
      <c r="B352" s="76"/>
      <c r="C352" s="76"/>
      <c r="D352" s="76"/>
      <c r="E352" s="76"/>
      <c r="F352" s="106"/>
      <c r="G352" s="106"/>
      <c r="H352" s="89"/>
    </row>
    <row r="353" spans="1:8">
      <c r="A353" s="331" t="str">
        <f>+Mensajes!$B$7</f>
        <v>PARA CUALQUIER MODIFICACION EN EL CUADRO DE TURNO COMUNIQUESE CON SU TOMERO</v>
      </c>
      <c r="C353" s="279"/>
      <c r="D353" s="76"/>
      <c r="E353" s="76"/>
      <c r="F353" s="76"/>
      <c r="G353" s="76"/>
      <c r="H353" s="89"/>
    </row>
    <row r="354" spans="1:8">
      <c r="A354" s="75"/>
      <c r="B354" s="332" t="str">
        <f>+Mensajes!$B$12</f>
        <v>Recuerde que con 1 (una) cuotas vigentes impagas se restringirá el servicio.</v>
      </c>
      <c r="C354" s="280"/>
      <c r="D354" s="76"/>
      <c r="E354" s="76"/>
      <c r="F354" s="76"/>
      <c r="G354" s="76"/>
      <c r="H354" s="89"/>
    </row>
    <row r="355" spans="1:8">
      <c r="A355" s="75"/>
      <c r="B355" s="108"/>
      <c r="C355" s="76"/>
      <c r="D355" s="76"/>
      <c r="E355" s="76"/>
      <c r="F355" s="76"/>
      <c r="G355" s="76"/>
      <c r="H355" s="89"/>
    </row>
    <row r="356" spans="1:8" ht="13.5" thickBot="1">
      <c r="A356" s="101"/>
      <c r="B356" s="387" t="str">
        <f>IF(DSUM('16_1'!$A$9:$P$87,16,G344:G345)=COUNTIF('16_1'!$A$9:$A$87,G345),"","Regularice su Deuda")</f>
        <v/>
      </c>
      <c r="C356" s="77"/>
      <c r="D356" s="77"/>
      <c r="E356" s="77"/>
      <c r="F356" s="77"/>
      <c r="G356" s="77"/>
      <c r="H356" s="78"/>
    </row>
    <row r="358" spans="1:8">
      <c r="A358" s="86"/>
      <c r="B358" s="87"/>
      <c r="C358" s="87"/>
      <c r="D358" s="87"/>
      <c r="E358" s="87"/>
      <c r="F358" s="87"/>
      <c r="G358" s="87"/>
      <c r="H358" s="88"/>
    </row>
    <row r="359" spans="1:8">
      <c r="A359" s="75"/>
      <c r="B359" s="109" t="s">
        <v>82</v>
      </c>
      <c r="C359" s="76"/>
      <c r="D359" s="76"/>
      <c r="E359" s="76"/>
      <c r="F359" s="76"/>
      <c r="G359" s="76"/>
      <c r="H359" s="89"/>
    </row>
    <row r="360" spans="1:8">
      <c r="A360" s="75"/>
      <c r="B360" s="76"/>
      <c r="C360" s="76"/>
      <c r="D360" s="76"/>
      <c r="E360" s="76"/>
      <c r="F360" s="76"/>
      <c r="G360" s="76"/>
      <c r="H360" s="89"/>
    </row>
    <row r="361" spans="1:8">
      <c r="A361" s="75"/>
      <c r="B361" s="76" t="s">
        <v>182</v>
      </c>
      <c r="C361" s="76" t="str">
        <f>VLOOKUP(G362,'16_1'!$A$9:$G$55,7,0)</f>
        <v>RODIGHIERO, JORGE TULIO RENATO</v>
      </c>
      <c r="D361" s="76"/>
      <c r="E361" s="76"/>
      <c r="F361" s="76"/>
      <c r="G361" s="100" t="s">
        <v>134</v>
      </c>
      <c r="H361" s="89"/>
    </row>
    <row r="362" spans="1:8">
      <c r="A362" s="75"/>
      <c r="B362" s="76" t="s">
        <v>91</v>
      </c>
      <c r="C362" s="76" t="str">
        <f>+'16_1'!$H$1</f>
        <v>Hijuela PERFOGA OESTE</v>
      </c>
      <c r="D362" s="76"/>
      <c r="E362" s="76"/>
      <c r="F362" s="76"/>
      <c r="G362" s="100">
        <v>22</v>
      </c>
      <c r="H362" s="89"/>
    </row>
    <row r="363" spans="1:8">
      <c r="A363" s="75"/>
      <c r="B363" s="76"/>
      <c r="C363" s="76"/>
      <c r="D363" s="76"/>
      <c r="E363" s="76"/>
      <c r="F363" s="76"/>
      <c r="G363" s="76"/>
      <c r="H363" s="89"/>
    </row>
    <row r="364" spans="1:8">
      <c r="A364" s="75"/>
      <c r="B364" s="635" t="s">
        <v>183</v>
      </c>
      <c r="C364" s="331">
        <f>VLOOKUP(G362,'16_1'!$A$12:$B$55,2,0)</f>
        <v>1253</v>
      </c>
      <c r="D364" s="76"/>
      <c r="E364" s="635" t="s">
        <v>184</v>
      </c>
      <c r="F364" s="397">
        <f>DSUM('16_1'!A$9:J$55,'16_1'!$J$9,G361:G362)</f>
        <v>0.29406670380316019</v>
      </c>
      <c r="G364" s="76"/>
      <c r="H364" s="89"/>
    </row>
    <row r="365" spans="1:8">
      <c r="A365" s="75"/>
      <c r="B365" s="635" t="s">
        <v>185</v>
      </c>
      <c r="C365" s="374" t="s">
        <v>568</v>
      </c>
      <c r="D365" s="76"/>
      <c r="E365" s="635" t="s">
        <v>186</v>
      </c>
      <c r="F365" s="368" t="str">
        <f>IF(VLOOKUP(G362,'16_1'!$A$9:$D$87,4,0)=2,"Eventual 80%","Definitivo 100%")</f>
        <v>Eventual 80%</v>
      </c>
      <c r="G365" s="76"/>
      <c r="H365" s="89"/>
    </row>
    <row r="366" spans="1:8">
      <c r="A366" s="75"/>
      <c r="B366" s="635" t="s">
        <v>187</v>
      </c>
      <c r="C366" s="375">
        <f>DSUM('16_1'!$A$9:$H$55,'16_1'!$H$9,G361:G362)</f>
        <v>32.968960000000003</v>
      </c>
      <c r="D366" s="76"/>
      <c r="E366" s="635" t="s">
        <v>188</v>
      </c>
      <c r="F366" s="369" t="str">
        <f>+Hijuelas!$G$5</f>
        <v>fracción</v>
      </c>
      <c r="G366" s="106"/>
      <c r="H366" s="89"/>
    </row>
    <row r="367" spans="1:8" ht="15.75">
      <c r="A367" s="75"/>
      <c r="B367" s="76"/>
      <c r="C367" s="635" t="s">
        <v>189</v>
      </c>
      <c r="D367" s="107">
        <f>DMIN('16_1'!A$9:K$55,'16_1'!$K$9,G361:G362)</f>
        <v>42974.553451822663</v>
      </c>
      <c r="E367" s="127" t="str">
        <f>IF(F367=1,"Domingo",IF(F367=2,"Lunes",IF(F367=3,"Martes",IF(F367=4,"Miercoles",IF(F367=5,"Jueves",IF(F367=6,"Viernes",IF(F367=7,"Sábado",0)))))))</f>
        <v>Domingo</v>
      </c>
      <c r="F367" s="128">
        <f>WEEKDAY(D367)</f>
        <v>1</v>
      </c>
      <c r="G367" s="103"/>
      <c r="H367" s="89"/>
    </row>
    <row r="368" spans="1:8" ht="15.75">
      <c r="A368" s="75"/>
      <c r="B368" s="76"/>
      <c r="C368" s="635" t="s">
        <v>190</v>
      </c>
      <c r="D368" s="107">
        <f>DMAX('16_1'!A$9:L$55,'16_1'!$L$9,G361:G362)</f>
        <v>42974.847518526461</v>
      </c>
      <c r="E368" s="127" t="str">
        <f>IF(F368=1,"Domingo",IF(F368=2,"Lunes",IF(F368=3,"Martes",IF(F368=4,"Miercoles",IF(F368=5,"Jueves",IF(F368=6,"Viernes",IF(F368=7,"Sábado",0)))))))</f>
        <v>Domingo</v>
      </c>
      <c r="F368" s="128">
        <f>WEEKDAY(D368)</f>
        <v>1</v>
      </c>
      <c r="G368" s="103"/>
      <c r="H368" s="89"/>
    </row>
    <row r="369" spans="1:8">
      <c r="A369" s="75"/>
      <c r="B369" s="76"/>
      <c r="C369" s="76"/>
      <c r="D369" s="76"/>
      <c r="E369" s="76"/>
      <c r="F369" s="106"/>
      <c r="G369" s="106"/>
      <c r="H369" s="89"/>
    </row>
    <row r="370" spans="1:8">
      <c r="A370" s="331" t="str">
        <f>+Mensajes!$B$7</f>
        <v>PARA CUALQUIER MODIFICACION EN EL CUADRO DE TURNO COMUNIQUESE CON SU TOMERO</v>
      </c>
      <c r="C370" s="279"/>
      <c r="D370" s="76"/>
      <c r="E370" s="76"/>
      <c r="F370" s="76"/>
      <c r="G370" s="76"/>
      <c r="H370" s="89"/>
    </row>
    <row r="371" spans="1:8">
      <c r="A371" s="75"/>
      <c r="B371" s="332" t="str">
        <f>+Mensajes!$B$12</f>
        <v>Recuerde que con 1 (una) cuotas vigentes impagas se restringirá el servicio.</v>
      </c>
      <c r="C371" s="280"/>
      <c r="D371" s="76"/>
      <c r="E371" s="76"/>
      <c r="F371" s="76"/>
      <c r="G371" s="76"/>
      <c r="H371" s="89"/>
    </row>
    <row r="372" spans="1:8">
      <c r="A372" s="75"/>
      <c r="B372" s="108"/>
      <c r="C372" s="76"/>
      <c r="D372" s="76"/>
      <c r="E372" s="76"/>
      <c r="F372" s="76"/>
      <c r="G372" s="76"/>
      <c r="H372" s="89"/>
    </row>
    <row r="373" spans="1:8" ht="13.5" thickBot="1">
      <c r="A373" s="101"/>
      <c r="B373" s="387" t="str">
        <f>IF(DSUM('16_1'!$A$9:$P$87,16,G361:G362)=COUNTIF('16_1'!$A$9:$A$87,G362),"","Regularice su Deuda")</f>
        <v/>
      </c>
      <c r="C373" s="77"/>
      <c r="D373" s="77"/>
      <c r="E373" s="77"/>
      <c r="F373" s="77"/>
      <c r="G373" s="77"/>
      <c r="H373" s="78"/>
    </row>
    <row r="375" spans="1:8">
      <c r="A375" s="86"/>
      <c r="B375" s="87"/>
      <c r="C375" s="87"/>
      <c r="D375" s="87"/>
      <c r="E375" s="87"/>
      <c r="F375" s="87"/>
      <c r="G375" s="87"/>
      <c r="H375" s="88"/>
    </row>
    <row r="376" spans="1:8">
      <c r="A376" s="75"/>
      <c r="B376" s="109" t="s">
        <v>82</v>
      </c>
      <c r="C376" s="76"/>
      <c r="D376" s="76"/>
      <c r="E376" s="76"/>
      <c r="F376" s="76"/>
      <c r="G376" s="76"/>
      <c r="H376" s="89"/>
    </row>
    <row r="377" spans="1:8">
      <c r="A377" s="75"/>
      <c r="B377" s="76"/>
      <c r="C377" s="76"/>
      <c r="D377" s="76"/>
      <c r="E377" s="76"/>
      <c r="F377" s="76"/>
      <c r="G377" s="76"/>
      <c r="H377" s="89"/>
    </row>
    <row r="378" spans="1:8">
      <c r="A378" s="75"/>
      <c r="B378" s="76" t="s">
        <v>182</v>
      </c>
      <c r="C378" s="76" t="str">
        <f>VLOOKUP(G379,'16_1'!$A$9:$G$55,7,0)</f>
        <v>MASCHKE, MIGUEL ANGEL BERNABE</v>
      </c>
      <c r="D378" s="76"/>
      <c r="E378" s="76"/>
      <c r="F378" s="76"/>
      <c r="G378" s="100" t="s">
        <v>134</v>
      </c>
      <c r="H378" s="89"/>
    </row>
    <row r="379" spans="1:8">
      <c r="A379" s="75"/>
      <c r="B379" s="76" t="s">
        <v>91</v>
      </c>
      <c r="C379" s="76" t="str">
        <f>+'16_1'!$H$1</f>
        <v>Hijuela PERFOGA OESTE</v>
      </c>
      <c r="D379" s="76"/>
      <c r="E379" s="76"/>
      <c r="F379" s="76"/>
      <c r="G379" s="100">
        <v>23</v>
      </c>
      <c r="H379" s="89"/>
    </row>
    <row r="380" spans="1:8">
      <c r="A380" s="75"/>
      <c r="B380" s="76"/>
      <c r="C380" s="76"/>
      <c r="D380" s="76"/>
      <c r="E380" s="76"/>
      <c r="F380" s="76"/>
      <c r="G380" s="76"/>
      <c r="H380" s="89"/>
    </row>
    <row r="381" spans="1:8">
      <c r="A381" s="75"/>
      <c r="B381" s="635" t="s">
        <v>183</v>
      </c>
      <c r="C381" s="331">
        <f>VLOOKUP(G379,'16_1'!$A$12:$B$55,2,0)</f>
        <v>1253</v>
      </c>
      <c r="D381" s="76"/>
      <c r="E381" s="635" t="s">
        <v>184</v>
      </c>
      <c r="F381" s="397">
        <f>DSUM('16_1'!A$9:J$55,'16_1'!$J$9,G378:G379)</f>
        <v>0.15093224460448723</v>
      </c>
      <c r="G381" s="76"/>
      <c r="H381" s="89"/>
    </row>
    <row r="382" spans="1:8">
      <c r="A382" s="75"/>
      <c r="B382" s="635" t="s">
        <v>185</v>
      </c>
      <c r="C382" s="374">
        <v>28</v>
      </c>
      <c r="D382" s="76"/>
      <c r="E382" s="635" t="s">
        <v>186</v>
      </c>
      <c r="F382" s="368" t="str">
        <f>IF(VLOOKUP(G379,'16_1'!$A$9:$D$87,4,0)=2,"Eventual 80%","Definitivo 100%")</f>
        <v>Eventual 80%</v>
      </c>
      <c r="G382" s="76"/>
      <c r="H382" s="89"/>
    </row>
    <row r="383" spans="1:8">
      <c r="A383" s="75"/>
      <c r="B383" s="635" t="s">
        <v>187</v>
      </c>
      <c r="C383" s="375">
        <f>DSUM('16_1'!$A$9:$H$55,'16_1'!$H$9,G378:G379)</f>
        <v>16.921600000000002</v>
      </c>
      <c r="D383" s="76"/>
      <c r="E383" s="635" t="s">
        <v>188</v>
      </c>
      <c r="F383" s="369" t="str">
        <f>+Hijuelas!$G$5</f>
        <v>fracción</v>
      </c>
      <c r="G383" s="106"/>
      <c r="H383" s="89"/>
    </row>
    <row r="384" spans="1:8" ht="15.75">
      <c r="A384" s="75"/>
      <c r="B384" s="76"/>
      <c r="C384" s="635" t="s">
        <v>189</v>
      </c>
      <c r="D384" s="107">
        <f>DMIN('16_1'!A$9:K$55,'16_1'!$K$9,G378:G379)</f>
        <v>42974.340019578056</v>
      </c>
      <c r="E384" s="127" t="str">
        <f>IF(F384=1,"Domingo",IF(F384=2,"Lunes",IF(F384=3,"Martes",IF(F384=4,"Miercoles",IF(F384=5,"Jueves",IF(F384=6,"Viernes",IF(F384=7,"Sábado",0)))))))</f>
        <v>Domingo</v>
      </c>
      <c r="F384" s="128">
        <f>WEEKDAY(D384)</f>
        <v>1</v>
      </c>
      <c r="G384" s="103"/>
      <c r="H384" s="89"/>
    </row>
    <row r="385" spans="1:8" ht="15.75">
      <c r="A385" s="75"/>
      <c r="B385" s="76"/>
      <c r="C385" s="635" t="s">
        <v>190</v>
      </c>
      <c r="D385" s="107">
        <f>DMAX('16_1'!A$9:L$55,'16_1'!$L$9,G378:G379)</f>
        <v>42974.553451822663</v>
      </c>
      <c r="E385" s="127" t="str">
        <f>IF(F385=1,"Domingo",IF(F385=2,"Lunes",IF(F385=3,"Martes",IF(F385=4,"Miercoles",IF(F385=5,"Jueves",IF(F385=6,"Viernes",IF(F385=7,"Sábado",0)))))))</f>
        <v>Domingo</v>
      </c>
      <c r="F385" s="128">
        <f>WEEKDAY(D385)</f>
        <v>1</v>
      </c>
      <c r="G385" s="103"/>
      <c r="H385" s="89"/>
    </row>
    <row r="386" spans="1:8">
      <c r="A386" s="75"/>
      <c r="B386" s="76"/>
      <c r="C386" s="76"/>
      <c r="D386" s="76"/>
      <c r="E386" s="76"/>
      <c r="F386" s="106"/>
      <c r="G386" s="106"/>
      <c r="H386" s="89"/>
    </row>
    <row r="387" spans="1:8">
      <c r="A387" s="331" t="str">
        <f>+Mensajes!$B$7</f>
        <v>PARA CUALQUIER MODIFICACION EN EL CUADRO DE TURNO COMUNIQUESE CON SU TOMERO</v>
      </c>
      <c r="C387" s="279"/>
      <c r="D387" s="76"/>
      <c r="E387" s="76"/>
      <c r="F387" s="76"/>
      <c r="G387" s="76"/>
      <c r="H387" s="89"/>
    </row>
    <row r="388" spans="1:8">
      <c r="A388" s="75"/>
      <c r="B388" s="332" t="str">
        <f>+Mensajes!$B$12</f>
        <v>Recuerde que con 1 (una) cuotas vigentes impagas se restringirá el servicio.</v>
      </c>
      <c r="C388" s="280"/>
      <c r="D388" s="76"/>
      <c r="E388" s="76"/>
      <c r="F388" s="76"/>
      <c r="G388" s="76"/>
      <c r="H388" s="89"/>
    </row>
    <row r="389" spans="1:8">
      <c r="A389" s="75"/>
      <c r="B389" s="108"/>
      <c r="C389" s="76"/>
      <c r="D389" s="76"/>
      <c r="E389" s="76"/>
      <c r="F389" s="76"/>
      <c r="G389" s="76"/>
      <c r="H389" s="89"/>
    </row>
    <row r="390" spans="1:8" ht="13.5" thickBot="1">
      <c r="A390" s="101"/>
      <c r="B390" s="387" t="str">
        <f>IF(DSUM('16_1'!$A$9:$P$87,16,G378:G379)=COUNTIF('16_1'!$A$9:$A$87,G379),"","Regularice su Deuda")</f>
        <v/>
      </c>
      <c r="C390" s="77"/>
      <c r="D390" s="77"/>
      <c r="E390" s="77"/>
      <c r="F390" s="77"/>
      <c r="G390" s="77"/>
      <c r="H390" s="78"/>
    </row>
    <row r="392" spans="1:8">
      <c r="A392" s="86"/>
      <c r="B392" s="87"/>
      <c r="C392" s="87"/>
      <c r="D392" s="87"/>
      <c r="E392" s="87"/>
      <c r="F392" s="87"/>
      <c r="G392" s="87"/>
      <c r="H392" s="88"/>
    </row>
    <row r="393" spans="1:8">
      <c r="A393" s="75"/>
      <c r="B393" s="109" t="s">
        <v>82</v>
      </c>
      <c r="C393" s="76"/>
      <c r="D393" s="76"/>
      <c r="E393" s="76"/>
      <c r="F393" s="76"/>
      <c r="G393" s="76"/>
      <c r="H393" s="89"/>
    </row>
    <row r="394" spans="1:8">
      <c r="A394" s="75"/>
      <c r="B394" s="76"/>
      <c r="C394" s="76"/>
      <c r="D394" s="76"/>
      <c r="E394" s="76"/>
      <c r="F394" s="76"/>
      <c r="G394" s="76"/>
      <c r="H394" s="89"/>
    </row>
    <row r="395" spans="1:8">
      <c r="A395" s="75"/>
      <c r="B395" s="76" t="s">
        <v>182</v>
      </c>
      <c r="C395" s="76" t="str">
        <f>VLOOKUP(G396,'16_1'!$A$9:$G$55,7,0)</f>
        <v>RIVERO LOZA ORLANDO</v>
      </c>
      <c r="D395" s="76"/>
      <c r="E395" s="76"/>
      <c r="F395" s="76"/>
      <c r="G395" s="100" t="s">
        <v>134</v>
      </c>
      <c r="H395" s="89"/>
    </row>
    <row r="396" spans="1:8">
      <c r="A396" s="75"/>
      <c r="B396" s="76" t="s">
        <v>91</v>
      </c>
      <c r="C396" s="76" t="str">
        <f>+'16_1'!$H$1</f>
        <v>Hijuela PERFOGA OESTE</v>
      </c>
      <c r="D396" s="76"/>
      <c r="E396" s="76"/>
      <c r="F396" s="76"/>
      <c r="G396" s="100">
        <v>24</v>
      </c>
      <c r="H396" s="89"/>
    </row>
    <row r="397" spans="1:8">
      <c r="A397" s="75"/>
      <c r="B397" s="76"/>
      <c r="C397" s="76"/>
      <c r="D397" s="76"/>
      <c r="E397" s="76"/>
      <c r="F397" s="76"/>
      <c r="G397" s="76"/>
      <c r="H397" s="89"/>
    </row>
    <row r="398" spans="1:8">
      <c r="A398" s="75"/>
      <c r="B398" s="635" t="s">
        <v>183</v>
      </c>
      <c r="C398" s="331">
        <f>VLOOKUP(G396,'16_1'!$A$12:$B$55,2,0)</f>
        <v>1253</v>
      </c>
      <c r="D398" s="76"/>
      <c r="E398" s="635" t="s">
        <v>184</v>
      </c>
      <c r="F398" s="397">
        <f>DSUM('16_1'!A$9:J$55,'16_1'!$J$9,G395:G396)</f>
        <v>0</v>
      </c>
      <c r="G398" s="76"/>
      <c r="H398" s="89"/>
    </row>
    <row r="399" spans="1:8">
      <c r="A399" s="75"/>
      <c r="B399" s="635" t="s">
        <v>185</v>
      </c>
      <c r="C399" s="374">
        <v>67</v>
      </c>
      <c r="D399" s="76"/>
      <c r="E399" s="635" t="s">
        <v>186</v>
      </c>
      <c r="F399" s="368" t="str">
        <f>IF(VLOOKUP(G396,'16_1'!$A$9:$D$87,4,0)=2,"Eventual 80%","Definitivo 100%")</f>
        <v>Eventual 80%</v>
      </c>
      <c r="G399" s="76"/>
      <c r="H399" s="89"/>
    </row>
    <row r="400" spans="1:8">
      <c r="A400" s="75"/>
      <c r="B400" s="635" t="s">
        <v>187</v>
      </c>
      <c r="C400" s="375">
        <f>DSUM('16_1'!$A$9:$H$55,'16_1'!$H$9,G395:G396)</f>
        <v>0</v>
      </c>
      <c r="D400" s="76"/>
      <c r="E400" s="635" t="s">
        <v>188</v>
      </c>
      <c r="F400" s="369" t="str">
        <f>+Hijuelas!$G$5</f>
        <v>fracción</v>
      </c>
      <c r="G400" s="106"/>
      <c r="H400" s="89"/>
    </row>
    <row r="401" spans="1:8" ht="15.75">
      <c r="A401" s="75"/>
      <c r="B401" s="76"/>
      <c r="C401" s="635" t="s">
        <v>189</v>
      </c>
      <c r="D401" s="107">
        <f>DMIN('16_1'!A$9:K$55,'16_1'!$K$9,G395:G396)</f>
        <v>42974.340019578056</v>
      </c>
      <c r="E401" s="127" t="str">
        <f>IF(F401=1,"Domingo",IF(F401=2,"Lunes",IF(F401=3,"Martes",IF(F401=4,"Miercoles",IF(F401=5,"Jueves",IF(F401=6,"Viernes",IF(F401=7,"Sábado",0)))))))</f>
        <v>Domingo</v>
      </c>
      <c r="F401" s="128">
        <f>WEEKDAY(D401)</f>
        <v>1</v>
      </c>
      <c r="G401" s="103"/>
      <c r="H401" s="89"/>
    </row>
    <row r="402" spans="1:8" ht="15.75">
      <c r="A402" s="75"/>
      <c r="B402" s="76"/>
      <c r="C402" s="635" t="s">
        <v>190</v>
      </c>
      <c r="D402" s="107">
        <f>DMAX('16_1'!A$9:L$55,'16_1'!$L$9,G395:G396)</f>
        <v>42974.340019578056</v>
      </c>
      <c r="E402" s="127" t="str">
        <f>IF(F402=1,"Domingo",IF(F402=2,"Lunes",IF(F402=3,"Martes",IF(F402=4,"Miercoles",IF(F402=5,"Jueves",IF(F402=6,"Viernes",IF(F402=7,"Sábado",0)))))))</f>
        <v>Domingo</v>
      </c>
      <c r="F402" s="128">
        <f>WEEKDAY(D402)</f>
        <v>1</v>
      </c>
      <c r="G402" s="103"/>
      <c r="H402" s="89"/>
    </row>
    <row r="403" spans="1:8">
      <c r="A403" s="75"/>
      <c r="B403" s="76"/>
      <c r="C403" s="76"/>
      <c r="D403" s="76"/>
      <c r="E403" s="76"/>
      <c r="F403" s="106"/>
      <c r="G403" s="106"/>
      <c r="H403" s="89"/>
    </row>
    <row r="404" spans="1:8">
      <c r="A404" s="331" t="str">
        <f>+Mensajes!$B$7</f>
        <v>PARA CUALQUIER MODIFICACION EN EL CUADRO DE TURNO COMUNIQUESE CON SU TOMERO</v>
      </c>
      <c r="C404" s="279"/>
      <c r="D404" s="76"/>
      <c r="E404" s="76"/>
      <c r="F404" s="76"/>
      <c r="G404" s="76"/>
      <c r="H404" s="89"/>
    </row>
    <row r="405" spans="1:8">
      <c r="A405" s="75"/>
      <c r="B405" s="332" t="str">
        <f>+Mensajes!$B$12</f>
        <v>Recuerde que con 1 (una) cuotas vigentes impagas se restringirá el servicio.</v>
      </c>
      <c r="C405" s="280"/>
      <c r="D405" s="76"/>
      <c r="E405" s="76"/>
      <c r="F405" s="76"/>
      <c r="G405" s="76"/>
      <c r="H405" s="89"/>
    </row>
    <row r="406" spans="1:8">
      <c r="A406" s="75"/>
      <c r="B406" s="108"/>
      <c r="C406" s="76"/>
      <c r="D406" s="76"/>
      <c r="E406" s="76"/>
      <c r="F406" s="76"/>
      <c r="G406" s="76"/>
      <c r="H406" s="89"/>
    </row>
    <row r="407" spans="1:8" ht="13.5" thickBot="1">
      <c r="A407" s="101"/>
      <c r="B407" s="387" t="str">
        <f>IF(DSUM('16_1'!$A$9:$P$87,16,G395:G396)=COUNTIF('16_1'!$A$9:$A$87,G396),"","Regularice su Deuda")</f>
        <v>Regularice su Deuda</v>
      </c>
      <c r="C407" s="77"/>
      <c r="D407" s="77"/>
      <c r="E407" s="77"/>
      <c r="F407" s="77"/>
      <c r="G407" s="77"/>
      <c r="H407" s="78"/>
    </row>
    <row r="409" spans="1:8">
      <c r="A409" s="86"/>
      <c r="B409" s="87"/>
      <c r="C409" s="87"/>
      <c r="D409" s="87"/>
      <c r="E409" s="87"/>
      <c r="F409" s="87"/>
      <c r="G409" s="87"/>
      <c r="H409" s="88"/>
    </row>
    <row r="410" spans="1:8">
      <c r="A410" s="75"/>
      <c r="B410" s="109" t="s">
        <v>82</v>
      </c>
      <c r="C410" s="76"/>
      <c r="D410" s="76"/>
      <c r="E410" s="76"/>
      <c r="F410" s="76"/>
      <c r="G410" s="76"/>
      <c r="H410" s="89"/>
    </row>
    <row r="411" spans="1:8">
      <c r="A411" s="75"/>
      <c r="B411" s="76"/>
      <c r="C411" s="76"/>
      <c r="D411" s="76"/>
      <c r="E411" s="76"/>
      <c r="F411" s="76"/>
      <c r="G411" s="76"/>
      <c r="H411" s="89"/>
    </row>
    <row r="412" spans="1:8">
      <c r="A412" s="75"/>
      <c r="B412" s="76" t="s">
        <v>182</v>
      </c>
      <c r="C412" s="76" t="str">
        <f>VLOOKUP(G413,'16_1'!$A$9:$G$55,7,0)</f>
        <v>RIVERO, SANDRO</v>
      </c>
      <c r="D412" s="76"/>
      <c r="E412" s="76"/>
      <c r="F412" s="76"/>
      <c r="G412" s="100" t="s">
        <v>134</v>
      </c>
      <c r="H412" s="89"/>
    </row>
    <row r="413" spans="1:8">
      <c r="A413" s="75"/>
      <c r="B413" s="76" t="s">
        <v>91</v>
      </c>
      <c r="C413" s="76" t="str">
        <f>+'16_1'!$H$1</f>
        <v>Hijuela PERFOGA OESTE</v>
      </c>
      <c r="D413" s="76"/>
      <c r="E413" s="76"/>
      <c r="F413" s="76"/>
      <c r="G413" s="100">
        <v>25</v>
      </c>
      <c r="H413" s="89"/>
    </row>
    <row r="414" spans="1:8">
      <c r="A414" s="75"/>
      <c r="B414" s="76"/>
      <c r="C414" s="76"/>
      <c r="D414" s="76"/>
      <c r="E414" s="76"/>
      <c r="F414" s="76"/>
      <c r="G414" s="76"/>
      <c r="H414" s="89"/>
    </row>
    <row r="415" spans="1:8">
      <c r="A415" s="75"/>
      <c r="B415" s="635" t="s">
        <v>183</v>
      </c>
      <c r="C415" s="331">
        <f>VLOOKUP(G413,'16_1'!$A$12:$B$55,2,0)</f>
        <v>1253</v>
      </c>
      <c r="D415" s="76"/>
      <c r="E415" s="635" t="s">
        <v>184</v>
      </c>
      <c r="F415" s="397">
        <f>DSUM('16_1'!A$9:J$55,'16_1'!$J$9,G412:G413)</f>
        <v>0</v>
      </c>
      <c r="G415" s="76"/>
      <c r="H415" s="89"/>
    </row>
    <row r="416" spans="1:8">
      <c r="A416" s="75"/>
      <c r="B416" s="635" t="s">
        <v>185</v>
      </c>
      <c r="C416" s="374">
        <v>61</v>
      </c>
      <c r="D416" s="76"/>
      <c r="E416" s="635" t="s">
        <v>186</v>
      </c>
      <c r="F416" s="368" t="str">
        <f>IF(VLOOKUP(G413,'16_1'!$A$9:$D$87,4,0)=2,"Eventual 80%","Definitivo 100%")</f>
        <v>Eventual 80%</v>
      </c>
      <c r="G416" s="76"/>
      <c r="H416" s="89"/>
    </row>
    <row r="417" spans="1:8">
      <c r="A417" s="75"/>
      <c r="B417" s="635" t="s">
        <v>187</v>
      </c>
      <c r="C417" s="375">
        <f>DSUM('16_1'!$A$9:$H$55,'16_1'!$H$9,G412:G413)</f>
        <v>0</v>
      </c>
      <c r="D417" s="76"/>
      <c r="E417" s="635" t="s">
        <v>188</v>
      </c>
      <c r="F417" s="369" t="str">
        <f>+Hijuelas!$G$5</f>
        <v>fracción</v>
      </c>
      <c r="G417" s="106"/>
      <c r="H417" s="89"/>
    </row>
    <row r="418" spans="1:8" ht="15.75">
      <c r="A418" s="75"/>
      <c r="B418" s="76"/>
      <c r="C418" s="635" t="s">
        <v>189</v>
      </c>
      <c r="D418" s="107">
        <f>DMIN('16_1'!A$9:K$55,'16_1'!$K$9,G412:G413)</f>
        <v>42974.340019578056</v>
      </c>
      <c r="E418" s="127" t="str">
        <f>IF(F418=1,"Domingo",IF(F418=2,"Lunes",IF(F418=3,"Martes",IF(F418=4,"Miercoles",IF(F418=5,"Jueves",IF(F418=6,"Viernes",IF(F418=7,"Sábado",0)))))))</f>
        <v>Domingo</v>
      </c>
      <c r="F418" s="128">
        <f>WEEKDAY(D418)</f>
        <v>1</v>
      </c>
      <c r="G418" s="103"/>
      <c r="H418" s="89"/>
    </row>
    <row r="419" spans="1:8" ht="15.75">
      <c r="A419" s="75"/>
      <c r="B419" s="76"/>
      <c r="C419" s="635" t="s">
        <v>190</v>
      </c>
      <c r="D419" s="107">
        <f>DMAX('16_1'!A$9:L$55,'16_1'!$L$9,G412:G413)</f>
        <v>42974.340019578056</v>
      </c>
      <c r="E419" s="127" t="str">
        <f>IF(F419=1,"Domingo",IF(F419=2,"Lunes",IF(F419=3,"Martes",IF(F419=4,"Miercoles",IF(F419=5,"Jueves",IF(F419=6,"Viernes",IF(F419=7,"Sábado",0)))))))</f>
        <v>Domingo</v>
      </c>
      <c r="F419" s="128">
        <f>WEEKDAY(D419)</f>
        <v>1</v>
      </c>
      <c r="G419" s="103"/>
      <c r="H419" s="89"/>
    </row>
    <row r="420" spans="1:8">
      <c r="A420" s="75"/>
      <c r="B420" s="76"/>
      <c r="C420" s="76"/>
      <c r="D420" s="76"/>
      <c r="E420" s="76"/>
      <c r="F420" s="106"/>
      <c r="G420" s="106"/>
      <c r="H420" s="89"/>
    </row>
    <row r="421" spans="1:8">
      <c r="A421" s="331" t="str">
        <f>+Mensajes!$B$7</f>
        <v>PARA CUALQUIER MODIFICACION EN EL CUADRO DE TURNO COMUNIQUESE CON SU TOMERO</v>
      </c>
      <c r="C421" s="279"/>
      <c r="D421" s="76"/>
      <c r="E421" s="76"/>
      <c r="F421" s="76"/>
      <c r="G421" s="76"/>
      <c r="H421" s="89"/>
    </row>
    <row r="422" spans="1:8">
      <c r="A422" s="75"/>
      <c r="B422" s="332" t="str">
        <f>+Mensajes!$B$12</f>
        <v>Recuerde que con 1 (una) cuotas vigentes impagas se restringirá el servicio.</v>
      </c>
      <c r="C422" s="280"/>
      <c r="D422" s="76"/>
      <c r="E422" s="76"/>
      <c r="F422" s="76"/>
      <c r="G422" s="76"/>
      <c r="H422" s="89"/>
    </row>
    <row r="423" spans="1:8">
      <c r="A423" s="75"/>
      <c r="B423" s="108"/>
      <c r="C423" s="76"/>
      <c r="D423" s="76"/>
      <c r="E423" s="76"/>
      <c r="F423" s="76"/>
      <c r="G423" s="76"/>
      <c r="H423" s="89"/>
    </row>
    <row r="424" spans="1:8" ht="13.5" thickBot="1">
      <c r="A424" s="101"/>
      <c r="B424" s="387" t="str">
        <f>IF(DSUM('16_1'!$A$9:$P$87,16,G412:G413)=COUNTIF('16_1'!$A$9:$A$87,G413),"","Regularice su Deuda")</f>
        <v>Regularice su Deuda</v>
      </c>
      <c r="C424" s="77"/>
      <c r="D424" s="77"/>
      <c r="E424" s="77"/>
      <c r="F424" s="77"/>
      <c r="G424" s="77"/>
      <c r="H424" s="78"/>
    </row>
    <row r="426" spans="1:8">
      <c r="A426" s="86"/>
      <c r="B426" s="87"/>
      <c r="C426" s="87"/>
      <c r="D426" s="87"/>
      <c r="E426" s="87"/>
      <c r="F426" s="87"/>
      <c r="G426" s="87"/>
      <c r="H426" s="88"/>
    </row>
    <row r="427" spans="1:8">
      <c r="A427" s="75"/>
      <c r="B427" s="109" t="s">
        <v>82</v>
      </c>
      <c r="C427" s="76"/>
      <c r="D427" s="76"/>
      <c r="E427" s="76"/>
      <c r="F427" s="76"/>
      <c r="G427" s="76"/>
      <c r="H427" s="89"/>
    </row>
    <row r="428" spans="1:8">
      <c r="A428" s="75"/>
      <c r="B428" s="76"/>
      <c r="C428" s="76"/>
      <c r="D428" s="76"/>
      <c r="E428" s="76"/>
      <c r="F428" s="76"/>
      <c r="G428" s="76"/>
      <c r="H428" s="89"/>
    </row>
    <row r="429" spans="1:8">
      <c r="A429" s="75"/>
      <c r="B429" s="76" t="s">
        <v>182</v>
      </c>
      <c r="C429" s="76" t="str">
        <f>VLOOKUP(G430,'16_1'!$A$9:$G$55,7,0)</f>
        <v>AMAYA, JUAN CARLOS</v>
      </c>
      <c r="D429" s="76"/>
      <c r="E429" s="76"/>
      <c r="F429" s="76"/>
      <c r="G429" s="100" t="s">
        <v>134</v>
      </c>
      <c r="H429" s="89"/>
    </row>
    <row r="430" spans="1:8">
      <c r="A430" s="75"/>
      <c r="B430" s="76" t="s">
        <v>91</v>
      </c>
      <c r="C430" s="76" t="str">
        <f>+'16_1'!$H$1</f>
        <v>Hijuela PERFOGA OESTE</v>
      </c>
      <c r="D430" s="76"/>
      <c r="E430" s="76"/>
      <c r="F430" s="76"/>
      <c r="G430" s="100">
        <v>26</v>
      </c>
      <c r="H430" s="89"/>
    </row>
    <row r="431" spans="1:8">
      <c r="A431" s="75"/>
      <c r="B431" s="76"/>
      <c r="C431" s="76"/>
      <c r="D431" s="76"/>
      <c r="E431" s="76"/>
      <c r="F431" s="76"/>
      <c r="G431" s="76"/>
      <c r="H431" s="89"/>
    </row>
    <row r="432" spans="1:8">
      <c r="A432" s="75"/>
      <c r="B432" s="635" t="s">
        <v>183</v>
      </c>
      <c r="C432" s="331">
        <f>VLOOKUP(G430,'16_1'!$A$12:$B$55,2,0)</f>
        <v>1253</v>
      </c>
      <c r="D432" s="76"/>
      <c r="E432" s="635" t="s">
        <v>184</v>
      </c>
      <c r="F432" s="397">
        <f>DSUM('16_1'!A$9:J$55,'16_1'!$J$9,G429:G430)</f>
        <v>7.1356015792590405E-2</v>
      </c>
      <c r="G432" s="76"/>
      <c r="H432" s="89"/>
    </row>
    <row r="433" spans="1:8">
      <c r="A433" s="75"/>
      <c r="B433" s="635" t="s">
        <v>185</v>
      </c>
      <c r="C433" s="374">
        <v>65</v>
      </c>
      <c r="D433" s="76"/>
      <c r="E433" s="635" t="s">
        <v>186</v>
      </c>
      <c r="F433" s="368" t="str">
        <f>IF(VLOOKUP(G430,'16_1'!$A$9:$D$87,4,0)=2,"Eventual 80%","Definitivo 100%")</f>
        <v>Eventual 80%</v>
      </c>
      <c r="G433" s="76"/>
      <c r="H433" s="89"/>
    </row>
    <row r="434" spans="1:8">
      <c r="A434" s="75"/>
      <c r="B434" s="635" t="s">
        <v>187</v>
      </c>
      <c r="C434" s="375">
        <f>DSUM('16_1'!$A$9:$H$55,'16_1'!$H$9,G429:G430)</f>
        <v>8</v>
      </c>
      <c r="D434" s="76"/>
      <c r="E434" s="635" t="s">
        <v>188</v>
      </c>
      <c r="F434" s="369" t="str">
        <f>+Hijuelas!$G$5</f>
        <v>fracción</v>
      </c>
      <c r="G434" s="106"/>
      <c r="H434" s="89"/>
    </row>
    <row r="435" spans="1:8" ht="15.75">
      <c r="A435" s="75"/>
      <c r="B435" s="76"/>
      <c r="C435" s="635" t="s">
        <v>189</v>
      </c>
      <c r="D435" s="107">
        <f>DMIN('16_1'!A$9:K$55,'16_1'!$K$9,G429:G430)</f>
        <v>42974.268663562267</v>
      </c>
      <c r="E435" s="127" t="str">
        <f>IF(F435=1,"Domingo",IF(F435=2,"Lunes",IF(F435=3,"Martes",IF(F435=4,"Miercoles",IF(F435=5,"Jueves",IF(F435=6,"Viernes",IF(F435=7,"Sábado",0)))))))</f>
        <v>Domingo</v>
      </c>
      <c r="F435" s="128">
        <f>WEEKDAY(D435)</f>
        <v>1</v>
      </c>
      <c r="G435" s="103"/>
      <c r="H435" s="89"/>
    </row>
    <row r="436" spans="1:8" ht="15.75">
      <c r="A436" s="75"/>
      <c r="B436" s="76"/>
      <c r="C436" s="635" t="s">
        <v>190</v>
      </c>
      <c r="D436" s="107">
        <f>DMAX('16_1'!A$9:L$55,'16_1'!$L$9,G429:G430)</f>
        <v>42974.340019578056</v>
      </c>
      <c r="E436" s="127" t="str">
        <f>IF(F436=1,"Domingo",IF(F436=2,"Lunes",IF(F436=3,"Martes",IF(F436=4,"Miercoles",IF(F436=5,"Jueves",IF(F436=6,"Viernes",IF(F436=7,"Sábado",0)))))))</f>
        <v>Domingo</v>
      </c>
      <c r="F436" s="128">
        <f>WEEKDAY(D436)</f>
        <v>1</v>
      </c>
      <c r="G436" s="103"/>
      <c r="H436" s="89"/>
    </row>
    <row r="437" spans="1:8">
      <c r="A437" s="75"/>
      <c r="B437" s="76"/>
      <c r="C437" s="76"/>
      <c r="D437" s="76"/>
      <c r="E437" s="76"/>
      <c r="F437" s="106"/>
      <c r="G437" s="106"/>
      <c r="H437" s="89"/>
    </row>
    <row r="438" spans="1:8">
      <c r="A438" s="331" t="str">
        <f>+Mensajes!$B$7</f>
        <v>PARA CUALQUIER MODIFICACION EN EL CUADRO DE TURNO COMUNIQUESE CON SU TOMERO</v>
      </c>
      <c r="C438" s="279"/>
      <c r="D438" s="76"/>
      <c r="E438" s="76"/>
      <c r="F438" s="76"/>
      <c r="G438" s="76"/>
      <c r="H438" s="89"/>
    </row>
    <row r="439" spans="1:8">
      <c r="A439" s="75"/>
      <c r="B439" s="332" t="str">
        <f>+Mensajes!$B$12</f>
        <v>Recuerde que con 1 (una) cuotas vigentes impagas se restringirá el servicio.</v>
      </c>
      <c r="C439" s="280"/>
      <c r="D439" s="76"/>
      <c r="E439" s="76"/>
      <c r="F439" s="76"/>
      <c r="G439" s="76"/>
      <c r="H439" s="89"/>
    </row>
    <row r="440" spans="1:8">
      <c r="A440" s="75"/>
      <c r="B440" s="108"/>
      <c r="C440" s="76"/>
      <c r="D440" s="76"/>
      <c r="E440" s="76"/>
      <c r="F440" s="76"/>
      <c r="G440" s="76"/>
      <c r="H440" s="89"/>
    </row>
    <row r="441" spans="1:8" ht="13.5" thickBot="1">
      <c r="A441" s="101"/>
      <c r="B441" s="387" t="str">
        <f>IF(DSUM('16_1'!$A$9:$P$87,16,G429:G430)=COUNTIF('16_1'!$A$9:$A$87,G430),"","Regularice su Deuda")</f>
        <v/>
      </c>
      <c r="C441" s="77"/>
      <c r="D441" s="77"/>
      <c r="E441" s="77"/>
      <c r="F441" s="77"/>
      <c r="G441" s="77"/>
      <c r="H441" s="78"/>
    </row>
    <row r="443" spans="1:8">
      <c r="A443" s="86"/>
      <c r="B443" s="87"/>
      <c r="C443" s="87"/>
      <c r="D443" s="87"/>
      <c r="E443" s="87"/>
      <c r="F443" s="87"/>
      <c r="G443" s="87"/>
      <c r="H443" s="88"/>
    </row>
    <row r="444" spans="1:8">
      <c r="A444" s="75"/>
      <c r="B444" s="109" t="s">
        <v>82</v>
      </c>
      <c r="C444" s="76"/>
      <c r="D444" s="76"/>
      <c r="E444" s="76"/>
      <c r="F444" s="76"/>
      <c r="G444" s="76"/>
      <c r="H444" s="89"/>
    </row>
    <row r="445" spans="1:8">
      <c r="A445" s="75"/>
      <c r="B445" s="76"/>
      <c r="C445" s="76"/>
      <c r="D445" s="76"/>
      <c r="E445" s="76"/>
      <c r="F445" s="76"/>
      <c r="G445" s="76"/>
      <c r="H445" s="89"/>
    </row>
    <row r="446" spans="1:8">
      <c r="A446" s="75"/>
      <c r="B446" s="76" t="s">
        <v>182</v>
      </c>
      <c r="C446" s="76" t="str">
        <f>VLOOKUP(G447,'16_1'!$A$9:$G$55,7,0)</f>
        <v>AGUILERA, HERMENEGILDO</v>
      </c>
      <c r="D446" s="76"/>
      <c r="E446" s="76"/>
      <c r="F446" s="76"/>
      <c r="G446" s="100" t="s">
        <v>134</v>
      </c>
      <c r="H446" s="89"/>
    </row>
    <row r="447" spans="1:8">
      <c r="A447" s="75"/>
      <c r="B447" s="76" t="s">
        <v>91</v>
      </c>
      <c r="C447" s="76" t="str">
        <f>+'16_1'!$H$1</f>
        <v>Hijuela PERFOGA OESTE</v>
      </c>
      <c r="D447" s="76"/>
      <c r="E447" s="76"/>
      <c r="F447" s="76"/>
      <c r="G447" s="100">
        <v>27</v>
      </c>
      <c r="H447" s="89"/>
    </row>
    <row r="448" spans="1:8">
      <c r="A448" s="75"/>
      <c r="B448" s="76"/>
      <c r="C448" s="76"/>
      <c r="D448" s="76"/>
      <c r="E448" s="76"/>
      <c r="F448" s="76"/>
      <c r="G448" s="76"/>
      <c r="H448" s="89"/>
    </row>
    <row r="449" spans="1:8">
      <c r="A449" s="75"/>
      <c r="B449" s="635" t="s">
        <v>183</v>
      </c>
      <c r="C449" s="331">
        <f>VLOOKUP(G447,'16_1'!$A$12:$B$55,2,0)</f>
        <v>1253</v>
      </c>
      <c r="D449" s="76"/>
      <c r="E449" s="635" t="s">
        <v>184</v>
      </c>
      <c r="F449" s="397">
        <f>DSUM('16_1'!A$9:J$55,'16_1'!$J$9,G446:G447)</f>
        <v>7.1356015792590405E-2</v>
      </c>
      <c r="G449" s="76"/>
      <c r="H449" s="89"/>
    </row>
    <row r="450" spans="1:8">
      <c r="A450" s="75"/>
      <c r="B450" s="635" t="s">
        <v>185</v>
      </c>
      <c r="C450" s="374" t="s">
        <v>569</v>
      </c>
      <c r="D450" s="76"/>
      <c r="E450" s="635" t="s">
        <v>186</v>
      </c>
      <c r="F450" s="368" t="str">
        <f>IF(VLOOKUP(G447,'16_1'!$A$9:$D$87,4,0)=2,"Eventual 80%","Definitivo 100%")</f>
        <v>Eventual 80%</v>
      </c>
      <c r="G450" s="76"/>
      <c r="H450" s="89"/>
    </row>
    <row r="451" spans="1:8">
      <c r="A451" s="75"/>
      <c r="B451" s="635" t="s">
        <v>187</v>
      </c>
      <c r="C451" s="375">
        <f>DSUM('16_1'!$A$9:$H$55,'16_1'!$H$9,G446:G447)</f>
        <v>8</v>
      </c>
      <c r="D451" s="76"/>
      <c r="E451" s="635" t="s">
        <v>188</v>
      </c>
      <c r="F451" s="369" t="str">
        <f>+Hijuelas!$G$5</f>
        <v>fracción</v>
      </c>
      <c r="G451" s="106"/>
      <c r="H451" s="89"/>
    </row>
    <row r="452" spans="1:8" ht="15.75">
      <c r="A452" s="75"/>
      <c r="B452" s="76"/>
      <c r="C452" s="635" t="s">
        <v>189</v>
      </c>
      <c r="D452" s="107">
        <f>DMIN('16_1'!A$9:K$55,'16_1'!$K$9,G446:G447)</f>
        <v>42974.197307546478</v>
      </c>
      <c r="E452" s="127" t="str">
        <f>IF(F452=1,"Domingo",IF(F452=2,"Lunes",IF(F452=3,"Martes",IF(F452=4,"Miercoles",IF(F452=5,"Jueves",IF(F452=6,"Viernes",IF(F452=7,"Sábado",0)))))))</f>
        <v>Domingo</v>
      </c>
      <c r="F452" s="128">
        <f>WEEKDAY(D452)</f>
        <v>1</v>
      </c>
      <c r="G452" s="103"/>
      <c r="H452" s="89"/>
    </row>
    <row r="453" spans="1:8" ht="15.75">
      <c r="A453" s="75"/>
      <c r="B453" s="76"/>
      <c r="C453" s="635" t="s">
        <v>190</v>
      </c>
      <c r="D453" s="107">
        <f>DMAX('16_1'!A$9:L$55,'16_1'!$L$9,G446:G447)</f>
        <v>42974.268663562267</v>
      </c>
      <c r="E453" s="127" t="str">
        <f>IF(F453=1,"Domingo",IF(F453=2,"Lunes",IF(F453=3,"Martes",IF(F453=4,"Miercoles",IF(F453=5,"Jueves",IF(F453=6,"Viernes",IF(F453=7,"Sábado",0)))))))</f>
        <v>Domingo</v>
      </c>
      <c r="F453" s="128">
        <f>WEEKDAY(D453)</f>
        <v>1</v>
      </c>
      <c r="G453" s="103"/>
      <c r="H453" s="89"/>
    </row>
    <row r="454" spans="1:8">
      <c r="A454" s="75"/>
      <c r="B454" s="76"/>
      <c r="C454" s="76"/>
      <c r="D454" s="76"/>
      <c r="E454" s="76"/>
      <c r="F454" s="106"/>
      <c r="G454" s="106"/>
      <c r="H454" s="89"/>
    </row>
    <row r="455" spans="1:8">
      <c r="A455" s="331" t="str">
        <f>+Mensajes!$B$7</f>
        <v>PARA CUALQUIER MODIFICACION EN EL CUADRO DE TURNO COMUNIQUESE CON SU TOMERO</v>
      </c>
      <c r="C455" s="279"/>
      <c r="D455" s="76"/>
      <c r="E455" s="76"/>
      <c r="F455" s="76"/>
      <c r="G455" s="76"/>
      <c r="H455" s="89"/>
    </row>
    <row r="456" spans="1:8">
      <c r="A456" s="75"/>
      <c r="B456" s="332" t="str">
        <f>+Mensajes!$B$12</f>
        <v>Recuerde que con 1 (una) cuotas vigentes impagas se restringirá el servicio.</v>
      </c>
      <c r="C456" s="280"/>
      <c r="D456" s="76"/>
      <c r="E456" s="76"/>
      <c r="F456" s="76"/>
      <c r="G456" s="76"/>
      <c r="H456" s="89"/>
    </row>
    <row r="457" spans="1:8">
      <c r="A457" s="75"/>
      <c r="B457" s="108"/>
      <c r="C457" s="76"/>
      <c r="D457" s="76"/>
      <c r="E457" s="76"/>
      <c r="F457" s="76"/>
      <c r="G457" s="76"/>
      <c r="H457" s="89"/>
    </row>
    <row r="458" spans="1:8" ht="13.5" thickBot="1">
      <c r="A458" s="101"/>
      <c r="B458" s="387" t="str">
        <f>IF(DSUM('16_1'!$A$9:$P$87,16,G446:G447)=COUNTIF('16_1'!$A$9:$A$87,G447),"","Regularice su Deuda")</f>
        <v/>
      </c>
      <c r="C458" s="77"/>
      <c r="D458" s="77"/>
      <c r="E458" s="77"/>
      <c r="F458" s="77"/>
      <c r="G458" s="77"/>
      <c r="H458" s="78"/>
    </row>
    <row r="460" spans="1:8">
      <c r="A460" s="86"/>
      <c r="B460" s="87"/>
      <c r="C460" s="87"/>
      <c r="D460" s="87"/>
      <c r="E460" s="87"/>
      <c r="F460" s="87"/>
      <c r="G460" s="87"/>
      <c r="H460" s="88"/>
    </row>
    <row r="461" spans="1:8">
      <c r="A461" s="75"/>
      <c r="B461" s="109" t="s">
        <v>82</v>
      </c>
      <c r="C461" s="76"/>
      <c r="D461" s="76"/>
      <c r="E461" s="76"/>
      <c r="F461" s="76"/>
      <c r="G461" s="76"/>
      <c r="H461" s="89"/>
    </row>
    <row r="462" spans="1:8">
      <c r="A462" s="75"/>
      <c r="B462" s="76"/>
      <c r="C462" s="76"/>
      <c r="D462" s="76"/>
      <c r="E462" s="76"/>
      <c r="F462" s="76"/>
      <c r="G462" s="76"/>
      <c r="H462" s="89"/>
    </row>
    <row r="463" spans="1:8">
      <c r="A463" s="75"/>
      <c r="B463" s="76" t="s">
        <v>182</v>
      </c>
      <c r="C463" s="76" t="str">
        <f>VLOOKUP(G464,'16_1'!$A$9:$G$55,7,0)</f>
        <v>ARCE, VICTOR MANUEL Y NICOLAU DE ARCE, JOSEFINA PILAR</v>
      </c>
      <c r="D463" s="76"/>
      <c r="E463" s="76"/>
      <c r="F463" s="76"/>
      <c r="G463" s="100" t="s">
        <v>134</v>
      </c>
      <c r="H463" s="89"/>
    </row>
    <row r="464" spans="1:8">
      <c r="A464" s="75"/>
      <c r="B464" s="76" t="s">
        <v>91</v>
      </c>
      <c r="C464" s="76" t="str">
        <f>+'16_1'!$H$1</f>
        <v>Hijuela PERFOGA OESTE</v>
      </c>
      <c r="D464" s="76"/>
      <c r="E464" s="76"/>
      <c r="F464" s="76"/>
      <c r="G464" s="100">
        <v>28</v>
      </c>
      <c r="H464" s="89"/>
    </row>
    <row r="465" spans="1:8">
      <c r="A465" s="75"/>
      <c r="B465" s="76"/>
      <c r="C465" s="76"/>
      <c r="D465" s="76"/>
      <c r="E465" s="76"/>
      <c r="F465" s="76"/>
      <c r="G465" s="76"/>
      <c r="H465" s="89"/>
    </row>
    <row r="466" spans="1:8">
      <c r="A466" s="75"/>
      <c r="B466" s="635" t="s">
        <v>183</v>
      </c>
      <c r="C466" s="331">
        <f>VLOOKUP(G464,'16_1'!$A$12:$B$55,2,0)</f>
        <v>1253</v>
      </c>
      <c r="D466" s="76"/>
      <c r="E466" s="635" t="s">
        <v>184</v>
      </c>
      <c r="F466" s="397">
        <f>DSUM('16_1'!A$9:J$55,'16_1'!$J$9,G463:G464)</f>
        <v>1.2886896452141828E-2</v>
      </c>
      <c r="G466" s="76"/>
      <c r="H466" s="89"/>
    </row>
    <row r="467" spans="1:8">
      <c r="A467" s="75"/>
      <c r="B467" s="635" t="s">
        <v>185</v>
      </c>
      <c r="C467" s="374">
        <v>15</v>
      </c>
      <c r="D467" s="76"/>
      <c r="E467" s="635" t="s">
        <v>186</v>
      </c>
      <c r="F467" s="368" t="str">
        <f>IF(VLOOKUP(G464,'16_1'!$A$9:$D$87,4,0)=2,"Eventual 80%","Definitivo 100%")</f>
        <v>Eventual 80%</v>
      </c>
      <c r="G467" s="76"/>
      <c r="H467" s="89"/>
    </row>
    <row r="468" spans="1:8">
      <c r="A468" s="75"/>
      <c r="B468" s="635" t="s">
        <v>187</v>
      </c>
      <c r="C468" s="375">
        <f>DSUM('16_1'!$A$9:$H$55,'16_1'!$H$9,G463:G464)</f>
        <v>1.4448000000000001</v>
      </c>
      <c r="D468" s="76"/>
      <c r="E468" s="635" t="s">
        <v>188</v>
      </c>
      <c r="F468" s="369" t="str">
        <f>+Hijuelas!$G$5</f>
        <v>fracción</v>
      </c>
      <c r="G468" s="106"/>
      <c r="H468" s="89"/>
    </row>
    <row r="469" spans="1:8" ht="15.75">
      <c r="A469" s="75"/>
      <c r="B469" s="76"/>
      <c r="C469" s="635" t="s">
        <v>189</v>
      </c>
      <c r="D469" s="107">
        <f>DMIN('16_1'!A$9:K$55,'16_1'!$K$9,G463:G464)</f>
        <v>42974.184420650025</v>
      </c>
      <c r="E469" s="127" t="str">
        <f>IF(F469=1,"Domingo",IF(F469=2,"Lunes",IF(F469=3,"Martes",IF(F469=4,"Miercoles",IF(F469=5,"Jueves",IF(F469=6,"Viernes",IF(F469=7,"Sábado",0)))))))</f>
        <v>Domingo</v>
      </c>
      <c r="F469" s="128">
        <f>WEEKDAY(D469)</f>
        <v>1</v>
      </c>
      <c r="G469" s="103"/>
      <c r="H469" s="89"/>
    </row>
    <row r="470" spans="1:8" ht="15.75">
      <c r="A470" s="75"/>
      <c r="B470" s="76"/>
      <c r="C470" s="635" t="s">
        <v>190</v>
      </c>
      <c r="D470" s="107">
        <f>DMAX('16_1'!A$9:L$55,'16_1'!$L$9,G463:G464)</f>
        <v>42974.197307546478</v>
      </c>
      <c r="E470" s="127" t="str">
        <f>IF(F470=1,"Domingo",IF(F470=2,"Lunes",IF(F470=3,"Martes",IF(F470=4,"Miercoles",IF(F470=5,"Jueves",IF(F470=6,"Viernes",IF(F470=7,"Sábado",0)))))))</f>
        <v>Domingo</v>
      </c>
      <c r="F470" s="128">
        <f>WEEKDAY(D470)</f>
        <v>1</v>
      </c>
      <c r="G470" s="103"/>
      <c r="H470" s="89"/>
    </row>
    <row r="471" spans="1:8">
      <c r="A471" s="75"/>
      <c r="B471" s="76"/>
      <c r="C471" s="76"/>
      <c r="D471" s="76"/>
      <c r="E471" s="76"/>
      <c r="F471" s="106"/>
      <c r="G471" s="106"/>
      <c r="H471" s="89"/>
    </row>
    <row r="472" spans="1:8">
      <c r="A472" s="331" t="str">
        <f>+Mensajes!$B$7</f>
        <v>PARA CUALQUIER MODIFICACION EN EL CUADRO DE TURNO COMUNIQUESE CON SU TOMERO</v>
      </c>
      <c r="C472" s="279"/>
      <c r="D472" s="76"/>
      <c r="E472" s="76"/>
      <c r="F472" s="76"/>
      <c r="G472" s="76"/>
      <c r="H472" s="89"/>
    </row>
    <row r="473" spans="1:8">
      <c r="A473" s="75"/>
      <c r="B473" s="332" t="str">
        <f>+Mensajes!$B$12</f>
        <v>Recuerde que con 1 (una) cuotas vigentes impagas se restringirá el servicio.</v>
      </c>
      <c r="C473" s="280"/>
      <c r="D473" s="76"/>
      <c r="E473" s="76"/>
      <c r="F473" s="76"/>
      <c r="G473" s="76"/>
      <c r="H473" s="89"/>
    </row>
    <row r="474" spans="1:8">
      <c r="A474" s="75"/>
      <c r="B474" s="108"/>
      <c r="C474" s="76"/>
      <c r="D474" s="76"/>
      <c r="E474" s="76"/>
      <c r="F474" s="76"/>
      <c r="G474" s="76"/>
      <c r="H474" s="89"/>
    </row>
    <row r="475" spans="1:8" ht="13.5" thickBot="1">
      <c r="A475" s="101"/>
      <c r="B475" s="387" t="str">
        <f>IF(DSUM('16_1'!$A$9:$P$87,16,G463:G464)=COUNTIF('16_1'!$A$9:$A$87,G464),"","Regularice su Deuda")</f>
        <v/>
      </c>
      <c r="C475" s="77"/>
      <c r="D475" s="77"/>
      <c r="E475" s="77"/>
      <c r="F475" s="77"/>
      <c r="G475" s="77"/>
      <c r="H475" s="78"/>
    </row>
    <row r="477" spans="1:8">
      <c r="A477" s="86"/>
      <c r="B477" s="87"/>
      <c r="C477" s="87"/>
      <c r="D477" s="87"/>
      <c r="E477" s="87"/>
      <c r="F477" s="87"/>
      <c r="G477" s="87"/>
      <c r="H477" s="88"/>
    </row>
    <row r="478" spans="1:8">
      <c r="A478" s="75"/>
      <c r="B478" s="109" t="s">
        <v>82</v>
      </c>
      <c r="C478" s="76"/>
      <c r="D478" s="76"/>
      <c r="E478" s="76"/>
      <c r="F478" s="76"/>
      <c r="G478" s="76"/>
      <c r="H478" s="89"/>
    </row>
    <row r="479" spans="1:8">
      <c r="A479" s="75"/>
      <c r="B479" s="76"/>
      <c r="C479" s="76"/>
      <c r="D479" s="76"/>
      <c r="E479" s="76"/>
      <c r="F479" s="76"/>
      <c r="G479" s="76"/>
      <c r="H479" s="89"/>
    </row>
    <row r="480" spans="1:8">
      <c r="A480" s="75"/>
      <c r="B480" s="76" t="s">
        <v>182</v>
      </c>
      <c r="C480" s="76" t="str">
        <f>VLOOKUP(G481,'16_1'!$A$9:$G$55,7,0)</f>
        <v xml:space="preserve">VAIERETTI, EUGENIO </v>
      </c>
      <c r="D480" s="76"/>
      <c r="E480" s="76"/>
      <c r="F480" s="76"/>
      <c r="G480" s="100" t="s">
        <v>134</v>
      </c>
      <c r="H480" s="89"/>
    </row>
    <row r="481" spans="1:8">
      <c r="A481" s="75"/>
      <c r="B481" s="76" t="s">
        <v>91</v>
      </c>
      <c r="C481" s="76" t="str">
        <f>+'16_1'!$H$1</f>
        <v>Hijuela PERFOGA OESTE</v>
      </c>
      <c r="D481" s="76"/>
      <c r="E481" s="76"/>
      <c r="F481" s="76"/>
      <c r="G481" s="100">
        <v>29</v>
      </c>
      <c r="H481" s="89"/>
    </row>
    <row r="482" spans="1:8">
      <c r="A482" s="75"/>
      <c r="B482" s="76"/>
      <c r="C482" s="76"/>
      <c r="D482" s="76"/>
      <c r="E482" s="76"/>
      <c r="F482" s="76"/>
      <c r="G482" s="76"/>
      <c r="H482" s="89"/>
    </row>
    <row r="483" spans="1:8">
      <c r="A483" s="75"/>
      <c r="B483" s="635" t="s">
        <v>183</v>
      </c>
      <c r="C483" s="331">
        <f>VLOOKUP(G481,'16_1'!$A$12:$B$55,2,0)</f>
        <v>1253</v>
      </c>
      <c r="D483" s="76"/>
      <c r="E483" s="635" t="s">
        <v>184</v>
      </c>
      <c r="F483" s="397">
        <f>DSUM('16_1'!A$9:J$55,'16_1'!$J$9,G480:G481)</f>
        <v>0.41358731669559118</v>
      </c>
      <c r="G483" s="76"/>
      <c r="H483" s="89"/>
    </row>
    <row r="484" spans="1:8">
      <c r="A484" s="75"/>
      <c r="B484" s="635" t="s">
        <v>185</v>
      </c>
      <c r="C484" s="374">
        <v>15</v>
      </c>
      <c r="D484" s="76"/>
      <c r="E484" s="635" t="s">
        <v>186</v>
      </c>
      <c r="F484" s="368" t="str">
        <f>IF(VLOOKUP(G481,'16_1'!$A$9:$D$87,4,0)=2,"Eventual 80%","Definitivo 100%")</f>
        <v>Eventual 80%</v>
      </c>
      <c r="G484" s="76"/>
      <c r="H484" s="89"/>
    </row>
    <row r="485" spans="1:8">
      <c r="A485" s="75"/>
      <c r="B485" s="635" t="s">
        <v>187</v>
      </c>
      <c r="C485" s="375">
        <f>DSUM('16_1'!$A$9:$H$55,'16_1'!$H$9,G480:G481)</f>
        <v>46.368880000000004</v>
      </c>
      <c r="D485" s="76"/>
      <c r="E485" s="635" t="s">
        <v>188</v>
      </c>
      <c r="F485" s="369" t="str">
        <f>+Hijuelas!$G$5</f>
        <v>fracción</v>
      </c>
      <c r="G485" s="106"/>
      <c r="H485" s="89"/>
    </row>
    <row r="486" spans="1:8" ht="15.75">
      <c r="A486" s="75"/>
      <c r="B486" s="76"/>
      <c r="C486" s="635" t="s">
        <v>189</v>
      </c>
      <c r="D486" s="107">
        <f>DMIN('16_1'!A$9:K$55,'16_1'!$K$9,G480:G481)</f>
        <v>42973.770833333328</v>
      </c>
      <c r="E486" s="127" t="str">
        <f>IF(F486=1,"Domingo",IF(F486=2,"Lunes",IF(F486=3,"Martes",IF(F486=4,"Miercoles",IF(F486=5,"Jueves",IF(F486=6,"Viernes",IF(F486=7,"Sábado",0)))))))</f>
        <v>Sábado</v>
      </c>
      <c r="F486" s="128">
        <f>WEEKDAY(D486)</f>
        <v>7</v>
      </c>
      <c r="G486" s="103"/>
      <c r="H486" s="89"/>
    </row>
    <row r="487" spans="1:8" ht="15.75">
      <c r="A487" s="75"/>
      <c r="B487" s="76"/>
      <c r="C487" s="635" t="s">
        <v>190</v>
      </c>
      <c r="D487" s="107">
        <f>DMAX('16_1'!A$9:L$55,'16_1'!$L$9,G480:G481)</f>
        <v>42974.184420650025</v>
      </c>
      <c r="E487" s="127" t="str">
        <f>IF(F487=1,"Domingo",IF(F487=2,"Lunes",IF(F487=3,"Martes",IF(F487=4,"Miercoles",IF(F487=5,"Jueves",IF(F487=6,"Viernes",IF(F487=7,"Sábado",0)))))))</f>
        <v>Domingo</v>
      </c>
      <c r="F487" s="128">
        <f>WEEKDAY(D487)</f>
        <v>1</v>
      </c>
      <c r="G487" s="103"/>
      <c r="H487" s="89"/>
    </row>
    <row r="488" spans="1:8">
      <c r="A488" s="75"/>
      <c r="B488" s="76"/>
      <c r="C488" s="76"/>
      <c r="D488" s="76"/>
      <c r="E488" s="76"/>
      <c r="F488" s="106"/>
      <c r="G488" s="106"/>
      <c r="H488" s="89"/>
    </row>
    <row r="489" spans="1:8">
      <c r="A489" s="331" t="str">
        <f>+Mensajes!$B$7</f>
        <v>PARA CUALQUIER MODIFICACION EN EL CUADRO DE TURNO COMUNIQUESE CON SU TOMERO</v>
      </c>
      <c r="C489" s="279"/>
      <c r="D489" s="76"/>
      <c r="E489" s="76"/>
      <c r="F489" s="76"/>
      <c r="G489" s="76"/>
      <c r="H489" s="89"/>
    </row>
    <row r="490" spans="1:8">
      <c r="A490" s="75"/>
      <c r="B490" s="332" t="str">
        <f>+Mensajes!$B$12</f>
        <v>Recuerde que con 1 (una) cuotas vigentes impagas se restringirá el servicio.</v>
      </c>
      <c r="C490" s="280"/>
      <c r="D490" s="76"/>
      <c r="E490" s="76"/>
      <c r="F490" s="76"/>
      <c r="G490" s="76"/>
      <c r="H490" s="89"/>
    </row>
    <row r="491" spans="1:8">
      <c r="A491" s="75"/>
      <c r="B491" s="108"/>
      <c r="C491" s="76"/>
      <c r="D491" s="76"/>
      <c r="E491" s="76"/>
      <c r="F491" s="76"/>
      <c r="G491" s="76"/>
      <c r="H491" s="89"/>
    </row>
    <row r="492" spans="1:8" ht="13.5" thickBot="1">
      <c r="A492" s="101"/>
      <c r="B492" s="387" t="str">
        <f>IF(DSUM('16_1'!$A$9:$P$87,16,G480:G481)=COUNTIF('16_1'!$A$9:$A$87,G481),"","Regularice su Deuda")</f>
        <v/>
      </c>
      <c r="C492" s="77"/>
      <c r="D492" s="77"/>
      <c r="E492" s="77"/>
      <c r="F492" s="77"/>
      <c r="G492" s="77"/>
      <c r="H492" s="78"/>
    </row>
    <row r="494" spans="1:8">
      <c r="A494" s="86"/>
      <c r="B494" s="87"/>
      <c r="C494" s="87"/>
      <c r="D494" s="87"/>
      <c r="E494" s="87"/>
      <c r="F494" s="87"/>
      <c r="G494" s="87"/>
      <c r="H494" s="88"/>
    </row>
    <row r="495" spans="1:8">
      <c r="A495" s="75"/>
      <c r="B495" s="109" t="s">
        <v>82</v>
      </c>
      <c r="C495" s="76"/>
      <c r="D495" s="76"/>
      <c r="E495" s="76"/>
      <c r="F495" s="76"/>
      <c r="G495" s="76"/>
      <c r="H495" s="89"/>
    </row>
    <row r="496" spans="1:8">
      <c r="A496" s="75"/>
      <c r="B496" s="76"/>
      <c r="C496" s="76"/>
      <c r="D496" s="76"/>
      <c r="E496" s="76"/>
      <c r="F496" s="76"/>
      <c r="G496" s="76"/>
      <c r="H496" s="89"/>
    </row>
    <row r="497" spans="1:8">
      <c r="A497" s="75"/>
      <c r="B497" s="76" t="s">
        <v>182</v>
      </c>
      <c r="C497" s="76" t="str">
        <f>VLOOKUP(G498,'16_1'!$A$9:$G$55,7,0)</f>
        <v>ANDREUCETTI, LUIS HUMBERTO</v>
      </c>
      <c r="D497" s="76"/>
      <c r="E497" s="76"/>
      <c r="F497" s="76"/>
      <c r="G497" s="100" t="s">
        <v>134</v>
      </c>
      <c r="H497" s="89"/>
    </row>
    <row r="498" spans="1:8">
      <c r="A498" s="75"/>
      <c r="B498" s="76" t="s">
        <v>91</v>
      </c>
      <c r="C498" s="76" t="str">
        <f>+'16_1'!$H$1</f>
        <v>Hijuela PERFOGA OESTE</v>
      </c>
      <c r="D498" s="76"/>
      <c r="E498" s="76"/>
      <c r="F498" s="76"/>
      <c r="G498" s="100">
        <v>30</v>
      </c>
      <c r="H498" s="89"/>
    </row>
    <row r="499" spans="1:8">
      <c r="A499" s="75"/>
      <c r="B499" s="76"/>
      <c r="C499" s="76"/>
      <c r="D499" s="76"/>
      <c r="E499" s="76"/>
      <c r="F499" s="76"/>
      <c r="G499" s="76"/>
      <c r="H499" s="89"/>
    </row>
    <row r="500" spans="1:8">
      <c r="A500" s="75"/>
      <c r="B500" s="635" t="s">
        <v>183</v>
      </c>
      <c r="C500" s="331">
        <f>VLOOKUP(G498,'16_1'!$A$12:$B$55,2,0)</f>
        <v>1253</v>
      </c>
      <c r="D500" s="76"/>
      <c r="E500" s="635" t="s">
        <v>184</v>
      </c>
      <c r="F500" s="397">
        <f>DSUM('16_1'!A$9:J$55,'16_1'!$J$9,G497:G498)</f>
        <v>0</v>
      </c>
      <c r="G500" s="76"/>
      <c r="H500" s="89"/>
    </row>
    <row r="501" spans="1:8">
      <c r="A501" s="75"/>
      <c r="B501" s="635" t="s">
        <v>185</v>
      </c>
      <c r="C501" s="374">
        <v>15</v>
      </c>
      <c r="D501" s="76"/>
      <c r="E501" s="635" t="s">
        <v>186</v>
      </c>
      <c r="F501" s="368" t="str">
        <f>IF(VLOOKUP(G498,'16_1'!$A$9:$D$87,4,0)=2,"Eventual 80%","Definitivo 100%")</f>
        <v>Eventual 80%</v>
      </c>
      <c r="G501" s="76"/>
      <c r="H501" s="89"/>
    </row>
    <row r="502" spans="1:8">
      <c r="A502" s="75"/>
      <c r="B502" s="635" t="s">
        <v>187</v>
      </c>
      <c r="C502" s="375">
        <f>DSUM('16_1'!$A$9:$H$55,'16_1'!$H$9,G497:G498)</f>
        <v>0</v>
      </c>
      <c r="D502" s="76"/>
      <c r="E502" s="635" t="s">
        <v>188</v>
      </c>
      <c r="F502" s="369" t="str">
        <f>+Hijuelas!$G$5</f>
        <v>fracción</v>
      </c>
      <c r="G502" s="106"/>
      <c r="H502" s="89"/>
    </row>
    <row r="503" spans="1:8" ht="15.75">
      <c r="A503" s="75"/>
      <c r="B503" s="76"/>
      <c r="C503" s="635" t="s">
        <v>189</v>
      </c>
      <c r="D503" s="107">
        <f>DMIN('16_1'!A$9:K$55,'16_1'!$K$9,G497:G498)</f>
        <v>42973.770833333328</v>
      </c>
      <c r="E503" s="127" t="str">
        <f>IF(F503=1,"Domingo",IF(F503=2,"Lunes",IF(F503=3,"Martes",IF(F503=4,"Miercoles",IF(F503=5,"Jueves",IF(F503=6,"Viernes",IF(F503=7,"Sábado",0)))))))</f>
        <v>Sábado</v>
      </c>
      <c r="F503" s="128">
        <f>WEEKDAY(D503)</f>
        <v>7</v>
      </c>
      <c r="G503" s="103"/>
      <c r="H503" s="89"/>
    </row>
    <row r="504" spans="1:8" ht="15.75">
      <c r="A504" s="75"/>
      <c r="B504" s="76"/>
      <c r="C504" s="635" t="s">
        <v>190</v>
      </c>
      <c r="D504" s="107">
        <f>DMAX('16_1'!A$9:L$55,'16_1'!$L$9,G497:G498)</f>
        <v>42973.770833333328</v>
      </c>
      <c r="E504" s="127" t="str">
        <f>IF(F504=1,"Domingo",IF(F504=2,"Lunes",IF(F504=3,"Martes",IF(F504=4,"Miercoles",IF(F504=5,"Jueves",IF(F504=6,"Viernes",IF(F504=7,"Sábado",0)))))))</f>
        <v>Sábado</v>
      </c>
      <c r="F504" s="128">
        <f>WEEKDAY(D504)</f>
        <v>7</v>
      </c>
      <c r="G504" s="103"/>
      <c r="H504" s="89"/>
    </row>
    <row r="505" spans="1:8">
      <c r="A505" s="75"/>
      <c r="B505" s="76"/>
      <c r="C505" s="76"/>
      <c r="D505" s="76"/>
      <c r="E505" s="76"/>
      <c r="F505" s="106"/>
      <c r="G505" s="106"/>
      <c r="H505" s="89"/>
    </row>
    <row r="506" spans="1:8">
      <c r="A506" s="331" t="str">
        <f>+Mensajes!$B$7</f>
        <v>PARA CUALQUIER MODIFICACION EN EL CUADRO DE TURNO COMUNIQUESE CON SU TOMERO</v>
      </c>
      <c r="C506" s="279"/>
      <c r="D506" s="76"/>
      <c r="E506" s="76"/>
      <c r="F506" s="76"/>
      <c r="G506" s="76"/>
      <c r="H506" s="89"/>
    </row>
    <row r="507" spans="1:8">
      <c r="A507" s="75"/>
      <c r="B507" s="332" t="str">
        <f>+Mensajes!$B$12</f>
        <v>Recuerde que con 1 (una) cuotas vigentes impagas se restringirá el servicio.</v>
      </c>
      <c r="C507" s="280"/>
      <c r="D507" s="76"/>
      <c r="E507" s="76"/>
      <c r="F507" s="76"/>
      <c r="G507" s="76"/>
      <c r="H507" s="89"/>
    </row>
    <row r="508" spans="1:8">
      <c r="A508" s="75"/>
      <c r="B508" s="108"/>
      <c r="C508" s="76"/>
      <c r="D508" s="76"/>
      <c r="E508" s="76"/>
      <c r="F508" s="76"/>
      <c r="G508" s="76"/>
      <c r="H508" s="89"/>
    </row>
    <row r="509" spans="1:8" ht="13.5" thickBot="1">
      <c r="A509" s="101"/>
      <c r="B509" s="387" t="str">
        <f>IF(DSUM('16_1'!$A$9:$P$87,16,G497:G498)=COUNTIF('16_1'!$A$9:$A$87,G498),"","Regularice su Deuda")</f>
        <v>Regularice su Deuda</v>
      </c>
      <c r="C509" s="77"/>
      <c r="D509" s="77"/>
      <c r="E509" s="77"/>
      <c r="F509" s="77"/>
      <c r="G509" s="77"/>
      <c r="H509" s="78"/>
    </row>
    <row r="511" spans="1:8">
      <c r="A511" s="86"/>
      <c r="B511" s="87"/>
      <c r="C511" s="87"/>
      <c r="D511" s="87"/>
      <c r="E511" s="87"/>
      <c r="F511" s="87"/>
      <c r="G511" s="87"/>
      <c r="H511" s="88"/>
    </row>
    <row r="512" spans="1:8">
      <c r="A512" s="75"/>
      <c r="B512" s="109" t="s">
        <v>82</v>
      </c>
      <c r="C512" s="76"/>
      <c r="D512" s="76"/>
      <c r="E512" s="76"/>
      <c r="F512" s="76"/>
      <c r="G512" s="76"/>
      <c r="H512" s="89"/>
    </row>
    <row r="513" spans="1:8">
      <c r="A513" s="75"/>
      <c r="B513" s="76"/>
      <c r="C513" s="76"/>
      <c r="D513" s="76"/>
      <c r="E513" s="76"/>
      <c r="F513" s="76"/>
      <c r="G513" s="76"/>
      <c r="H513" s="89"/>
    </row>
    <row r="514" spans="1:8">
      <c r="A514" s="75"/>
      <c r="B514" s="76" t="s">
        <v>182</v>
      </c>
      <c r="C514" s="76" t="e">
        <f>VLOOKUP(G515,'16_1'!$A$9:$G$55,7,0)</f>
        <v>#N/A</v>
      </c>
      <c r="D514" s="76"/>
      <c r="E514" s="76"/>
      <c r="F514" s="76"/>
      <c r="G514" s="100" t="s">
        <v>134</v>
      </c>
      <c r="H514" s="89"/>
    </row>
    <row r="515" spans="1:8">
      <c r="A515" s="75"/>
      <c r="B515" s="76" t="s">
        <v>91</v>
      </c>
      <c r="C515" s="76" t="str">
        <f>+'16_1'!$H$1</f>
        <v>Hijuela PERFOGA OESTE</v>
      </c>
      <c r="D515" s="76"/>
      <c r="E515" s="76"/>
      <c r="F515" s="76"/>
      <c r="G515" s="100">
        <v>31</v>
      </c>
      <c r="H515" s="89"/>
    </row>
    <row r="516" spans="1:8">
      <c r="A516" s="75"/>
      <c r="B516" s="76"/>
      <c r="C516" s="76"/>
      <c r="D516" s="76"/>
      <c r="E516" s="76"/>
      <c r="F516" s="76"/>
      <c r="G516" s="76"/>
      <c r="H516" s="89"/>
    </row>
    <row r="517" spans="1:8">
      <c r="A517" s="75"/>
      <c r="B517" s="635" t="s">
        <v>183</v>
      </c>
      <c r="C517" s="331" t="e">
        <f>VLOOKUP(G515,'16_1'!$A$12:$B$55,2,0)</f>
        <v>#N/A</v>
      </c>
      <c r="D517" s="76"/>
      <c r="E517" s="635" t="s">
        <v>184</v>
      </c>
      <c r="F517" s="397">
        <f>DSUM('16_1'!A$9:J$55,'16_1'!$J$9,G514:G515)</f>
        <v>0</v>
      </c>
      <c r="G517" s="76"/>
      <c r="H517" s="89"/>
    </row>
    <row r="518" spans="1:8">
      <c r="A518" s="75"/>
      <c r="B518" s="635" t="s">
        <v>185</v>
      </c>
      <c r="C518" s="374">
        <v>150</v>
      </c>
      <c r="D518" s="76"/>
      <c r="E518" s="635" t="s">
        <v>186</v>
      </c>
      <c r="F518" s="368" t="e">
        <f>IF(VLOOKUP(G515,'16_1'!$A$9:$D$87,4,0)=2,"Eventual 80%","Definitivo 100%")</f>
        <v>#N/A</v>
      </c>
      <c r="G518" s="76"/>
      <c r="H518" s="89"/>
    </row>
    <row r="519" spans="1:8">
      <c r="A519" s="75"/>
      <c r="B519" s="635" t="s">
        <v>187</v>
      </c>
      <c r="C519" s="375">
        <f>DSUM('16_1'!$A$9:$H$55,'16_1'!$H$9,G514:G515)</f>
        <v>0</v>
      </c>
      <c r="D519" s="76"/>
      <c r="E519" s="635" t="s">
        <v>188</v>
      </c>
      <c r="F519" s="369" t="str">
        <f>+Hijuelas!$G$5</f>
        <v>fracción</v>
      </c>
      <c r="G519" s="106"/>
      <c r="H519" s="89"/>
    </row>
    <row r="520" spans="1:8" ht="15.75">
      <c r="A520" s="75"/>
      <c r="B520" s="76"/>
      <c r="C520" s="635" t="s">
        <v>189</v>
      </c>
      <c r="D520" s="107">
        <f>DMIN('16_1'!A$9:K$55,'16_1'!$K$9,G514:G515)</f>
        <v>0</v>
      </c>
      <c r="E520" s="127" t="str">
        <f>IF(F520=1,"Domingo",IF(F520=2,"Lunes",IF(F520=3,"Martes",IF(F520=4,"Miercoles",IF(F520=5,"Jueves",IF(F520=6,"Viernes",IF(F520=7,"Sábado",0)))))))</f>
        <v>Sábado</v>
      </c>
      <c r="F520" s="128">
        <f>WEEKDAY(D520)</f>
        <v>7</v>
      </c>
      <c r="G520" s="103"/>
      <c r="H520" s="89"/>
    </row>
    <row r="521" spans="1:8" ht="15.75">
      <c r="A521" s="75"/>
      <c r="B521" s="76"/>
      <c r="C521" s="635" t="s">
        <v>190</v>
      </c>
      <c r="D521" s="107">
        <f>DMAX('16_1'!A$9:L$55,'16_1'!$L$9,G514:G515)</f>
        <v>0</v>
      </c>
      <c r="E521" s="127" t="str">
        <f>IF(F521=1,"Domingo",IF(F521=2,"Lunes",IF(F521=3,"Martes",IF(F521=4,"Miercoles",IF(F521=5,"Jueves",IF(F521=6,"Viernes",IF(F521=7,"Sábado",0)))))))</f>
        <v>Sábado</v>
      </c>
      <c r="F521" s="128">
        <f>WEEKDAY(D521)</f>
        <v>7</v>
      </c>
      <c r="G521" s="103"/>
      <c r="H521" s="89"/>
    </row>
    <row r="522" spans="1:8">
      <c r="A522" s="75"/>
      <c r="B522" s="76"/>
      <c r="C522" s="76"/>
      <c r="D522" s="76"/>
      <c r="E522" s="76"/>
      <c r="F522" s="106"/>
      <c r="G522" s="106"/>
      <c r="H522" s="89"/>
    </row>
    <row r="523" spans="1:8">
      <c r="A523" s="331" t="str">
        <f>+Mensajes!$B$7</f>
        <v>PARA CUALQUIER MODIFICACION EN EL CUADRO DE TURNO COMUNIQUESE CON SU TOMERO</v>
      </c>
      <c r="C523" s="279"/>
      <c r="D523" s="76"/>
      <c r="E523" s="76"/>
      <c r="F523" s="76"/>
      <c r="G523" s="76"/>
      <c r="H523" s="89"/>
    </row>
    <row r="524" spans="1:8">
      <c r="A524" s="75"/>
      <c r="B524" s="332" t="str">
        <f>+Mensajes!$B$12</f>
        <v>Recuerde que con 1 (una) cuotas vigentes impagas se restringirá el servicio.</v>
      </c>
      <c r="C524" s="280"/>
      <c r="D524" s="76"/>
      <c r="E524" s="76"/>
      <c r="F524" s="76"/>
      <c r="G524" s="76"/>
      <c r="H524" s="89"/>
    </row>
    <row r="525" spans="1:8">
      <c r="A525" s="75"/>
      <c r="B525" s="108"/>
      <c r="C525" s="76"/>
      <c r="D525" s="76"/>
      <c r="E525" s="76"/>
      <c r="F525" s="76"/>
      <c r="G525" s="76"/>
      <c r="H525" s="89"/>
    </row>
    <row r="526" spans="1:8" ht="13.5" thickBot="1">
      <c r="A526" s="101"/>
      <c r="B526" s="387" t="str">
        <f>IF(DSUM('16_1'!$A$9:$P$87,16,G514:G515)=COUNTIF('16_1'!$A$9:$A$87,G515),"","Regularice su Deuda")</f>
        <v/>
      </c>
      <c r="C526" s="77"/>
      <c r="D526" s="77"/>
      <c r="E526" s="77"/>
      <c r="F526" s="77"/>
      <c r="G526" s="77"/>
      <c r="H526" s="78"/>
    </row>
  </sheetData>
  <phoneticPr fontId="0" type="noConversion"/>
  <pageMargins left="0.39370078740157483" right="0.75" top="0.59055118110236227" bottom="0.98425196850393704" header="0" footer="0"/>
  <pageSetup paperSize="9" scale="64" orientation="portrait" r:id="rId1"/>
  <headerFooter alignWithMargins="0"/>
  <rowBreaks count="6" manualBreakCount="6">
    <brk id="85" max="7" man="1"/>
    <brk id="170" max="7" man="1"/>
    <brk id="255" max="7" man="1"/>
    <brk id="340" max="7" man="1"/>
    <brk id="425" max="7" man="1"/>
    <brk id="51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2:I27"/>
  <sheetViews>
    <sheetView workbookViewId="0" xr3:uid="{51F8DEE0-4D01-5F28-A812-FC0BD7CAC4A5}">
      <selection activeCell="B7" sqref="B7:I7"/>
    </sheetView>
  </sheetViews>
  <sheetFormatPr defaultColWidth="11.42578125" defaultRowHeight="12.75"/>
  <cols>
    <col min="1" max="16384" width="11.42578125" style="99"/>
  </cols>
  <sheetData>
    <row r="2" spans="2:9" ht="15.75">
      <c r="B2" s="104" t="s">
        <v>65</v>
      </c>
    </row>
    <row r="5" spans="2:9">
      <c r="B5" s="105" t="s">
        <v>66</v>
      </c>
    </row>
    <row r="6" spans="2:9" ht="13.5" thickBot="1"/>
    <row r="7" spans="2:9" ht="14.25" thickTop="1" thickBot="1">
      <c r="B7" s="651" t="s">
        <v>67</v>
      </c>
      <c r="C7" s="652"/>
      <c r="D7" s="652"/>
      <c r="E7" s="652"/>
      <c r="F7" s="652"/>
      <c r="G7" s="652"/>
      <c r="H7" s="652"/>
      <c r="I7" s="653"/>
    </row>
    <row r="8" spans="2:9" ht="13.5" thickTop="1"/>
    <row r="10" spans="2:9">
      <c r="B10" s="105" t="s">
        <v>68</v>
      </c>
    </row>
    <row r="11" spans="2:9" ht="13.5" thickBot="1"/>
    <row r="12" spans="2:9" ht="14.25" thickTop="1" thickBot="1">
      <c r="B12" s="654" t="s">
        <v>69</v>
      </c>
      <c r="C12" s="655"/>
      <c r="D12" s="655"/>
      <c r="E12" s="655"/>
      <c r="F12" s="655"/>
      <c r="G12" s="655"/>
      <c r="H12" s="655"/>
      <c r="I12" s="656"/>
    </row>
    <row r="13" spans="2:9" ht="13.5" thickTop="1"/>
    <row r="20" spans="1:2">
      <c r="A20" s="110" t="s">
        <v>70</v>
      </c>
      <c r="B20" s="110" t="s">
        <v>71</v>
      </c>
    </row>
    <row r="21" spans="1:2">
      <c r="A21" s="110">
        <v>7</v>
      </c>
      <c r="B21" s="110" t="s">
        <v>72</v>
      </c>
    </row>
    <row r="22" spans="1:2">
      <c r="A22" s="110">
        <v>6</v>
      </c>
      <c r="B22" s="110" t="s">
        <v>73</v>
      </c>
    </row>
    <row r="23" spans="1:2">
      <c r="A23" s="110">
        <v>5</v>
      </c>
      <c r="B23" s="110" t="s">
        <v>74</v>
      </c>
    </row>
    <row r="24" spans="1:2">
      <c r="A24" s="110">
        <v>4</v>
      </c>
      <c r="B24" s="110" t="s">
        <v>75</v>
      </c>
    </row>
    <row r="25" spans="1:2">
      <c r="A25" s="110">
        <v>3</v>
      </c>
      <c r="B25" s="110" t="s">
        <v>76</v>
      </c>
    </row>
    <row r="26" spans="1:2">
      <c r="A26" s="110">
        <v>2</v>
      </c>
      <c r="B26" s="110" t="s">
        <v>77</v>
      </c>
    </row>
    <row r="27" spans="1:2">
      <c r="A27" s="110">
        <v>1</v>
      </c>
      <c r="B27" s="110" t="s">
        <v>78</v>
      </c>
    </row>
  </sheetData>
  <mergeCells count="2">
    <mergeCell ref="B7:I7"/>
    <mergeCell ref="B12:I12"/>
  </mergeCells>
  <phoneticPr fontId="0" type="noConversion"/>
  <pageMargins left="0.78740157480314965" right="0.75" top="0.98425196850393704" bottom="0.98425196850393704" header="0" footer="0"/>
  <pageSetup scale="95" orientation="portrait" horizontalDpi="300" verticalDpi="300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2"/>
  <dimension ref="A1:U18"/>
  <sheetViews>
    <sheetView zoomScaleNormal="100" workbookViewId="0" xr3:uid="{FB84E6B5-2F03-524A-B55D-05F6A9FA1888}">
      <selection activeCell="F13" sqref="F13"/>
    </sheetView>
  </sheetViews>
  <sheetFormatPr defaultRowHeight="12.75"/>
  <cols>
    <col min="1" max="1" width="5.7109375" style="11" customWidth="1"/>
    <col min="2" max="2" width="5" customWidth="1"/>
    <col min="3" max="3" width="7.7109375" customWidth="1"/>
    <col min="4" max="4" width="5.7109375" customWidth="1"/>
    <col min="5" max="5" width="10.42578125" bestFit="1" customWidth="1"/>
    <col min="6" max="6" width="7.7109375" customWidth="1"/>
    <col min="7" max="7" width="28.7109375" customWidth="1"/>
    <col min="8" max="8" width="10.42578125" bestFit="1" customWidth="1"/>
    <col min="9" max="9" width="7.7109375" customWidth="1"/>
    <col min="10" max="10" width="6.85546875" bestFit="1" customWidth="1"/>
    <col min="11" max="12" width="15.28515625" bestFit="1" customWidth="1"/>
    <col min="13" max="13" width="20.140625" customWidth="1"/>
    <col min="14" max="14" width="18" bestFit="1" customWidth="1"/>
    <col min="15" max="15" width="7.5703125" customWidth="1"/>
    <col min="16" max="16" width="6.5703125" customWidth="1"/>
    <col min="17" max="17" width="9" customWidth="1"/>
    <col min="18" max="19" width="10.140625" customWidth="1"/>
    <col min="20" max="256" width="11.42578125" customWidth="1"/>
  </cols>
  <sheetData>
    <row r="1" spans="1:20">
      <c r="A1" s="637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637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0">
      <c r="A3" s="637"/>
      <c r="B3" s="99"/>
      <c r="C3" s="671" t="s">
        <v>123</v>
      </c>
      <c r="D3" s="671"/>
      <c r="E3" s="671"/>
      <c r="F3" s="671"/>
      <c r="G3" s="671"/>
      <c r="H3" s="681" t="s">
        <v>570</v>
      </c>
      <c r="I3" s="681"/>
      <c r="J3" s="681"/>
      <c r="K3" s="681"/>
      <c r="L3" s="99"/>
      <c r="M3" s="99"/>
    </row>
    <row r="4" spans="1:20">
      <c r="A4" s="637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 ht="13.5" thickBot="1">
      <c r="A5" s="637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20">
      <c r="A6" s="662" t="s">
        <v>124</v>
      </c>
      <c r="B6" s="663"/>
      <c r="C6" s="659">
        <f>+Hijuelas!D26</f>
        <v>42973.541666666664</v>
      </c>
      <c r="D6" s="667"/>
      <c r="E6" s="660"/>
      <c r="F6" s="305"/>
      <c r="G6" s="306" t="s">
        <v>125</v>
      </c>
      <c r="H6" s="307">
        <f>+Hijuelas!G4</f>
        <v>3.9895833333333335</v>
      </c>
      <c r="I6" s="318"/>
      <c r="J6" s="99"/>
      <c r="K6" s="99"/>
      <c r="L6" s="99"/>
      <c r="M6" s="99"/>
    </row>
    <row r="7" spans="1:20" ht="13.5" thickBot="1">
      <c r="A7" s="664" t="s">
        <v>126</v>
      </c>
      <c r="B7" s="665"/>
      <c r="C7" s="668">
        <f>+C6+H6</f>
        <v>42977.53125</v>
      </c>
      <c r="D7" s="669"/>
      <c r="E7" s="670"/>
      <c r="F7" s="305"/>
      <c r="G7" s="265" t="s">
        <v>127</v>
      </c>
      <c r="H7" s="308">
        <v>0.10416666666666667</v>
      </c>
      <c r="I7" s="318"/>
      <c r="J7" s="305"/>
      <c r="K7" s="99"/>
      <c r="L7" s="99"/>
      <c r="M7" s="99"/>
    </row>
    <row r="8" spans="1:20" ht="13.5" thickBot="1">
      <c r="A8" s="637"/>
      <c r="B8" s="99"/>
      <c r="C8" s="99"/>
      <c r="D8" s="99"/>
      <c r="E8" s="99"/>
      <c r="F8" s="99"/>
      <c r="G8" s="310" t="s">
        <v>128</v>
      </c>
      <c r="H8" s="311">
        <v>0</v>
      </c>
      <c r="I8" s="318"/>
      <c r="J8" s="99"/>
      <c r="K8" s="99"/>
      <c r="L8" s="99"/>
      <c r="M8" s="99"/>
    </row>
    <row r="9" spans="1:20">
      <c r="A9" s="637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  <row r="10" spans="1:20">
      <c r="A10" s="666" t="s">
        <v>129</v>
      </c>
      <c r="B10" s="666"/>
      <c r="C10" s="312">
        <f>H6-(H7+H8)</f>
        <v>3.885416666666667</v>
      </c>
      <c r="D10" s="636" t="s">
        <v>130</v>
      </c>
      <c r="E10" s="317">
        <f>+C10*60</f>
        <v>233.12500000000003</v>
      </c>
      <c r="F10" s="636" t="s">
        <v>571</v>
      </c>
      <c r="G10" s="315">
        <f>+H18</f>
        <v>57.5745</v>
      </c>
      <c r="H10" s="636" t="s">
        <v>132</v>
      </c>
      <c r="I10" s="312">
        <f>+E10/G10</f>
        <v>4.0491015987980798</v>
      </c>
      <c r="J10" s="99"/>
      <c r="K10" s="99"/>
      <c r="L10" s="99"/>
      <c r="M10" s="99"/>
    </row>
    <row r="11" spans="1:20" ht="13.5" thickBot="1">
      <c r="A11" s="637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76"/>
      <c r="N11" s="10"/>
      <c r="O11" s="10"/>
      <c r="P11" s="13"/>
      <c r="Q11" s="13"/>
      <c r="R11" s="13"/>
      <c r="S11" s="255"/>
      <c r="T11" s="255"/>
    </row>
    <row r="12" spans="1:20" ht="13.5" thickBot="1">
      <c r="A12" s="288" t="s">
        <v>134</v>
      </c>
      <c r="B12" s="285" t="s">
        <v>135</v>
      </c>
      <c r="C12" s="285" t="s">
        <v>136</v>
      </c>
      <c r="D12" s="285" t="s">
        <v>137</v>
      </c>
      <c r="E12" s="285" t="s">
        <v>138</v>
      </c>
      <c r="F12" s="285" t="s">
        <v>192</v>
      </c>
      <c r="G12" s="285" t="s">
        <v>140</v>
      </c>
      <c r="H12" s="285" t="s">
        <v>257</v>
      </c>
      <c r="I12" s="285" t="s">
        <v>142</v>
      </c>
      <c r="J12" s="285" t="s">
        <v>143</v>
      </c>
      <c r="K12" s="285" t="s">
        <v>193</v>
      </c>
      <c r="L12" s="285" t="s">
        <v>194</v>
      </c>
      <c r="M12" s="285" t="s">
        <v>146</v>
      </c>
      <c r="N12" s="286" t="s">
        <v>195</v>
      </c>
      <c r="O12" s="475" t="s">
        <v>148</v>
      </c>
      <c r="P12" s="475" t="s">
        <v>149</v>
      </c>
      <c r="Q12" s="475" t="s">
        <v>150</v>
      </c>
      <c r="R12" s="475" t="s">
        <v>151</v>
      </c>
      <c r="S12" s="475" t="s">
        <v>152</v>
      </c>
      <c r="T12" s="476" t="s">
        <v>153</v>
      </c>
    </row>
    <row r="13" spans="1:20" ht="30" customHeight="1" thickTop="1">
      <c r="A13" s="258">
        <v>1</v>
      </c>
      <c r="B13" s="242">
        <v>1316</v>
      </c>
      <c r="C13" s="244">
        <v>1</v>
      </c>
      <c r="D13" s="244">
        <v>1</v>
      </c>
      <c r="E13" s="245">
        <v>8.6783999999999999</v>
      </c>
      <c r="F13" s="85" t="str">
        <f>IF(P13=0,"NO",IF(P13=1,"SI","CONDICIONAL"))</f>
        <v>SI</v>
      </c>
      <c r="G13" s="246" t="s">
        <v>572</v>
      </c>
      <c r="H13" s="125">
        <f>IF(Hijuelas!$G$5="fracción",IF(F13="NO",0,IF(Hijuelas!$G$6="si",IF(D13=1,E13,E13*0.8),E13)),IF(F13="NO",0,IF(Hijuelas!$G$6="si",IF(D13=1,ROUNDUP(E13,0),ROUNDUP(E13*0.8,0)),ROUNDUP(E13,0))))</f>
        <v>8.6783999999999999</v>
      </c>
      <c r="I13" s="350">
        <v>0</v>
      </c>
      <c r="J13" s="350">
        <f>+$I$10/60*H13</f>
        <v>0.58566205525015425</v>
      </c>
      <c r="K13" s="351">
        <f>+C6+H7+H8</f>
        <v>42973.645833333328</v>
      </c>
      <c r="L13" s="351">
        <f>+K13+J13</f>
        <v>42974.23149538858</v>
      </c>
      <c r="M13" s="242"/>
      <c r="N13" s="47"/>
      <c r="O13" s="5" t="str">
        <f>+CONCATENATE(B13,C13)</f>
        <v>13161</v>
      </c>
      <c r="P13" s="6">
        <f>VLOOKUP('16_1'!O10,deuda!$A$1:$H$501,4,0)</f>
        <v>1</v>
      </c>
      <c r="Q13" s="6">
        <f>VLOOKUP(O13,deuda!A16:J514,5,0)</f>
        <v>2</v>
      </c>
      <c r="R13" s="6" t="str">
        <f>IF(VLOOKUP('16_1'!O10,deuda!A16:J514,6,0)=0,"",VLOOKUP('16_1'!O10,deuda!A16:J514,6,0))</f>
        <v/>
      </c>
      <c r="S13" s="111" t="str">
        <f>IF((VLOOKUP('16_1'!O10,deuda!A16:J514,7,0))=0,"",VLOOKUP('16_1'!O10,deuda!A16:J514,7,0))</f>
        <v/>
      </c>
      <c r="T13" s="111" t="str">
        <f>IF((VLOOKUP(O13,deuda!A16:J514,8,0))=0,"",VLOOKUP(O13,deuda!A16:J514,8,0))</f>
        <v/>
      </c>
    </row>
    <row r="14" spans="1:20" ht="30" customHeight="1">
      <c r="A14" s="70">
        <v>2</v>
      </c>
      <c r="B14" s="71">
        <v>1316</v>
      </c>
      <c r="C14" s="179">
        <v>2</v>
      </c>
      <c r="D14" s="179">
        <v>1</v>
      </c>
      <c r="E14" s="20">
        <v>6.3639999999999999</v>
      </c>
      <c r="F14" s="85" t="str">
        <f>IF(P14=0,"NO",IF(P14=1,"SI","CONDICIONAL"))</f>
        <v>SI</v>
      </c>
      <c r="G14" s="236" t="s">
        <v>573</v>
      </c>
      <c r="H14" s="125">
        <f>IF(Hijuelas!$G$5="fracción",IF(F14="NO",0,IF(Hijuelas!$G$6="si",IF(D14=1,E14,E14*0.8),E14)),IF(F14="NO",0,IF(Hijuelas!$G$6="si",IF(D14=1,ROUNDUP(E14,0),ROUNDUP(E14*0.8,0)),ROUNDUP(E14,0))))</f>
        <v>6.3639999999999999</v>
      </c>
      <c r="I14" s="340">
        <v>0</v>
      </c>
      <c r="J14" s="340">
        <f>+$I$10/60*H14</f>
        <v>0.42947470957918299</v>
      </c>
      <c r="K14" s="341">
        <f>+L13</f>
        <v>42974.23149538858</v>
      </c>
      <c r="L14" s="341">
        <f>+K14+J14</f>
        <v>42974.660970098157</v>
      </c>
      <c r="M14" s="71"/>
      <c r="N14" s="5"/>
      <c r="O14" s="5" t="str">
        <f>+CONCATENATE(B14,C14)</f>
        <v>13162</v>
      </c>
      <c r="P14" s="6">
        <f>VLOOKUP('16_1'!O11,deuda!$A$1:$H$501,4,0)</f>
        <v>1</v>
      </c>
      <c r="Q14" s="6">
        <f>VLOOKUP(O14,deuda!A17:J515,5,0)</f>
        <v>0</v>
      </c>
      <c r="R14" s="6" t="str">
        <f>IF(VLOOKUP('16_1'!O11,deuda!A17:J515,6,0)=0,"",VLOOKUP('16_1'!O11,deuda!A17:J515,6,0))</f>
        <v/>
      </c>
      <c r="S14" s="111" t="str">
        <f>IF((VLOOKUP('16_1'!O11,deuda!A17:J515,7,0))=0,"",VLOOKUP('16_1'!O11,deuda!A17:J515,7,0))</f>
        <v/>
      </c>
      <c r="T14" s="111" t="str">
        <f>IF((VLOOKUP(O14,deuda!A17:J515,8,0))=0,"",VLOOKUP(O14,deuda!A17:J515,8,0))</f>
        <v/>
      </c>
    </row>
    <row r="15" spans="1:20" s="73" customFormat="1" ht="30" customHeight="1">
      <c r="A15" s="70">
        <v>3</v>
      </c>
      <c r="B15" s="71">
        <v>1316</v>
      </c>
      <c r="C15" s="179">
        <v>4</v>
      </c>
      <c r="D15" s="179">
        <v>1</v>
      </c>
      <c r="E15" s="20">
        <v>6.3636999999999997</v>
      </c>
      <c r="F15" s="85" t="str">
        <f>IF(P15=0,"NO",IF(P15=1,"SI","CONDICIONAL"))</f>
        <v>SI</v>
      </c>
      <c r="G15" s="236" t="s">
        <v>574</v>
      </c>
      <c r="H15" s="575">
        <f>IF(Hijuelas!$G$5="fracción",IF(F15="NO",0,IF(Hijuelas!$G$6="si",IF(D15=1,E15,E15*0.8),E15)),IF(F15="NO",0,IF(Hijuelas!$G$6="si",IF(D15=1,ROUNDUP(E15,0),ROUNDUP(E15*0.8,0)),ROUNDUP(E15,0))))</f>
        <v>6.3636999999999997</v>
      </c>
      <c r="I15" s="340">
        <v>0</v>
      </c>
      <c r="J15" s="340">
        <f>+$I$10/60*H15</f>
        <v>0.42945446407118898</v>
      </c>
      <c r="K15" s="341">
        <f>+L14</f>
        <v>42974.660970098157</v>
      </c>
      <c r="L15" s="341">
        <f>+K15+J15</f>
        <v>42975.09042456223</v>
      </c>
      <c r="M15" s="71"/>
      <c r="N15" s="71"/>
      <c r="O15" s="5" t="str">
        <f>+CONCATENATE(B15,C15)</f>
        <v>13164</v>
      </c>
      <c r="P15" s="6">
        <f>VLOOKUP('16_1'!O12,deuda!$A$1:$H$501,4,0)</f>
        <v>1</v>
      </c>
      <c r="Q15" s="6">
        <f>VLOOKUP(O15,deuda!A18:J516,5,0)</f>
        <v>1</v>
      </c>
      <c r="R15" s="6" t="str">
        <f>IF(VLOOKUP('16_1'!O12,deuda!A18:J516,6,0)=0,"",VLOOKUP('16_1'!O12,deuda!A18:J516,6,0))</f>
        <v/>
      </c>
      <c r="S15" s="111" t="str">
        <f>IF((VLOOKUP('16_1'!O12,deuda!A18:J516,7,0))=0,"",VLOOKUP('16_1'!O12,deuda!A18:J516,7,0))</f>
        <v/>
      </c>
      <c r="T15" s="111" t="str">
        <f>IF((VLOOKUP(O15,deuda!A18:J516,8,0))=0,"",VLOOKUP(O15,deuda!A18:J516,8,0))</f>
        <v/>
      </c>
    </row>
    <row r="16" spans="1:20" ht="30" customHeight="1">
      <c r="A16" s="70">
        <v>4</v>
      </c>
      <c r="B16" s="71">
        <v>1316</v>
      </c>
      <c r="C16" s="179">
        <v>3</v>
      </c>
      <c r="D16" s="179">
        <v>1</v>
      </c>
      <c r="E16" s="20">
        <v>6.3651999999999997</v>
      </c>
      <c r="F16" s="85" t="str">
        <f>IF(P16=0,"NO",IF(P16=1,"SI","CONDICIONAL"))</f>
        <v>SI</v>
      </c>
      <c r="G16" s="236" t="s">
        <v>575</v>
      </c>
      <c r="H16" s="125">
        <f>IF(Hijuelas!$G$5="fracción",IF(F16="NO",0,IF(Hijuelas!$G$6="si",IF(D16=1,E16,E16*0.8),E16)),IF(F16="NO",0,IF(Hijuelas!$G$6="si",IF(D16=1,ROUNDUP(E16,0),ROUNDUP(E16*0.8,0)),ROUNDUP(E16,0))))</f>
        <v>6.3651999999999997</v>
      </c>
      <c r="I16" s="340">
        <v>0</v>
      </c>
      <c r="J16" s="340">
        <f>+$I$10/60*H16</f>
        <v>0.42955569161115897</v>
      </c>
      <c r="K16" s="341">
        <f>+L15</f>
        <v>42975.09042456223</v>
      </c>
      <c r="L16" s="341">
        <f>+K16+J16</f>
        <v>42975.519980253841</v>
      </c>
      <c r="M16" s="71"/>
      <c r="N16" s="5"/>
      <c r="O16" s="5" t="str">
        <f>+CONCATENATE(B16,C16)</f>
        <v>13163</v>
      </c>
      <c r="P16" s="6">
        <f>VLOOKUP('16_1'!O13,deuda!$A$1:$H$501,4,0)</f>
        <v>1</v>
      </c>
      <c r="Q16" s="6">
        <f>VLOOKUP(O16,deuda!A19:J517,5,0)</f>
        <v>2</v>
      </c>
      <c r="R16" s="6" t="str">
        <f>IF(VLOOKUP('16_1'!O13,deuda!A19:J517,6,0)=0,"",VLOOKUP('16_1'!O13,deuda!A19:J517,6,0))</f>
        <v/>
      </c>
      <c r="S16" s="111" t="str">
        <f>IF((VLOOKUP('16_1'!O13,deuda!A19:J517,7,0))=0,"",VLOOKUP('16_1'!O13,deuda!A19:J517,7,0))</f>
        <v/>
      </c>
      <c r="T16" s="111" t="str">
        <f>IF((VLOOKUP(O16,deuda!A19:J517,8,0))=0,"",VLOOKUP(O16,deuda!A19:J517,8,0))</f>
        <v/>
      </c>
    </row>
    <row r="17" spans="1:21" ht="30" customHeight="1" thickBot="1">
      <c r="A17" s="533">
        <v>5</v>
      </c>
      <c r="B17" s="233">
        <v>1316</v>
      </c>
      <c r="C17" s="237">
        <v>5</v>
      </c>
      <c r="D17" s="237">
        <v>1</v>
      </c>
      <c r="E17" s="39">
        <v>29.8032</v>
      </c>
      <c r="F17" s="85" t="str">
        <f>IF(P17=0,"NO",IF(P17=1,"SI","CONDICIONAL"))</f>
        <v>SI</v>
      </c>
      <c r="G17" s="238" t="s">
        <v>576</v>
      </c>
      <c r="H17" s="34">
        <f>IF(Hijuelas!$G$5="fracción",IF(F17="NO",0,IF(Hijuelas!$G$6="si",IF(D17=1,E17,E17*0.8),E17)),IF(F17="NO",0,IF(Hijuelas!$G$6="si",IF(D17=1,ROUNDUP(E17,0),ROUNDUP(E17*0.8,0)),ROUNDUP(E17,0))))</f>
        <v>29.8032</v>
      </c>
      <c r="I17" s="349">
        <v>0</v>
      </c>
      <c r="J17" s="349">
        <f>+$I$10/60*H17</f>
        <v>2.0112697461549822</v>
      </c>
      <c r="K17" s="341">
        <f>+L16</f>
        <v>42975.519980253841</v>
      </c>
      <c r="L17" s="341">
        <f>+K17+J17</f>
        <v>42977.531249999993</v>
      </c>
      <c r="M17" s="233"/>
      <c r="N17" s="27"/>
      <c r="O17" s="5" t="str">
        <f>+CONCATENATE(B17,C17)</f>
        <v>13165</v>
      </c>
      <c r="P17" s="6">
        <v>1</v>
      </c>
      <c r="Q17" s="6">
        <f>VLOOKUP(O17,deuda!A20:J518,5,0)</f>
        <v>1</v>
      </c>
      <c r="R17" s="6" t="str">
        <f>IF(VLOOKUP('16_1'!O14,deuda!A20:J518,6,0)=0,"",VLOOKUP('16_1'!O14,deuda!A20:J518,6,0))</f>
        <v/>
      </c>
      <c r="S17" s="111" t="str">
        <f>IF((VLOOKUP('16_1'!O14,deuda!A20:J518,7,0))=0,"",VLOOKUP('16_1'!O14,deuda!A20:J518,7,0))</f>
        <v/>
      </c>
      <c r="T17" s="111" t="str">
        <f>IF((VLOOKUP(O17,deuda!A20:J518,8,0))=0,"",VLOOKUP(O17,deuda!A20:J518,8,0))</f>
        <v/>
      </c>
      <c r="U17" s="255"/>
    </row>
    <row r="18" spans="1:21" ht="20.100000000000001" customHeight="1">
      <c r="D18" s="68"/>
      <c r="E18" s="84">
        <f>SUM(E13:E17)</f>
        <v>57.5745</v>
      </c>
      <c r="F18" s="68"/>
      <c r="G18" s="68"/>
      <c r="H18" s="529">
        <f>SUM(H13:H17)</f>
        <v>57.5745</v>
      </c>
      <c r="I18" s="269">
        <f>SUM(I13:I17)</f>
        <v>0</v>
      </c>
      <c r="J18" s="530">
        <f>SUM(J13:J17)</f>
        <v>3.8854166666666674</v>
      </c>
    </row>
  </sheetData>
  <mergeCells count="7">
    <mergeCell ref="C3:G3"/>
    <mergeCell ref="H3:K3"/>
    <mergeCell ref="A10:B10"/>
    <mergeCell ref="A6:B6"/>
    <mergeCell ref="C6:E6"/>
    <mergeCell ref="A7:B7"/>
    <mergeCell ref="C7:E7"/>
  </mergeCells>
  <phoneticPr fontId="0" type="noConversion"/>
  <dataValidations count="1">
    <dataValidation allowBlank="1" showInputMessage="1" showErrorMessage="1" errorTitle="ATENCIÓN" error="SOLO PUEDE INGRESAR EL &quot;2&quot;" promptTitle="RECORDAR" prompt="SI MODIFICA EL VALOR DE LA CELDA, RECUERDE VOLVER A COPIAR LA FÓRMULA." sqref="P13:P17" xr:uid="{00000000-0002-0000-2700-000000000000}"/>
  </dataValidations>
  <pageMargins left="0.19685039370078741" right="0.39370078740157483" top="0.98425196850393704" bottom="0.98425196850393704" header="0" footer="0"/>
  <pageSetup paperSize="9" scale="85" orientation="landscape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3"/>
  <dimension ref="A1:H84"/>
  <sheetViews>
    <sheetView zoomScale="75" zoomScaleNormal="75" workbookViewId="0" xr3:uid="{FA9D0CF8-F9BB-5117-B023-E36B10EBCA76}">
      <selection activeCell="K18" sqref="K18"/>
    </sheetView>
  </sheetViews>
  <sheetFormatPr defaultRowHeight="12.75"/>
  <cols>
    <col min="1" max="2" width="11.42578125" customWidth="1"/>
    <col min="3" max="3" width="11.7109375" bestFit="1" customWidth="1"/>
    <col min="4" max="4" width="22.7109375" bestFit="1" customWidth="1"/>
    <col min="5" max="5" width="11.42578125" customWidth="1"/>
    <col min="6" max="7" width="11.7109375" bestFit="1" customWidth="1"/>
    <col min="8" max="256" width="11.42578125" customWidth="1"/>
  </cols>
  <sheetData>
    <row r="1" spans="1:8">
      <c r="A1" s="86"/>
      <c r="B1" s="87"/>
      <c r="C1" s="87"/>
      <c r="D1" s="87"/>
      <c r="E1" s="87"/>
      <c r="F1" s="87"/>
      <c r="G1" s="87"/>
      <c r="H1" s="88"/>
    </row>
    <row r="2" spans="1:8">
      <c r="A2" s="75"/>
      <c r="B2" s="109" t="s">
        <v>82</v>
      </c>
      <c r="C2" s="76"/>
      <c r="D2" s="76"/>
      <c r="E2" s="76"/>
      <c r="F2" s="76"/>
      <c r="G2" s="76"/>
      <c r="H2" s="89"/>
    </row>
    <row r="3" spans="1:8">
      <c r="A3" s="75"/>
      <c r="B3" s="76"/>
      <c r="C3" s="76"/>
      <c r="D3" s="76"/>
      <c r="E3" s="76"/>
      <c r="F3" s="76"/>
      <c r="G3" s="76"/>
      <c r="H3" s="89"/>
    </row>
    <row r="4" spans="1:8">
      <c r="A4" s="75"/>
      <c r="B4" s="76" t="s">
        <v>182</v>
      </c>
      <c r="C4" s="76" t="str">
        <f>VLOOKUP(G5,'17_1'!$A$12:$G$40,7,0)</f>
        <v>MASSI, DANIEL ANTONIO</v>
      </c>
      <c r="D4" s="76"/>
      <c r="E4" s="76"/>
      <c r="F4" s="76"/>
      <c r="G4" s="100" t="s">
        <v>134</v>
      </c>
      <c r="H4" s="89"/>
    </row>
    <row r="5" spans="1:8">
      <c r="A5" s="75"/>
      <c r="B5" s="76" t="s">
        <v>91</v>
      </c>
      <c r="C5" s="76" t="str">
        <f>+'17_1'!$H$3</f>
        <v>Hijuela ROCA</v>
      </c>
      <c r="D5" s="76"/>
      <c r="E5" s="76"/>
      <c r="F5" s="76"/>
      <c r="G5" s="100">
        <v>1</v>
      </c>
      <c r="H5" s="89"/>
    </row>
    <row r="6" spans="1:8">
      <c r="A6" s="75"/>
      <c r="B6" s="76"/>
      <c r="C6" s="76"/>
      <c r="D6" s="76"/>
      <c r="E6" s="76"/>
      <c r="F6" s="76"/>
      <c r="G6" s="76"/>
      <c r="H6" s="89"/>
    </row>
    <row r="7" spans="1:8">
      <c r="A7" s="75"/>
      <c r="B7" s="635" t="s">
        <v>183</v>
      </c>
      <c r="C7" s="331">
        <f>VLOOKUP(G5,'17_1'!$A$13:$B$40,2,0)</f>
        <v>1316</v>
      </c>
      <c r="D7" s="76"/>
      <c r="E7" s="635" t="s">
        <v>184</v>
      </c>
      <c r="F7" s="397">
        <f>DSUM('17_1'!A$12:J$40,'17_1'!$J$12,G4:G5)</f>
        <v>0.58566205525015425</v>
      </c>
      <c r="G7" s="76"/>
      <c r="H7" s="89"/>
    </row>
    <row r="8" spans="1:8">
      <c r="A8" s="75"/>
      <c r="B8" s="635" t="s">
        <v>185</v>
      </c>
      <c r="C8" s="374">
        <v>1</v>
      </c>
      <c r="D8" s="76"/>
      <c r="E8" s="635" t="s">
        <v>186</v>
      </c>
      <c r="F8" s="368" t="str">
        <f>IF(VLOOKUP(G5,'17_1'!$A$12:$D$90,4,0)=2,"Eventual 80%","Definitivo 100%")</f>
        <v>Definitivo 100%</v>
      </c>
      <c r="G8" s="76"/>
      <c r="H8" s="89"/>
    </row>
    <row r="9" spans="1:8">
      <c r="A9" s="75"/>
      <c r="B9" s="635" t="s">
        <v>187</v>
      </c>
      <c r="C9" s="375">
        <f>DSUM('17_1'!$A$12:$H$40,'17_1'!$H$12,G4:G5)</f>
        <v>8.6783999999999999</v>
      </c>
      <c r="D9" s="76"/>
      <c r="E9" s="635" t="s">
        <v>188</v>
      </c>
      <c r="F9" s="369" t="str">
        <f>+Hijuelas!$G$5</f>
        <v>fracción</v>
      </c>
      <c r="G9" s="106"/>
      <c r="H9" s="89"/>
    </row>
    <row r="10" spans="1:8" ht="15.75">
      <c r="A10" s="75"/>
      <c r="B10" s="76"/>
      <c r="C10" s="635" t="s">
        <v>189</v>
      </c>
      <c r="D10" s="107">
        <f>DMIN('17_1'!A$12:K$40,'17_1'!$K$12,G4:G5)</f>
        <v>42973.645833333328</v>
      </c>
      <c r="E10" s="127" t="str">
        <f>IF(F10=1,"Domingo",IF(F10=2,"Lunes",IF(F10=3,"Martes",IF(F10=4,"Miercoles",IF(F10=5,"Jueves",IF(F10=6,"Viernes",IF(F10=7,"Sábado",0)))))))</f>
        <v>Sábado</v>
      </c>
      <c r="F10" s="128">
        <f>WEEKDAY(D10)</f>
        <v>7</v>
      </c>
      <c r="G10" s="103"/>
      <c r="H10" s="89"/>
    </row>
    <row r="11" spans="1:8" ht="15.75">
      <c r="A11" s="75"/>
      <c r="B11" s="76"/>
      <c r="C11" s="635" t="s">
        <v>190</v>
      </c>
      <c r="D11" s="107">
        <f>DMAX('17_1'!A$12:L$43,'17_1'!$L$12,G4:G5)</f>
        <v>42974.23149538858</v>
      </c>
      <c r="E11" s="127" t="str">
        <f>IF(F11=1,"Domingo",IF(F11=2,"Lunes",IF(F11=3,"Martes",IF(F11=4,"Miercoles",IF(F11=5,"Jueves",IF(F11=6,"Viernes",IF(F11=7,"Sábado",0)))))))</f>
        <v>Domingo</v>
      </c>
      <c r="F11" s="128">
        <f>WEEKDAY(D11)</f>
        <v>1</v>
      </c>
      <c r="G11" s="103"/>
      <c r="H11" s="89"/>
    </row>
    <row r="12" spans="1:8">
      <c r="A12" s="75"/>
      <c r="B12" s="76"/>
      <c r="C12" s="76"/>
      <c r="D12" s="76"/>
      <c r="E12" s="76"/>
      <c r="F12" s="106"/>
      <c r="G12" s="106"/>
      <c r="H12" s="89"/>
    </row>
    <row r="13" spans="1:8">
      <c r="A13" s="75"/>
      <c r="B13" s="331" t="str">
        <f>+Mensajes!$B$7</f>
        <v>PARA CUALQUIER MODIFICACION EN EL CUADRO DE TURNO COMUNIQUESE CON SU TOMERO</v>
      </c>
      <c r="C13" s="279"/>
      <c r="D13" s="76"/>
      <c r="E13" s="76"/>
      <c r="F13" s="76"/>
      <c r="G13" s="76"/>
      <c r="H13" s="89"/>
    </row>
    <row r="14" spans="1:8">
      <c r="A14" s="75"/>
      <c r="B14" s="332" t="str">
        <f>+Mensajes!$B$12</f>
        <v>Recuerde que con 1 (una) cuotas vigentes impagas se restringirá el servicio.</v>
      </c>
      <c r="C14" s="280"/>
      <c r="D14" s="76"/>
      <c r="E14" s="76"/>
      <c r="F14" s="76"/>
      <c r="G14" s="76"/>
      <c r="H14" s="89"/>
    </row>
    <row r="15" spans="1:8">
      <c r="A15" s="75"/>
      <c r="B15" s="108"/>
      <c r="C15" s="76"/>
      <c r="D15" s="76"/>
      <c r="E15" s="76"/>
      <c r="F15" s="76"/>
      <c r="G15" s="76"/>
      <c r="H15" s="89"/>
    </row>
    <row r="16" spans="1:8" ht="13.5" thickBot="1">
      <c r="A16" s="101"/>
      <c r="B16" s="387" t="str">
        <f>IF(DSUM('17_1'!$A$12:$P$90,16,G4:G5)=COUNTIF('17_1'!$A$12:$A$90,G5),"","Regularice su Deuda")</f>
        <v/>
      </c>
      <c r="C16" s="77"/>
      <c r="D16" s="77"/>
      <c r="E16" s="77"/>
      <c r="F16" s="77"/>
      <c r="G16" s="77"/>
      <c r="H16" s="78"/>
    </row>
    <row r="18" spans="1:8">
      <c r="A18" s="86"/>
      <c r="B18" s="87"/>
      <c r="C18" s="87"/>
      <c r="D18" s="87"/>
      <c r="E18" s="87"/>
      <c r="F18" s="87"/>
      <c r="G18" s="87"/>
      <c r="H18" s="88"/>
    </row>
    <row r="19" spans="1:8">
      <c r="A19" s="75"/>
      <c r="B19" s="109" t="s">
        <v>82</v>
      </c>
      <c r="C19" s="76"/>
      <c r="D19" s="76"/>
      <c r="E19" s="76"/>
      <c r="F19" s="76"/>
      <c r="G19" s="76"/>
      <c r="H19" s="89"/>
    </row>
    <row r="20" spans="1:8">
      <c r="A20" s="75"/>
      <c r="B20" s="76"/>
      <c r="C20" s="76"/>
      <c r="D20" s="76"/>
      <c r="E20" s="76"/>
      <c r="F20" s="76"/>
      <c r="G20" s="76"/>
      <c r="H20" s="89"/>
    </row>
    <row r="21" spans="1:8">
      <c r="A21" s="75"/>
      <c r="B21" s="76" t="s">
        <v>182</v>
      </c>
      <c r="C21" s="76" t="str">
        <f>VLOOKUP(G22,'17_1'!$A$12:$G$40,7,0)</f>
        <v>CAVICCHIA, JUAN CARLOS</v>
      </c>
      <c r="D21" s="76"/>
      <c r="E21" s="76"/>
      <c r="F21" s="76"/>
      <c r="G21" s="100" t="s">
        <v>134</v>
      </c>
      <c r="H21" s="89"/>
    </row>
    <row r="22" spans="1:8">
      <c r="A22" s="75"/>
      <c r="B22" s="76" t="s">
        <v>91</v>
      </c>
      <c r="C22" s="76" t="str">
        <f>+'17_1'!$H$3</f>
        <v>Hijuela ROCA</v>
      </c>
      <c r="D22" s="76"/>
      <c r="E22" s="76"/>
      <c r="F22" s="76"/>
      <c r="G22" s="100">
        <v>2</v>
      </c>
      <c r="H22" s="89"/>
    </row>
    <row r="23" spans="1:8">
      <c r="A23" s="75"/>
      <c r="B23" s="76"/>
      <c r="C23" s="76"/>
      <c r="D23" s="76"/>
      <c r="E23" s="76"/>
      <c r="F23" s="76"/>
      <c r="G23" s="76"/>
      <c r="H23" s="89"/>
    </row>
    <row r="24" spans="1:8">
      <c r="A24" s="75"/>
      <c r="B24" s="635" t="s">
        <v>183</v>
      </c>
      <c r="C24" s="331">
        <f>VLOOKUP(G22,'17_1'!$A$13:$B$40,2,0)</f>
        <v>1316</v>
      </c>
      <c r="D24" s="76"/>
      <c r="E24" s="635" t="s">
        <v>184</v>
      </c>
      <c r="F24" s="397">
        <f>DSUM('17_1'!A$12:J$40,'17_1'!$J$12,G21:G22)</f>
        <v>0.42947470957918299</v>
      </c>
      <c r="G24" s="76"/>
      <c r="H24" s="89"/>
    </row>
    <row r="25" spans="1:8">
      <c r="A25" s="75"/>
      <c r="B25" s="635" t="s">
        <v>185</v>
      </c>
      <c r="C25" s="374">
        <v>2</v>
      </c>
      <c r="D25" s="76"/>
      <c r="E25" s="635" t="s">
        <v>186</v>
      </c>
      <c r="F25" s="368" t="str">
        <f>IF(VLOOKUP(G22,'17_1'!$A$12:$D$90,4,0)=2,"Eventual 80%","Definitivo 100%")</f>
        <v>Definitivo 100%</v>
      </c>
      <c r="G25" s="76"/>
      <c r="H25" s="89"/>
    </row>
    <row r="26" spans="1:8">
      <c r="A26" s="75"/>
      <c r="B26" s="635" t="s">
        <v>187</v>
      </c>
      <c r="C26" s="375">
        <f>DSUM('17_1'!$A$12:$H$40,'17_1'!$H$12,G21:G22)</f>
        <v>6.3639999999999999</v>
      </c>
      <c r="D26" s="76"/>
      <c r="E26" s="635" t="s">
        <v>188</v>
      </c>
      <c r="F26" s="369" t="str">
        <f>+Hijuelas!$G$5</f>
        <v>fracción</v>
      </c>
      <c r="G26" s="106"/>
      <c r="H26" s="89"/>
    </row>
    <row r="27" spans="1:8" ht="15.75">
      <c r="A27" s="75"/>
      <c r="B27" s="76"/>
      <c r="C27" s="635" t="s">
        <v>189</v>
      </c>
      <c r="D27" s="107">
        <f>DMIN('17_1'!A$12:K$40,'17_1'!$K$12,G21:G22)</f>
        <v>42974.23149538858</v>
      </c>
      <c r="E27" s="127" t="str">
        <f>IF(F27=1,"Domingo",IF(F27=2,"Lunes",IF(F27=3,"Martes",IF(F27=4,"Miercoles",IF(F27=5,"Jueves",IF(F27=6,"Viernes",IF(F27=7,"Sábado",0)))))))</f>
        <v>Domingo</v>
      </c>
      <c r="F27" s="128">
        <f>WEEKDAY(D27)</f>
        <v>1</v>
      </c>
      <c r="G27" s="103"/>
      <c r="H27" s="89"/>
    </row>
    <row r="28" spans="1:8" ht="15.75">
      <c r="A28" s="75"/>
      <c r="B28" s="76"/>
      <c r="C28" s="635" t="s">
        <v>190</v>
      </c>
      <c r="D28" s="107">
        <f>DMAX('17_1'!A$12:L$43,'17_1'!$L$12,G21:G22)</f>
        <v>42974.660970098157</v>
      </c>
      <c r="E28" s="127" t="str">
        <f>IF(F28=1,"Domingo",IF(F28=2,"Lunes",IF(F28=3,"Martes",IF(F28=4,"Miercoles",IF(F28=5,"Jueves",IF(F28=6,"Viernes",IF(F28=7,"Sábado",0)))))))</f>
        <v>Domingo</v>
      </c>
      <c r="F28" s="128">
        <f>WEEKDAY(D28)</f>
        <v>1</v>
      </c>
      <c r="G28" s="103"/>
      <c r="H28" s="89"/>
    </row>
    <row r="29" spans="1:8">
      <c r="A29" s="75"/>
      <c r="B29" s="76"/>
      <c r="C29" s="76"/>
      <c r="D29" s="76"/>
      <c r="E29" s="76"/>
      <c r="F29" s="106"/>
      <c r="G29" s="106"/>
      <c r="H29" s="89"/>
    </row>
    <row r="30" spans="1:8">
      <c r="A30" s="75"/>
      <c r="B30" s="331" t="str">
        <f>+Mensajes!$B$7</f>
        <v>PARA CUALQUIER MODIFICACION EN EL CUADRO DE TURNO COMUNIQUESE CON SU TOMERO</v>
      </c>
      <c r="C30" s="279"/>
      <c r="D30" s="76"/>
      <c r="E30" s="76"/>
      <c r="F30" s="76"/>
      <c r="G30" s="76"/>
      <c r="H30" s="89"/>
    </row>
    <row r="31" spans="1:8">
      <c r="A31" s="75"/>
      <c r="B31" s="332" t="str">
        <f>+Mensajes!$B$12</f>
        <v>Recuerde que con 1 (una) cuotas vigentes impagas se restringirá el servicio.</v>
      </c>
      <c r="C31" s="280"/>
      <c r="D31" s="76"/>
      <c r="E31" s="76"/>
      <c r="F31" s="76"/>
      <c r="G31" s="76"/>
      <c r="H31" s="89"/>
    </row>
    <row r="32" spans="1:8">
      <c r="A32" s="75"/>
      <c r="B32" s="108"/>
      <c r="C32" s="76"/>
      <c r="D32" s="76"/>
      <c r="E32" s="76"/>
      <c r="F32" s="76"/>
      <c r="G32" s="76"/>
      <c r="H32" s="89"/>
    </row>
    <row r="33" spans="1:8" ht="13.5" thickBot="1">
      <c r="A33" s="101"/>
      <c r="B33" s="387" t="str">
        <f>IF(DSUM('17_1'!$A$12:$P$90,16,G21:G22)=COUNTIF('17_1'!$A$12:$A$90,G22),"","Regularice su Deuda")</f>
        <v/>
      </c>
      <c r="C33" s="77"/>
      <c r="D33" s="77"/>
      <c r="E33" s="77"/>
      <c r="F33" s="77"/>
      <c r="G33" s="77"/>
      <c r="H33" s="78"/>
    </row>
    <row r="35" spans="1:8">
      <c r="A35" s="86"/>
      <c r="B35" s="87"/>
      <c r="C35" s="87"/>
      <c r="D35" s="87"/>
      <c r="E35" s="87"/>
      <c r="F35" s="87"/>
      <c r="G35" s="87"/>
      <c r="H35" s="88"/>
    </row>
    <row r="36" spans="1:8">
      <c r="A36" s="75"/>
      <c r="B36" s="109" t="s">
        <v>82</v>
      </c>
      <c r="C36" s="76"/>
      <c r="D36" s="76"/>
      <c r="E36" s="76"/>
      <c r="F36" s="76"/>
      <c r="G36" s="76"/>
      <c r="H36" s="89"/>
    </row>
    <row r="37" spans="1:8">
      <c r="A37" s="75"/>
      <c r="B37" s="76"/>
      <c r="C37" s="76"/>
      <c r="D37" s="76"/>
      <c r="E37" s="76"/>
      <c r="F37" s="76"/>
      <c r="G37" s="76"/>
      <c r="H37" s="89"/>
    </row>
    <row r="38" spans="1:8">
      <c r="A38" s="75"/>
      <c r="B38" s="76" t="s">
        <v>182</v>
      </c>
      <c r="C38" s="76" t="str">
        <f>VLOOKUP(G39,'17_1'!$A$12:$G$40,7,0)</f>
        <v>AVALO ARTIGA, ROSA</v>
      </c>
      <c r="D38" s="76"/>
      <c r="E38" s="76"/>
      <c r="F38" s="76"/>
      <c r="G38" s="100" t="s">
        <v>134</v>
      </c>
      <c r="H38" s="89"/>
    </row>
    <row r="39" spans="1:8">
      <c r="A39" s="75"/>
      <c r="B39" s="76" t="s">
        <v>91</v>
      </c>
      <c r="C39" s="76" t="str">
        <f>+'17_1'!$H$3</f>
        <v>Hijuela ROCA</v>
      </c>
      <c r="D39" s="76"/>
      <c r="E39" s="76"/>
      <c r="F39" s="76"/>
      <c r="G39" s="100">
        <v>3</v>
      </c>
      <c r="H39" s="89"/>
    </row>
    <row r="40" spans="1:8">
      <c r="A40" s="75"/>
      <c r="B40" s="76"/>
      <c r="C40" s="76"/>
      <c r="D40" s="76"/>
      <c r="E40" s="76"/>
      <c r="F40" s="76"/>
      <c r="G40" s="76"/>
      <c r="H40" s="89"/>
    </row>
    <row r="41" spans="1:8">
      <c r="A41" s="75"/>
      <c r="B41" s="635" t="s">
        <v>183</v>
      </c>
      <c r="C41" s="331">
        <f>VLOOKUP(G39,'17_1'!$A$13:$B$40,2,0)</f>
        <v>1316</v>
      </c>
      <c r="D41" s="76"/>
      <c r="E41" s="635" t="s">
        <v>184</v>
      </c>
      <c r="F41" s="397">
        <f>DSUM('17_1'!A$12:J$40,'17_1'!$J$12,G38:G39)</f>
        <v>0.42945446407118898</v>
      </c>
      <c r="G41" s="76"/>
      <c r="H41" s="89"/>
    </row>
    <row r="42" spans="1:8">
      <c r="A42" s="75"/>
      <c r="B42" s="635" t="s">
        <v>185</v>
      </c>
      <c r="C42" s="374">
        <v>4</v>
      </c>
      <c r="D42" s="76"/>
      <c r="E42" s="635" t="s">
        <v>186</v>
      </c>
      <c r="F42" s="368" t="str">
        <f>IF(VLOOKUP(G39,'17_1'!$A$12:$D$90,4,0)=2,"Eventual 80%","Definitivo 100%")</f>
        <v>Definitivo 100%</v>
      </c>
      <c r="G42" s="76"/>
      <c r="H42" s="89"/>
    </row>
    <row r="43" spans="1:8">
      <c r="A43" s="75"/>
      <c r="B43" s="635" t="s">
        <v>187</v>
      </c>
      <c r="C43" s="375">
        <f>DSUM('17_1'!$A$12:$H$40,'17_1'!$H$12,G38:G39)</f>
        <v>6.3636999999999997</v>
      </c>
      <c r="D43" s="76"/>
      <c r="E43" s="635" t="s">
        <v>188</v>
      </c>
      <c r="F43" s="369" t="str">
        <f>+Hijuelas!$G$5</f>
        <v>fracción</v>
      </c>
      <c r="G43" s="106"/>
      <c r="H43" s="89"/>
    </row>
    <row r="44" spans="1:8" ht="15.75">
      <c r="A44" s="75"/>
      <c r="B44" s="76"/>
      <c r="C44" s="635" t="s">
        <v>189</v>
      </c>
      <c r="D44" s="107">
        <f>DMIN('17_1'!A$12:K$40,'17_1'!$K$12,G38:G39)</f>
        <v>42974.660970098157</v>
      </c>
      <c r="E44" s="127" t="str">
        <f>IF(F44=1,"Domingo",IF(F44=2,"Lunes",IF(F44=3,"Martes",IF(F44=4,"Miercoles",IF(F44=5,"Jueves",IF(F44=6,"Viernes",IF(F44=7,"Sábado",0)))))))</f>
        <v>Domingo</v>
      </c>
      <c r="F44" s="128">
        <f>WEEKDAY(D44)</f>
        <v>1</v>
      </c>
      <c r="G44" s="103"/>
      <c r="H44" s="89"/>
    </row>
    <row r="45" spans="1:8" ht="15.75">
      <c r="A45" s="75"/>
      <c r="B45" s="76"/>
      <c r="C45" s="635" t="s">
        <v>190</v>
      </c>
      <c r="D45" s="107">
        <f>DMAX('17_1'!A$12:L$43,'17_1'!$L$12,G38:G39)</f>
        <v>42975.09042456223</v>
      </c>
      <c r="E45" s="127" t="str">
        <f>IF(F45=1,"Domingo",IF(F45=2,"Lunes",IF(F45=3,"Martes",IF(F45=4,"Miercoles",IF(F45=5,"Jueves",IF(F45=6,"Viernes",IF(F45=7,"Sábado",0)))))))</f>
        <v>Lunes</v>
      </c>
      <c r="F45" s="128">
        <f>WEEKDAY(D45)</f>
        <v>2</v>
      </c>
      <c r="G45" s="103"/>
      <c r="H45" s="89"/>
    </row>
    <row r="46" spans="1:8">
      <c r="A46" s="75"/>
      <c r="B46" s="76"/>
      <c r="C46" s="76"/>
      <c r="D46" s="76"/>
      <c r="E46" s="76"/>
      <c r="F46" s="106"/>
      <c r="G46" s="106"/>
      <c r="H46" s="89"/>
    </row>
    <row r="47" spans="1:8">
      <c r="A47" s="75"/>
      <c r="B47" s="331" t="str">
        <f>+Mensajes!$B$7</f>
        <v>PARA CUALQUIER MODIFICACION EN EL CUADRO DE TURNO COMUNIQUESE CON SU TOMERO</v>
      </c>
      <c r="C47" s="279"/>
      <c r="D47" s="76"/>
      <c r="E47" s="76"/>
      <c r="F47" s="76"/>
      <c r="G47" s="76"/>
      <c r="H47" s="89"/>
    </row>
    <row r="48" spans="1:8">
      <c r="A48" s="75"/>
      <c r="B48" s="332" t="str">
        <f>+Mensajes!$B$12</f>
        <v>Recuerde que con 1 (una) cuotas vigentes impagas se restringirá el servicio.</v>
      </c>
      <c r="C48" s="280"/>
      <c r="D48" s="76"/>
      <c r="E48" s="76"/>
      <c r="F48" s="76"/>
      <c r="G48" s="76"/>
      <c r="H48" s="89"/>
    </row>
    <row r="49" spans="1:8">
      <c r="A49" s="75"/>
      <c r="B49" s="108"/>
      <c r="C49" s="76"/>
      <c r="D49" s="76"/>
      <c r="E49" s="76"/>
      <c r="F49" s="76"/>
      <c r="G49" s="76"/>
      <c r="H49" s="89"/>
    </row>
    <row r="50" spans="1:8" ht="13.5" thickBot="1">
      <c r="A50" s="101"/>
      <c r="B50" s="387" t="str">
        <f>IF(DSUM('17_1'!$A$12:$P$90,16,G38:G39)=COUNTIF('17_1'!$A$12:$A$90,G39),"","Regularice su Deuda")</f>
        <v/>
      </c>
      <c r="C50" s="77"/>
      <c r="D50" s="77"/>
      <c r="E50" s="77"/>
      <c r="F50" s="77"/>
      <c r="G50" s="77"/>
      <c r="H50" s="78"/>
    </row>
    <row r="52" spans="1:8">
      <c r="A52" s="86"/>
      <c r="B52" s="87"/>
      <c r="C52" s="87"/>
      <c r="D52" s="87"/>
      <c r="E52" s="87"/>
      <c r="F52" s="87"/>
      <c r="G52" s="87"/>
      <c r="H52" s="88"/>
    </row>
    <row r="53" spans="1:8">
      <c r="A53" s="75"/>
      <c r="B53" s="109" t="s">
        <v>82</v>
      </c>
      <c r="C53" s="76"/>
      <c r="D53" s="76"/>
      <c r="E53" s="76"/>
      <c r="F53" s="76"/>
      <c r="G53" s="76"/>
      <c r="H53" s="89"/>
    </row>
    <row r="54" spans="1:8">
      <c r="A54" s="75"/>
      <c r="B54" s="76"/>
      <c r="C54" s="76"/>
      <c r="D54" s="76"/>
      <c r="E54" s="76"/>
      <c r="F54" s="76"/>
      <c r="G54" s="76"/>
      <c r="H54" s="89"/>
    </row>
    <row r="55" spans="1:8">
      <c r="A55" s="75"/>
      <c r="B55" s="76" t="s">
        <v>182</v>
      </c>
      <c r="C55" s="76" t="str">
        <f>VLOOKUP(G56,'17_1'!$A$12:$G$40,7,0)</f>
        <v>MAYOL JUAN PEDRO</v>
      </c>
      <c r="D55" s="76"/>
      <c r="E55" s="76"/>
      <c r="F55" s="76"/>
      <c r="G55" s="100" t="s">
        <v>134</v>
      </c>
      <c r="H55" s="89"/>
    </row>
    <row r="56" spans="1:8">
      <c r="A56" s="75"/>
      <c r="B56" s="76" t="s">
        <v>91</v>
      </c>
      <c r="C56" s="76" t="str">
        <f>+'17_1'!$H$3</f>
        <v>Hijuela ROCA</v>
      </c>
      <c r="D56" s="76"/>
      <c r="E56" s="76"/>
      <c r="F56" s="76"/>
      <c r="G56" s="100">
        <v>4</v>
      </c>
      <c r="H56" s="89"/>
    </row>
    <row r="57" spans="1:8">
      <c r="A57" s="75"/>
      <c r="B57" s="76"/>
      <c r="C57" s="76"/>
      <c r="D57" s="76"/>
      <c r="E57" s="76"/>
      <c r="F57" s="76"/>
      <c r="G57" s="76"/>
      <c r="H57" s="89"/>
    </row>
    <row r="58" spans="1:8">
      <c r="A58" s="75"/>
      <c r="B58" s="635" t="s">
        <v>183</v>
      </c>
      <c r="C58" s="331">
        <f>VLOOKUP(G56,'17_1'!$A$13:$B$40,2,0)</f>
        <v>1316</v>
      </c>
      <c r="D58" s="76"/>
      <c r="E58" s="635" t="s">
        <v>184</v>
      </c>
      <c r="F58" s="397">
        <f>DSUM('17_1'!A$12:J$40,'17_1'!$J$12,G55:G56)</f>
        <v>0.42955569161115897</v>
      </c>
      <c r="G58" s="76"/>
      <c r="H58" s="89"/>
    </row>
    <row r="59" spans="1:8">
      <c r="A59" s="75"/>
      <c r="B59" s="635" t="s">
        <v>185</v>
      </c>
      <c r="C59" s="374">
        <v>3</v>
      </c>
      <c r="D59" s="76"/>
      <c r="E59" s="635" t="s">
        <v>186</v>
      </c>
      <c r="F59" s="368" t="str">
        <f>IF(VLOOKUP(G56,'17_1'!$A$12:$D$90,4,0)=2,"Eventual 80%","Definitivo 100%")</f>
        <v>Definitivo 100%</v>
      </c>
      <c r="G59" s="76"/>
      <c r="H59" s="89"/>
    </row>
    <row r="60" spans="1:8">
      <c r="A60" s="75"/>
      <c r="B60" s="635" t="s">
        <v>187</v>
      </c>
      <c r="C60" s="375">
        <f>DSUM('17_1'!$A$12:$H$40,'17_1'!$H$12,G55:G56)</f>
        <v>6.3651999999999997</v>
      </c>
      <c r="D60" s="76"/>
      <c r="E60" s="635" t="s">
        <v>188</v>
      </c>
      <c r="F60" s="369" t="str">
        <f>+Hijuelas!$G$5</f>
        <v>fracción</v>
      </c>
      <c r="G60" s="106"/>
      <c r="H60" s="89"/>
    </row>
    <row r="61" spans="1:8" ht="15.75">
      <c r="A61" s="75"/>
      <c r="B61" s="76"/>
      <c r="C61" s="635" t="s">
        <v>189</v>
      </c>
      <c r="D61" s="107">
        <f>DMIN('17_1'!A$12:K$40,'17_1'!$K$12,G55:G56)</f>
        <v>42975.09042456223</v>
      </c>
      <c r="E61" s="127" t="str">
        <f>IF(F61=1,"Domingo",IF(F61=2,"Lunes",IF(F61=3,"Martes",IF(F61=4,"Miercoles",IF(F61=5,"Jueves",IF(F61=6,"Viernes",IF(F61=7,"Sábado",0)))))))</f>
        <v>Lunes</v>
      </c>
      <c r="F61" s="128">
        <f>WEEKDAY(D61)</f>
        <v>2</v>
      </c>
      <c r="G61" s="103"/>
      <c r="H61" s="89"/>
    </row>
    <row r="62" spans="1:8" ht="15.75">
      <c r="A62" s="75"/>
      <c r="B62" s="76"/>
      <c r="C62" s="635" t="s">
        <v>190</v>
      </c>
      <c r="D62" s="107">
        <f>DMAX('17_1'!A$12:L$43,'17_1'!$L$12,G55:G56)</f>
        <v>42975.519980253841</v>
      </c>
      <c r="E62" s="127" t="str">
        <f>IF(F62=1,"Domingo",IF(F62=2,"Lunes",IF(F62=3,"Martes",IF(F62=4,"Miercoles",IF(F62=5,"Jueves",IF(F62=6,"Viernes",IF(F62=7,"Sábado",0)))))))</f>
        <v>Lunes</v>
      </c>
      <c r="F62" s="128">
        <f>WEEKDAY(D62)</f>
        <v>2</v>
      </c>
      <c r="G62" s="103"/>
      <c r="H62" s="89"/>
    </row>
    <row r="63" spans="1:8">
      <c r="A63" s="75"/>
      <c r="B63" s="76"/>
      <c r="C63" s="76"/>
      <c r="D63" s="76"/>
      <c r="E63" s="76"/>
      <c r="F63" s="106"/>
      <c r="G63" s="106"/>
      <c r="H63" s="89"/>
    </row>
    <row r="64" spans="1:8">
      <c r="A64" s="75"/>
      <c r="B64" s="331" t="str">
        <f>+Mensajes!$B$7</f>
        <v>PARA CUALQUIER MODIFICACION EN EL CUADRO DE TURNO COMUNIQUESE CON SU TOMERO</v>
      </c>
      <c r="C64" s="279"/>
      <c r="D64" s="76"/>
      <c r="E64" s="76"/>
      <c r="F64" s="76"/>
      <c r="G64" s="76"/>
      <c r="H64" s="89"/>
    </row>
    <row r="65" spans="1:8">
      <c r="A65" s="75"/>
      <c r="B65" s="332" t="str">
        <f>+Mensajes!$B$12</f>
        <v>Recuerde que con 1 (una) cuotas vigentes impagas se restringirá el servicio.</v>
      </c>
      <c r="C65" s="280"/>
      <c r="D65" s="76"/>
      <c r="E65" s="76"/>
      <c r="F65" s="76"/>
      <c r="G65" s="76"/>
      <c r="H65" s="89"/>
    </row>
    <row r="66" spans="1:8">
      <c r="A66" s="75"/>
      <c r="B66" s="108"/>
      <c r="C66" s="76"/>
      <c r="D66" s="76"/>
      <c r="E66" s="76"/>
      <c r="F66" s="76"/>
      <c r="G66" s="76"/>
      <c r="H66" s="89"/>
    </row>
    <row r="67" spans="1:8" ht="13.5" thickBot="1">
      <c r="A67" s="101"/>
      <c r="B67" s="387" t="str">
        <f>IF(DSUM('17_1'!$A$12:$P$90,16,G55:G56)=COUNTIF('17_1'!$A$12:$A$90,G56),"","Regularice su Deuda")</f>
        <v/>
      </c>
      <c r="C67" s="77"/>
      <c r="D67" s="77"/>
      <c r="E67" s="77"/>
      <c r="F67" s="77"/>
      <c r="G67" s="77"/>
      <c r="H67" s="78"/>
    </row>
    <row r="69" spans="1:8">
      <c r="A69" s="86"/>
      <c r="B69" s="87"/>
      <c r="C69" s="87"/>
      <c r="D69" s="87"/>
      <c r="E69" s="87"/>
      <c r="F69" s="87"/>
      <c r="G69" s="87"/>
      <c r="H69" s="88"/>
    </row>
    <row r="70" spans="1:8">
      <c r="A70" s="75"/>
      <c r="B70" s="109" t="s">
        <v>82</v>
      </c>
      <c r="C70" s="76"/>
      <c r="D70" s="76"/>
      <c r="E70" s="76"/>
      <c r="F70" s="76"/>
      <c r="G70" s="76"/>
      <c r="H70" s="89"/>
    </row>
    <row r="71" spans="1:8">
      <c r="A71" s="75"/>
      <c r="B71" s="76"/>
      <c r="C71" s="76"/>
      <c r="D71" s="76"/>
      <c r="E71" s="76"/>
      <c r="F71" s="76"/>
      <c r="G71" s="76"/>
      <c r="H71" s="89"/>
    </row>
    <row r="72" spans="1:8">
      <c r="A72" s="75"/>
      <c r="B72" s="76" t="s">
        <v>182</v>
      </c>
      <c r="C72" s="76" t="str">
        <f>VLOOKUP(G73,'17_1'!$A$12:$G$40,7,0)</f>
        <v>BARBECA S.A.</v>
      </c>
      <c r="D72" s="76"/>
      <c r="E72" s="76"/>
      <c r="F72" s="76"/>
      <c r="G72" s="100" t="s">
        <v>134</v>
      </c>
      <c r="H72" s="89"/>
    </row>
    <row r="73" spans="1:8">
      <c r="A73" s="75"/>
      <c r="B73" s="76" t="s">
        <v>91</v>
      </c>
      <c r="C73" s="76" t="str">
        <f>+'17_1'!$H$3</f>
        <v>Hijuela ROCA</v>
      </c>
      <c r="D73" s="76"/>
      <c r="E73" s="76"/>
      <c r="F73" s="76"/>
      <c r="G73" s="100">
        <v>5</v>
      </c>
      <c r="H73" s="89"/>
    </row>
    <row r="74" spans="1:8">
      <c r="A74" s="75"/>
      <c r="B74" s="76"/>
      <c r="C74" s="76"/>
      <c r="D74" s="76"/>
      <c r="E74" s="76"/>
      <c r="F74" s="76"/>
      <c r="G74" s="76"/>
      <c r="H74" s="89"/>
    </row>
    <row r="75" spans="1:8">
      <c r="A75" s="75"/>
      <c r="B75" s="635" t="s">
        <v>183</v>
      </c>
      <c r="C75" s="331">
        <f>VLOOKUP(G73,'17_1'!$A$13:$B$40,2,0)</f>
        <v>1316</v>
      </c>
      <c r="D75" s="76"/>
      <c r="E75" s="635" t="s">
        <v>184</v>
      </c>
      <c r="F75" s="397">
        <f>DSUM('17_1'!A$12:J$40,'17_1'!$J$12,G72:G73)</f>
        <v>2.0112697461549822</v>
      </c>
      <c r="G75" s="76"/>
      <c r="H75" s="89"/>
    </row>
    <row r="76" spans="1:8">
      <c r="A76" s="75"/>
      <c r="B76" s="635" t="s">
        <v>185</v>
      </c>
      <c r="C76" s="374">
        <v>5</v>
      </c>
      <c r="D76" s="76"/>
      <c r="E76" s="635" t="s">
        <v>186</v>
      </c>
      <c r="F76" s="368" t="str">
        <f>IF(VLOOKUP(G73,'17_1'!$A$12:$D$90,4,0)=2,"Eventual 80%","Definitivo 100%")</f>
        <v>Definitivo 100%</v>
      </c>
      <c r="G76" s="76"/>
      <c r="H76" s="89"/>
    </row>
    <row r="77" spans="1:8">
      <c r="A77" s="75"/>
      <c r="B77" s="635" t="s">
        <v>187</v>
      </c>
      <c r="C77" s="375">
        <f>DSUM('17_1'!$A$12:$H$40,'17_1'!$H$12,G72:G73)</f>
        <v>29.8032</v>
      </c>
      <c r="D77" s="76"/>
      <c r="E77" s="635" t="s">
        <v>188</v>
      </c>
      <c r="F77" s="369" t="str">
        <f>+Hijuelas!$G$5</f>
        <v>fracción</v>
      </c>
      <c r="G77" s="106"/>
      <c r="H77" s="89"/>
    </row>
    <row r="78" spans="1:8" ht="15.75">
      <c r="A78" s="75"/>
      <c r="B78" s="76"/>
      <c r="C78" s="635" t="s">
        <v>189</v>
      </c>
      <c r="D78" s="107">
        <f>DMIN('17_1'!A$12:K$40,'17_1'!$K$12,G72:G73)</f>
        <v>42975.519980253841</v>
      </c>
      <c r="E78" s="127" t="str">
        <f>IF(F78=1,"Domingo",IF(F78=2,"Lunes",IF(F78=3,"Martes",IF(F78=4,"Miercoles",IF(F78=5,"Jueves",IF(F78=6,"Viernes",IF(F78=7,"Sábado",0)))))))</f>
        <v>Lunes</v>
      </c>
      <c r="F78" s="128">
        <f>WEEKDAY(D78)</f>
        <v>2</v>
      </c>
      <c r="G78" s="103"/>
      <c r="H78" s="89"/>
    </row>
    <row r="79" spans="1:8" ht="15.75">
      <c r="A79" s="75"/>
      <c r="B79" s="76"/>
      <c r="C79" s="635" t="s">
        <v>190</v>
      </c>
      <c r="D79" s="107">
        <f>DMAX('17_1'!A$12:L$43,'17_1'!$L$12,G72:G73)</f>
        <v>42977.531249999993</v>
      </c>
      <c r="E79" s="127" t="str">
        <f>IF(F79=1,"Domingo",IF(F79=2,"Lunes",IF(F79=3,"Martes",IF(F79=4,"Miercoles",IF(F79=5,"Jueves",IF(F79=6,"Viernes",IF(F79=7,"Sábado",0)))))))</f>
        <v>Miercoles</v>
      </c>
      <c r="F79" s="128">
        <f>WEEKDAY(D79)</f>
        <v>4</v>
      </c>
      <c r="G79" s="103"/>
      <c r="H79" s="89"/>
    </row>
    <row r="80" spans="1:8">
      <c r="A80" s="75"/>
      <c r="B80" s="76"/>
      <c r="C80" s="76"/>
      <c r="D80" s="76"/>
      <c r="E80" s="76"/>
      <c r="F80" s="106"/>
      <c r="G80" s="106"/>
      <c r="H80" s="89"/>
    </row>
    <row r="81" spans="1:8">
      <c r="A81" s="75"/>
      <c r="B81" s="331" t="str">
        <f>+Mensajes!$B$7</f>
        <v>PARA CUALQUIER MODIFICACION EN EL CUADRO DE TURNO COMUNIQUESE CON SU TOMERO</v>
      </c>
      <c r="C81" s="279"/>
      <c r="D81" s="76"/>
      <c r="E81" s="76"/>
      <c r="F81" s="76"/>
      <c r="G81" s="76"/>
      <c r="H81" s="89"/>
    </row>
    <row r="82" spans="1:8">
      <c r="A82" s="75"/>
      <c r="B82" s="332" t="str">
        <f>+Mensajes!$B$12</f>
        <v>Recuerde que con 1 (una) cuotas vigentes impagas se restringirá el servicio.</v>
      </c>
      <c r="C82" s="280"/>
      <c r="D82" s="76"/>
      <c r="E82" s="76"/>
      <c r="F82" s="76"/>
      <c r="G82" s="76"/>
      <c r="H82" s="89"/>
    </row>
    <row r="83" spans="1:8">
      <c r="A83" s="75"/>
      <c r="B83" s="108"/>
      <c r="C83" s="76"/>
      <c r="D83" s="76"/>
      <c r="E83" s="76"/>
      <c r="F83" s="76"/>
      <c r="G83" s="76"/>
      <c r="H83" s="89"/>
    </row>
    <row r="84" spans="1:8" ht="13.5" thickBot="1">
      <c r="A84" s="101"/>
      <c r="B84" s="387" t="str">
        <f>IF(DSUM('17_1'!$A$12:$P$90,16,G72:G73)=COUNTIF('17_1'!$A$12:$A$90,G73),"","Regularice su Deuda")</f>
        <v/>
      </c>
      <c r="C84" s="77"/>
      <c r="D84" s="77"/>
      <c r="E84" s="77"/>
      <c r="F84" s="77"/>
      <c r="G84" s="77"/>
      <c r="H84" s="78"/>
    </row>
  </sheetData>
  <phoneticPr fontId="0" type="noConversion"/>
  <pageMargins left="0.78740157480314965" right="0" top="0.98425196850393704" bottom="0.98425196850393704" header="0" footer="0"/>
  <pageSetup scale="75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4"/>
  <dimension ref="A1:U49"/>
  <sheetViews>
    <sheetView zoomScale="75" zoomScaleNormal="100" workbookViewId="0" xr3:uid="{62F1EA49-F163-5359-9764-B7CD00A4F86E}">
      <selection activeCell="H50" sqref="H50"/>
    </sheetView>
  </sheetViews>
  <sheetFormatPr defaultRowHeight="12.75"/>
  <cols>
    <col min="1" max="1" width="6.140625" bestFit="1" customWidth="1"/>
    <col min="2" max="2" width="5" customWidth="1"/>
    <col min="3" max="3" width="9.85546875" customWidth="1"/>
    <col min="4" max="4" width="11" bestFit="1" customWidth="1"/>
    <col min="5" max="5" width="15.28515625" bestFit="1" customWidth="1"/>
    <col min="6" max="6" width="13.7109375" bestFit="1" customWidth="1"/>
    <col min="7" max="7" width="28.7109375" customWidth="1"/>
    <col min="8" max="8" width="10.42578125" bestFit="1" customWidth="1"/>
    <col min="9" max="9" width="8.42578125" bestFit="1" customWidth="1"/>
    <col min="10" max="10" width="12.140625" customWidth="1"/>
    <col min="11" max="12" width="15.28515625" bestFit="1" customWidth="1"/>
    <col min="13" max="13" width="20.140625" customWidth="1"/>
    <col min="14" max="14" width="18" bestFit="1" customWidth="1"/>
    <col min="15" max="15" width="7.5703125" customWidth="1"/>
    <col min="16" max="16" width="6.5703125" customWidth="1"/>
    <col min="17" max="17" width="9" customWidth="1"/>
    <col min="18" max="19" width="10.140625" customWidth="1"/>
    <col min="20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0">
      <c r="A3" s="99"/>
      <c r="B3" s="99"/>
      <c r="C3" s="671" t="s">
        <v>123</v>
      </c>
      <c r="D3" s="671"/>
      <c r="E3" s="671"/>
      <c r="F3" s="671"/>
      <c r="G3" s="671"/>
      <c r="H3" s="681" t="s">
        <v>513</v>
      </c>
      <c r="I3" s="681"/>
      <c r="J3" s="681"/>
      <c r="K3" s="681"/>
      <c r="L3" s="99"/>
      <c r="M3" s="99"/>
    </row>
    <row r="4" spans="1:20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 ht="13.5" thickBo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20">
      <c r="A6" s="662" t="s">
        <v>124</v>
      </c>
      <c r="B6" s="663"/>
      <c r="C6" s="659" t="e">
        <f>+Hijuelas!#REF!</f>
        <v>#REF!</v>
      </c>
      <c r="D6" s="667"/>
      <c r="E6" s="660"/>
      <c r="F6" s="305"/>
      <c r="G6" s="306" t="s">
        <v>125</v>
      </c>
      <c r="H6" s="307">
        <f>+Hijuelas!G4</f>
        <v>3.9895833333333335</v>
      </c>
      <c r="I6" s="318"/>
      <c r="J6" s="99"/>
      <c r="K6" s="99"/>
      <c r="L6" s="99"/>
      <c r="M6" s="99"/>
    </row>
    <row r="7" spans="1:20" ht="13.5" thickBot="1">
      <c r="A7" s="664" t="s">
        <v>126</v>
      </c>
      <c r="B7" s="665"/>
      <c r="C7" s="668" t="e">
        <f>+C6+H6</f>
        <v>#REF!</v>
      </c>
      <c r="D7" s="669"/>
      <c r="E7" s="670"/>
      <c r="F7" s="305"/>
      <c r="G7" s="265" t="s">
        <v>127</v>
      </c>
      <c r="H7" s="308">
        <v>0.22916666666666666</v>
      </c>
      <c r="I7" s="318"/>
      <c r="J7" s="305"/>
      <c r="K7" s="99"/>
      <c r="L7" s="99"/>
      <c r="M7" s="99"/>
    </row>
    <row r="8" spans="1:20" ht="13.5" thickBot="1">
      <c r="A8" s="99"/>
      <c r="B8" s="99"/>
      <c r="C8" s="99"/>
      <c r="D8" s="99"/>
      <c r="E8" s="312" t="e">
        <f>+C7-C6</f>
        <v>#REF!</v>
      </c>
      <c r="F8" s="99"/>
      <c r="G8" s="310" t="s">
        <v>128</v>
      </c>
      <c r="H8" s="311">
        <v>0.125</v>
      </c>
      <c r="I8" s="318"/>
      <c r="J8" s="99"/>
      <c r="K8" s="99"/>
      <c r="L8" s="99"/>
      <c r="M8" s="99"/>
    </row>
    <row r="9" spans="1:20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  <row r="10" spans="1:20">
      <c r="A10" s="666" t="s">
        <v>129</v>
      </c>
      <c r="B10" s="666"/>
      <c r="C10" s="312">
        <f>H6-(H7+H8)</f>
        <v>3.635416666666667</v>
      </c>
      <c r="D10" s="636" t="s">
        <v>130</v>
      </c>
      <c r="E10" s="317">
        <f>+C10*60</f>
        <v>218.12500000000003</v>
      </c>
      <c r="F10" s="636" t="s">
        <v>131</v>
      </c>
      <c r="G10" s="315">
        <f>+H49</f>
        <v>201.89136000000002</v>
      </c>
      <c r="H10" s="636" t="s">
        <v>132</v>
      </c>
      <c r="I10" s="312">
        <f>+E10/G10</f>
        <v>1.0804077995214854</v>
      </c>
      <c r="J10" s="99"/>
      <c r="K10" s="99"/>
      <c r="L10" s="99"/>
      <c r="M10" s="99"/>
    </row>
    <row r="11" spans="1:20" ht="13.5" thickBot="1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76"/>
      <c r="N11" s="10"/>
      <c r="O11" s="10"/>
      <c r="P11" s="13"/>
      <c r="Q11" s="13"/>
      <c r="R11" s="13"/>
      <c r="S11" s="255"/>
      <c r="T11" s="255"/>
    </row>
    <row r="12" spans="1:20" ht="13.5" thickBot="1">
      <c r="A12" s="288" t="s">
        <v>134</v>
      </c>
      <c r="B12" s="285" t="s">
        <v>135</v>
      </c>
      <c r="C12" s="285" t="s">
        <v>136</v>
      </c>
      <c r="D12" s="285" t="s">
        <v>137</v>
      </c>
      <c r="E12" s="285" t="s">
        <v>138</v>
      </c>
      <c r="F12" s="285" t="s">
        <v>192</v>
      </c>
      <c r="G12" s="285" t="s">
        <v>140</v>
      </c>
      <c r="H12" s="285" t="s">
        <v>257</v>
      </c>
      <c r="I12" s="285" t="s">
        <v>142</v>
      </c>
      <c r="J12" s="285" t="s">
        <v>143</v>
      </c>
      <c r="K12" s="285" t="s">
        <v>193</v>
      </c>
      <c r="L12" s="285" t="s">
        <v>194</v>
      </c>
      <c r="M12" s="285" t="s">
        <v>146</v>
      </c>
      <c r="N12" s="286" t="s">
        <v>195</v>
      </c>
      <c r="O12" s="285" t="s">
        <v>148</v>
      </c>
      <c r="P12" s="285" t="s">
        <v>149</v>
      </c>
      <c r="Q12" s="285" t="s">
        <v>150</v>
      </c>
      <c r="R12" s="285" t="s">
        <v>151</v>
      </c>
      <c r="S12" s="285" t="s">
        <v>152</v>
      </c>
      <c r="T12" s="287" t="s">
        <v>153</v>
      </c>
    </row>
    <row r="13" spans="1:20" ht="27" thickTop="1" thickBot="1">
      <c r="A13" s="98">
        <v>1</v>
      </c>
      <c r="B13" s="47">
        <v>1252</v>
      </c>
      <c r="C13" s="260">
        <v>34</v>
      </c>
      <c r="D13" s="260">
        <v>2</v>
      </c>
      <c r="E13" s="85">
        <v>17.78</v>
      </c>
      <c r="F13" s="85" t="str">
        <f>IF(P13=0,"NO",IF(P13=1,"SI","CONDICIONAL"))</f>
        <v>SI</v>
      </c>
      <c r="G13" s="334" t="s">
        <v>311</v>
      </c>
      <c r="H13" s="125">
        <f>IF(Hijuelas!$G$5="fracción",IF(F13="NO",0,IF(Hijuelas!$G$6="si",IF(D13=1,E13,E13*0.8),E13)),IF(F13="NO",0,IF(Hijuelas!$G$6="si",IF(D13=1,ROUNDUP(E13,0),ROUNDUP(E13*0.8,0)),ROUNDUP(E13,0))))</f>
        <v>14.224000000000002</v>
      </c>
      <c r="I13" s="350">
        <v>8.3333333333333329E-2</v>
      </c>
      <c r="J13" s="350">
        <f>+$I$10/60*H13</f>
        <v>0.25612867567322684</v>
      </c>
      <c r="K13" s="341" t="e">
        <f>+C6+H7</f>
        <v>#REF!</v>
      </c>
      <c r="L13" s="341" t="e">
        <f>+K13+J13</f>
        <v>#REF!</v>
      </c>
      <c r="M13" s="242"/>
      <c r="N13" s="47"/>
      <c r="O13" s="27" t="str">
        <f>+CONCATENATE(B13,C13)</f>
        <v>125234</v>
      </c>
      <c r="P13" s="29">
        <f>VLOOKUP(O13,deuda!$A$1:$H$501,4,0)</f>
        <v>1</v>
      </c>
      <c r="Q13" s="29">
        <f>VLOOKUP(O13,deuda!A25:J523,5,0)</f>
        <v>0</v>
      </c>
      <c r="R13" s="29" t="str">
        <f>IF(VLOOKUP(O13,deuda!A25:J523,6,0)=0,"",VLOOKUP(O13,deuda!A25:J523,6,0))</f>
        <v/>
      </c>
      <c r="S13" s="116" t="str">
        <f>IF((VLOOKUP(O13,deuda!A25:J523,7,0))=0,"",VLOOKUP(O13,deuda!A25:J523,7,0))</f>
        <v/>
      </c>
      <c r="T13" s="117" t="str">
        <f>IF((VLOOKUP(O13,deuda!A25:J523,8,0))=0,"",VLOOKUP(O13,deuda!A25:J523,8,0))</f>
        <v/>
      </c>
    </row>
    <row r="14" spans="1:20" ht="26.25" thickBot="1">
      <c r="A14" s="24">
        <v>1</v>
      </c>
      <c r="B14" s="5">
        <v>1252</v>
      </c>
      <c r="C14" s="250">
        <v>61</v>
      </c>
      <c r="D14" s="250">
        <v>2</v>
      </c>
      <c r="E14" s="9">
        <v>29.019200000000001</v>
      </c>
      <c r="F14" s="9" t="str">
        <f>IF(P14=0,"NO",IF(P14=1,"SI","CONDICIONAL"))</f>
        <v>SI</v>
      </c>
      <c r="G14" s="335" t="s">
        <v>311</v>
      </c>
      <c r="H14" s="16">
        <f>IF(Hijuelas!$G$5="fracción",IF(F14="NO",0,IF(Hijuelas!$G$6="si",IF(D14=1,E14,E14*0.8),E14)),IF(F14="NO",0,IF(Hijuelas!$G$6="si",IF(D14=1,ROUNDUP(E14,0),ROUNDUP(E14*0.8,0)),ROUNDUP(E14,0))))</f>
        <v>23.215360000000004</v>
      </c>
      <c r="I14" s="340">
        <v>0</v>
      </c>
      <c r="J14" s="350">
        <f t="shared" ref="J14:J48" si="0">+$I$10/60*H14</f>
        <v>0.41803426687831857</v>
      </c>
      <c r="K14" s="341" t="e">
        <f>+L13</f>
        <v>#REF!</v>
      </c>
      <c r="L14" s="341" t="e">
        <f>+K14+J14+I14</f>
        <v>#REF!</v>
      </c>
      <c r="M14" s="71"/>
      <c r="N14" s="5"/>
      <c r="O14" s="27" t="str">
        <f t="shared" ref="O14:O48" si="1">+CONCATENATE(B14,C14)</f>
        <v>125261</v>
      </c>
      <c r="P14" s="29">
        <f>VLOOKUP(O14,deuda!$A$1:$H$501,4,0)</f>
        <v>1</v>
      </c>
      <c r="Q14" s="29">
        <f>VLOOKUP(O14,deuda!A26:J524,5,0)</f>
        <v>0</v>
      </c>
      <c r="R14" s="29" t="str">
        <f>IF(VLOOKUP(O14,deuda!A26:J524,6,0)=0,"",VLOOKUP(O14,deuda!A26:J524,6,0))</f>
        <v/>
      </c>
      <c r="S14" s="116" t="str">
        <f>IF((VLOOKUP(O14,deuda!A26:J524,7,0))=0,"",VLOOKUP(O14,deuda!A26:J524,7,0))</f>
        <v/>
      </c>
      <c r="T14" s="117" t="str">
        <f>IF((VLOOKUP(O14,deuda!A26:J524,8,0))=0,"",VLOOKUP(O14,deuda!A26:J524,8,0))</f>
        <v/>
      </c>
    </row>
    <row r="15" spans="1:20" ht="26.25" thickBot="1">
      <c r="A15" s="248">
        <v>2</v>
      </c>
      <c r="B15" s="5">
        <v>1252</v>
      </c>
      <c r="C15" s="179">
        <v>1</v>
      </c>
      <c r="D15" s="179">
        <v>2</v>
      </c>
      <c r="E15" s="20">
        <v>21.526199999999999</v>
      </c>
      <c r="F15" s="9" t="str">
        <f>IF(P15=0,"NO",IF(P15=1,"SI","CONDICIONAL"))</f>
        <v>SI</v>
      </c>
      <c r="G15" s="392" t="s">
        <v>312</v>
      </c>
      <c r="H15" s="16">
        <f>IF(Hijuelas!$G$5="fracción",IF(F15="NO",0,IF(Hijuelas!$G$6="si",IF(D15=1,E15,E15*0.8),E15)),IF(F15="NO",0,IF(Hijuelas!$G$6="si",IF(D15=1,ROUNDUP(E15,0),ROUNDUP(E15*0.8,0)),ROUNDUP(E15,0))))</f>
        <v>17.220960000000002</v>
      </c>
      <c r="I15" s="340">
        <v>0</v>
      </c>
      <c r="J15" s="350">
        <f t="shared" si="0"/>
        <v>0.31009432498745865</v>
      </c>
      <c r="K15" s="341" t="e">
        <f t="shared" ref="K15:K48" si="2">+L14</f>
        <v>#REF!</v>
      </c>
      <c r="L15" s="341" t="e">
        <f t="shared" ref="L15:L48" si="3">+K15+J15+I15</f>
        <v>#REF!</v>
      </c>
      <c r="M15" s="71"/>
      <c r="N15" s="5"/>
      <c r="O15" s="27" t="str">
        <f t="shared" si="1"/>
        <v>12521</v>
      </c>
      <c r="P15" s="29">
        <f>VLOOKUP(O15,deuda!$A$1:$H$501,4,0)</f>
        <v>1</v>
      </c>
      <c r="Q15" s="29">
        <f>VLOOKUP(O15,deuda!A27:J525,5,0)</f>
        <v>0</v>
      </c>
      <c r="R15" s="29" t="str">
        <f>IF(VLOOKUP(O15,deuda!A27:J525,6,0)=0,"",VLOOKUP(O15,deuda!A27:J525,6,0))</f>
        <v/>
      </c>
      <c r="S15" s="116" t="str">
        <f>IF((VLOOKUP(O15,deuda!A27:J525,7,0))=0,"",VLOOKUP(O15,deuda!A27:J525,7,0))</f>
        <v/>
      </c>
      <c r="T15" s="117" t="str">
        <f>IF((VLOOKUP(O15,deuda!A27:J525,8,0))=0,"",VLOOKUP(O15,deuda!A27:J525,8,0))</f>
        <v/>
      </c>
    </row>
    <row r="16" spans="1:20" ht="39" thickBot="1">
      <c r="A16" s="248">
        <v>2</v>
      </c>
      <c r="B16" s="5">
        <v>1252</v>
      </c>
      <c r="C16" s="250">
        <v>8</v>
      </c>
      <c r="D16" s="250">
        <v>2</v>
      </c>
      <c r="E16" s="9">
        <v>0.70760000000000001</v>
      </c>
      <c r="F16" s="9" t="str">
        <f>IF(P16=0,"NO",IF(P16=1,"SI","CONDICIONAL"))</f>
        <v>SI</v>
      </c>
      <c r="G16" s="335" t="s">
        <v>313</v>
      </c>
      <c r="H16" s="16">
        <f>IF(Hijuelas!$G$5="fracción",IF(F16="NO",0,IF(Hijuelas!$G$6="si",IF(D16=1,E16,E16*0.8),E16)),IF(F16="NO",0,IF(Hijuelas!$G$6="si",IF(D16=1,ROUNDUP(E16,0),ROUNDUP(E16*0.8,0)),ROUNDUP(E16,0))))</f>
        <v>0.56608000000000003</v>
      </c>
      <c r="I16" s="340">
        <v>0</v>
      </c>
      <c r="J16" s="350">
        <f t="shared" si="0"/>
        <v>1.0193287452552042E-2</v>
      </c>
      <c r="K16" s="341" t="e">
        <f t="shared" si="2"/>
        <v>#REF!</v>
      </c>
      <c r="L16" s="341" t="e">
        <f t="shared" si="3"/>
        <v>#REF!</v>
      </c>
      <c r="M16" s="71"/>
      <c r="N16" s="5"/>
      <c r="O16" s="27" t="str">
        <f t="shared" si="1"/>
        <v>12528</v>
      </c>
      <c r="P16" s="29">
        <f>VLOOKUP(O16,deuda!$A$1:$H$501,4,0)</f>
        <v>1</v>
      </c>
      <c r="Q16" s="29">
        <f>VLOOKUP(O16,deuda!A28:J526,5,0)</f>
        <v>0</v>
      </c>
      <c r="R16" s="29" t="str">
        <f>IF(VLOOKUP(O16,deuda!A28:J526,6,0)=0,"",VLOOKUP(O16,deuda!A28:J526,6,0))</f>
        <v/>
      </c>
      <c r="S16" s="116" t="str">
        <f>IF((VLOOKUP(O16,deuda!A28:J526,7,0))=0,"",VLOOKUP(O16,deuda!A28:J526,7,0))</f>
        <v/>
      </c>
      <c r="T16" s="117" t="str">
        <f>IF((VLOOKUP(O16,deuda!A28:J526,8,0))=0,"",VLOOKUP(O16,deuda!A28:J526,8,0))</f>
        <v/>
      </c>
    </row>
    <row r="17" spans="1:21" ht="13.5" thickBot="1">
      <c r="A17" s="248">
        <v>2</v>
      </c>
      <c r="B17" s="5">
        <v>1252</v>
      </c>
      <c r="C17" s="250">
        <v>13</v>
      </c>
      <c r="D17" s="250">
        <v>2</v>
      </c>
      <c r="E17" s="9">
        <v>9.7192000000000007</v>
      </c>
      <c r="F17" s="9" t="str">
        <f>IF(P17=0,"NO",IF(P17=1,"SI","CONDICIONAL"))</f>
        <v>SI</v>
      </c>
      <c r="G17" s="335" t="s">
        <v>314</v>
      </c>
      <c r="H17" s="16">
        <f>IF(Hijuelas!$G$5="fracción",IF(F17="NO",0,IF(Hijuelas!$G$6="si",IF(D17=1,E17,E17*0.8),E17)),IF(F17="NO",0,IF(Hijuelas!$G$6="si",IF(D17=1,ROUNDUP(E17,0),ROUNDUP(E17*0.8,0)),ROUNDUP(E17,0))))</f>
        <v>7.7753600000000009</v>
      </c>
      <c r="I17" s="340">
        <v>0</v>
      </c>
      <c r="J17" s="350">
        <f t="shared" si="0"/>
        <v>0.14000932646812295</v>
      </c>
      <c r="K17" s="341" t="e">
        <f t="shared" si="2"/>
        <v>#REF!</v>
      </c>
      <c r="L17" s="341" t="e">
        <f t="shared" si="3"/>
        <v>#REF!</v>
      </c>
      <c r="M17" s="71"/>
      <c r="N17" s="5"/>
      <c r="O17" s="27" t="str">
        <f t="shared" si="1"/>
        <v>125213</v>
      </c>
      <c r="P17" s="29">
        <f>VLOOKUP(O17,deuda!$A$1:$H$501,4,0)</f>
        <v>1</v>
      </c>
      <c r="Q17" s="29">
        <f>VLOOKUP(O17,deuda!A29:J527,5,0)</f>
        <v>0</v>
      </c>
      <c r="R17" s="29" t="str">
        <f>IF(VLOOKUP(O17,deuda!A29:J527,6,0)=0,"",VLOOKUP(O17,deuda!A29:J527,6,0))</f>
        <v/>
      </c>
      <c r="S17" s="116" t="str">
        <f>IF((VLOOKUP(O17,deuda!A29:J527,7,0))=0,"",VLOOKUP(O17,deuda!A29:J527,7,0))</f>
        <v/>
      </c>
      <c r="T17" s="117" t="str">
        <f>IF((VLOOKUP(O17,deuda!A29:J527,8,0))=0,"",VLOOKUP(O17,deuda!A29:J527,8,0))</f>
        <v/>
      </c>
      <c r="U17" s="348"/>
    </row>
    <row r="18" spans="1:21" ht="26.25" thickBot="1">
      <c r="A18" s="248">
        <v>2</v>
      </c>
      <c r="B18" s="5">
        <v>1252</v>
      </c>
      <c r="C18" s="250">
        <v>67</v>
      </c>
      <c r="D18" s="250">
        <v>2</v>
      </c>
      <c r="E18" s="9">
        <v>14.7372</v>
      </c>
      <c r="F18" s="9" t="str">
        <f t="shared" ref="F18:F37" si="4">IF(P18=0,"NO",IF(P18=1,"SI","CONDICIONAL"))</f>
        <v>SI</v>
      </c>
      <c r="G18" s="335" t="s">
        <v>312</v>
      </c>
      <c r="H18" s="16">
        <f>IF(Hijuelas!$G$5="fracción",IF(F18="NO",0,IF(Hijuelas!$G$6="si",IF(D18=1,E18,E18*0.8),E18)),IF(F18="NO",0,IF(Hijuelas!$G$6="si",IF(D18=1,ROUNDUP(E18,0),ROUNDUP(E18*0.8,0)),ROUNDUP(E18,0))))</f>
        <v>11.789760000000001</v>
      </c>
      <c r="I18" s="340">
        <v>0</v>
      </c>
      <c r="J18" s="350">
        <f t="shared" si="0"/>
        <v>0.21229581097477382</v>
      </c>
      <c r="K18" s="341" t="e">
        <f t="shared" si="2"/>
        <v>#REF!</v>
      </c>
      <c r="L18" s="341" t="e">
        <f t="shared" si="3"/>
        <v>#REF!</v>
      </c>
      <c r="M18" s="71"/>
      <c r="N18" s="5"/>
      <c r="O18" s="27" t="str">
        <f t="shared" si="1"/>
        <v>125267</v>
      </c>
      <c r="P18" s="29">
        <f>VLOOKUP(O18,deuda!$A$1:$H$501,4,0)</f>
        <v>1</v>
      </c>
      <c r="Q18" s="29">
        <f>VLOOKUP(O18,deuda!A30:J528,5,0)</f>
        <v>0</v>
      </c>
      <c r="R18" s="29" t="str">
        <f>IF(VLOOKUP(O18,deuda!A30:J528,6,0)=0,"",VLOOKUP(O18,deuda!A30:J528,6,0))</f>
        <v/>
      </c>
      <c r="S18" s="116" t="str">
        <f>IF((VLOOKUP(O18,deuda!A30:J528,7,0))=0,"",VLOOKUP(O18,deuda!A30:J528,7,0))</f>
        <v/>
      </c>
      <c r="T18" s="117" t="str">
        <f>IF((VLOOKUP(O18,deuda!A30:J528,8,0))=0,"",VLOOKUP(O18,deuda!A30:J528,8,0))</f>
        <v/>
      </c>
    </row>
    <row r="19" spans="1:21" ht="26.25" thickBot="1">
      <c r="A19" s="248">
        <v>2</v>
      </c>
      <c r="B19" s="5">
        <v>1252</v>
      </c>
      <c r="C19" s="250">
        <v>68</v>
      </c>
      <c r="D19" s="250">
        <v>2</v>
      </c>
      <c r="E19" s="9">
        <v>2.9535</v>
      </c>
      <c r="F19" s="9" t="str">
        <f t="shared" si="4"/>
        <v>SI</v>
      </c>
      <c r="G19" s="335" t="s">
        <v>312</v>
      </c>
      <c r="H19" s="16">
        <f>IF(Hijuelas!$G$5="fracción",IF(F19="NO",0,IF(Hijuelas!$G$6="si",IF(D19=1,E19,E19*0.8),E19)),IF(F19="NO",0,IF(Hijuelas!$G$6="si",IF(D19=1,ROUNDUP(E19,0),ROUNDUP(E19*0.8,0)),ROUNDUP(E19,0))))</f>
        <v>2.3628</v>
      </c>
      <c r="I19" s="340">
        <v>0</v>
      </c>
      <c r="J19" s="350">
        <f t="shared" si="0"/>
        <v>4.2546459145156097E-2</v>
      </c>
      <c r="K19" s="341" t="e">
        <f t="shared" si="2"/>
        <v>#REF!</v>
      </c>
      <c r="L19" s="341" t="e">
        <f t="shared" si="3"/>
        <v>#REF!</v>
      </c>
      <c r="M19" s="71"/>
      <c r="N19" s="5"/>
      <c r="O19" s="27" t="str">
        <f t="shared" si="1"/>
        <v>125268</v>
      </c>
      <c r="P19" s="29">
        <f>VLOOKUP(O19,deuda!$A$1:$H$501,4,0)</f>
        <v>1</v>
      </c>
      <c r="Q19" s="29">
        <f>VLOOKUP(O19,deuda!A31:J529,5,0)</f>
        <v>0</v>
      </c>
      <c r="R19" s="29" t="str">
        <f>IF(VLOOKUP(O19,deuda!A31:J529,6,0)=0,"",VLOOKUP(O19,deuda!A31:J529,6,0))</f>
        <v/>
      </c>
      <c r="S19" s="116" t="str">
        <f>IF((VLOOKUP(O19,deuda!A31:J529,7,0))=0,"",VLOOKUP(O19,deuda!A31:J529,7,0))</f>
        <v/>
      </c>
      <c r="T19" s="117" t="str">
        <f>IF((VLOOKUP(O19,deuda!A31:J529,8,0))=0,"",VLOOKUP(O19,deuda!A31:J529,8,0))</f>
        <v/>
      </c>
    </row>
    <row r="20" spans="1:21" ht="39" thickBot="1">
      <c r="A20" s="24">
        <v>3</v>
      </c>
      <c r="B20" s="5">
        <v>1252</v>
      </c>
      <c r="C20" s="250">
        <v>22</v>
      </c>
      <c r="D20" s="250">
        <v>2</v>
      </c>
      <c r="E20" s="9">
        <v>10</v>
      </c>
      <c r="F20" s="9" t="str">
        <f t="shared" si="4"/>
        <v>SI</v>
      </c>
      <c r="G20" s="335" t="s">
        <v>315</v>
      </c>
      <c r="H20" s="16">
        <f>IF(Hijuelas!$G$5="fracción",IF(F20="NO",0,IF(Hijuelas!$G$6="si",IF(D20=1,E20,E20*0.8),E20)),IF(F20="NO",0,IF(Hijuelas!$G$6="si",IF(D20=1,ROUNDUP(E20,0),ROUNDUP(E20*0.8,0)),ROUNDUP(E20,0))))</f>
        <v>8</v>
      </c>
      <c r="I20" s="340">
        <v>0</v>
      </c>
      <c r="J20" s="350">
        <f t="shared" si="0"/>
        <v>0.14405437326953138</v>
      </c>
      <c r="K20" s="341" t="e">
        <f t="shared" si="2"/>
        <v>#REF!</v>
      </c>
      <c r="L20" s="341" t="e">
        <f t="shared" si="3"/>
        <v>#REF!</v>
      </c>
      <c r="M20" s="71"/>
      <c r="N20" s="5"/>
      <c r="O20" s="27" t="str">
        <f t="shared" si="1"/>
        <v>125222</v>
      </c>
      <c r="P20" s="29">
        <f>VLOOKUP(O20,deuda!$A$1:$H$501,4,0)</f>
        <v>1</v>
      </c>
      <c r="Q20" s="29">
        <f>VLOOKUP(O20,deuda!A32:J530,5,0)</f>
        <v>0</v>
      </c>
      <c r="R20" s="29" t="str">
        <f>IF(VLOOKUP(O20,deuda!A32:J530,6,0)=0,"",VLOOKUP(O20,deuda!A32:J530,6,0))</f>
        <v/>
      </c>
      <c r="S20" s="116" t="str">
        <f>IF((VLOOKUP(O20,deuda!A32:J530,7,0))=0,"",VLOOKUP(O20,deuda!A32:J530,7,0))</f>
        <v/>
      </c>
      <c r="T20" s="117" t="str">
        <f>IF((VLOOKUP(O20,deuda!A32:J530,8,0))=0,"",VLOOKUP(O20,deuda!A32:J530,8,0))</f>
        <v/>
      </c>
    </row>
    <row r="21" spans="1:21" ht="13.5" thickBot="1">
      <c r="A21" s="265">
        <v>3</v>
      </c>
      <c r="B21" s="5">
        <v>1252</v>
      </c>
      <c r="C21" s="251">
        <v>33</v>
      </c>
      <c r="D21" s="251">
        <v>2</v>
      </c>
      <c r="E21" s="252">
        <v>8.3978000000000002</v>
      </c>
      <c r="F21" s="9" t="str">
        <f t="shared" si="4"/>
        <v>SI</v>
      </c>
      <c r="G21" s="336" t="s">
        <v>316</v>
      </c>
      <c r="H21" s="16">
        <f>IF(Hijuelas!$G$5="fracción",IF(F21="NO",0,IF(Hijuelas!$G$6="si",IF(D21=1,E21,E21*0.8),E21)),IF(F21="NO",0,IF(Hijuelas!$G$6="si",IF(D21=1,ROUNDUP(E21,0),ROUNDUP(E21*0.8,0)),ROUNDUP(E21,0))))</f>
        <v>6.7182400000000007</v>
      </c>
      <c r="I21" s="340">
        <v>0</v>
      </c>
      <c r="J21" s="350">
        <f t="shared" si="0"/>
        <v>0.12097398158428707</v>
      </c>
      <c r="K21" s="341" t="e">
        <f t="shared" si="2"/>
        <v>#REF!</v>
      </c>
      <c r="L21" s="341" t="e">
        <f t="shared" si="3"/>
        <v>#REF!</v>
      </c>
      <c r="M21" s="71"/>
      <c r="N21" s="5"/>
      <c r="O21" s="27" t="str">
        <f t="shared" si="1"/>
        <v>125233</v>
      </c>
      <c r="P21" s="29">
        <f>VLOOKUP(O21,deuda!$A$1:$H$501,4,0)</f>
        <v>1</v>
      </c>
      <c r="Q21" s="29">
        <f>VLOOKUP(O21,deuda!A33:J531,5,0)</f>
        <v>0</v>
      </c>
      <c r="R21" s="29" t="str">
        <f>IF(VLOOKUP(O21,deuda!A33:J531,6,0)=0,"",VLOOKUP(O21,deuda!A33:J531,6,0))</f>
        <v/>
      </c>
      <c r="S21" s="116" t="str">
        <f>IF((VLOOKUP(O21,deuda!A33:J531,7,0))=0,"",VLOOKUP(O21,deuda!A33:J531,7,0))</f>
        <v/>
      </c>
      <c r="T21" s="117" t="str">
        <f>IF((VLOOKUP(O21,deuda!A33:J531,8,0))=0,"",VLOOKUP(O21,deuda!A33:J531,8,0))</f>
        <v/>
      </c>
    </row>
    <row r="22" spans="1:21" ht="26.25" thickBot="1">
      <c r="A22" s="24">
        <v>4</v>
      </c>
      <c r="B22" s="5">
        <v>1252</v>
      </c>
      <c r="C22" s="250">
        <v>74</v>
      </c>
      <c r="D22" s="250">
        <v>2</v>
      </c>
      <c r="E22" s="9">
        <v>10</v>
      </c>
      <c r="F22" s="9" t="str">
        <f t="shared" si="4"/>
        <v>SI</v>
      </c>
      <c r="G22" s="335" t="s">
        <v>317</v>
      </c>
      <c r="H22" s="16">
        <f>IF(Hijuelas!$G$5="fracción",IF(F22="NO",0,IF(Hijuelas!$G$6="si",IF(D22=1,E22,E22*0.8),E22)),IF(F22="NO",0,IF(Hijuelas!$G$6="si",IF(D22=1,ROUNDUP(E22,0),ROUNDUP(E22*0.8,0)),ROUNDUP(E22,0))))</f>
        <v>8</v>
      </c>
      <c r="I22" s="340">
        <v>0</v>
      </c>
      <c r="J22" s="350">
        <f t="shared" si="0"/>
        <v>0.14405437326953138</v>
      </c>
      <c r="K22" s="341" t="e">
        <f t="shared" si="2"/>
        <v>#REF!</v>
      </c>
      <c r="L22" s="341" t="e">
        <f t="shared" si="3"/>
        <v>#REF!</v>
      </c>
      <c r="M22" s="71"/>
      <c r="N22" s="5"/>
      <c r="O22" s="27" t="str">
        <f t="shared" si="1"/>
        <v>125274</v>
      </c>
      <c r="P22" s="29">
        <f>VLOOKUP(O22,deuda!$A$1:$H$501,4,0)</f>
        <v>1</v>
      </c>
      <c r="Q22" s="29">
        <f>VLOOKUP(O22,deuda!A34:J532,5,0)</f>
        <v>0</v>
      </c>
      <c r="R22" s="29" t="str">
        <f>IF(VLOOKUP(O22,deuda!A34:J532,6,0)=0,"",VLOOKUP(O22,deuda!A34:J532,6,0))</f>
        <v/>
      </c>
      <c r="S22" s="116" t="str">
        <f>IF((VLOOKUP(O22,deuda!A34:J532,7,0))=0,"",VLOOKUP(O22,deuda!A34:J532,7,0))</f>
        <v/>
      </c>
      <c r="T22" s="117" t="str">
        <f>IF((VLOOKUP(O22,deuda!A34:J532,8,0))=0,"",VLOOKUP(O22,deuda!A34:J532,8,0))</f>
        <v/>
      </c>
    </row>
    <row r="23" spans="1:21" ht="26.25" thickBot="1">
      <c r="A23" s="24">
        <v>4</v>
      </c>
      <c r="B23" s="5">
        <v>1252</v>
      </c>
      <c r="C23" s="250">
        <v>72</v>
      </c>
      <c r="D23" s="250">
        <v>2</v>
      </c>
      <c r="E23" s="9">
        <v>9.0548999999999999</v>
      </c>
      <c r="F23" s="9" t="str">
        <f t="shared" si="4"/>
        <v>SI</v>
      </c>
      <c r="G23" s="335" t="s">
        <v>319</v>
      </c>
      <c r="H23" s="16">
        <f>IF(Hijuelas!$G$5="fracción",IF(F23="NO",0,IF(Hijuelas!$G$6="si",IF(D23=1,E23,E23*0.8),E23)),IF(F23="NO",0,IF(Hijuelas!$G$6="si",IF(D23=1,ROUNDUP(E23,0),ROUNDUP(E23*0.8,0)),ROUNDUP(E23,0))))</f>
        <v>7.2439200000000001</v>
      </c>
      <c r="I23" s="340">
        <v>0</v>
      </c>
      <c r="J23" s="350">
        <f t="shared" si="0"/>
        <v>0.13043979445182796</v>
      </c>
      <c r="K23" s="341" t="e">
        <f t="shared" si="2"/>
        <v>#REF!</v>
      </c>
      <c r="L23" s="341" t="e">
        <f t="shared" si="3"/>
        <v>#REF!</v>
      </c>
      <c r="M23" s="71"/>
      <c r="N23" s="5"/>
      <c r="O23" s="27" t="str">
        <f t="shared" si="1"/>
        <v>125272</v>
      </c>
      <c r="P23" s="29">
        <f>VLOOKUP(O23,deuda!$A$1:$H$501,4,0)</f>
        <v>1</v>
      </c>
      <c r="Q23" s="29">
        <f>VLOOKUP(O23,deuda!A35:J533,5,0)</f>
        <v>0</v>
      </c>
      <c r="R23" s="29" t="str">
        <f>IF(VLOOKUP(O23,deuda!A35:J533,6,0)=0,"",VLOOKUP(O23,deuda!A35:J533,6,0))</f>
        <v/>
      </c>
      <c r="S23" s="116" t="str">
        <f>IF((VLOOKUP(O23,deuda!A35:J533,7,0))=0,"",VLOOKUP(O23,deuda!A35:J533,7,0))</f>
        <v/>
      </c>
      <c r="T23" s="117" t="str">
        <f>IF((VLOOKUP(O23,deuda!A35:J533,8,0))=0,"",VLOOKUP(O23,deuda!A35:J533,8,0))</f>
        <v/>
      </c>
    </row>
    <row r="24" spans="1:21" s="73" customFormat="1" ht="26.25" thickBot="1">
      <c r="A24" s="248">
        <v>5</v>
      </c>
      <c r="B24" s="71">
        <v>1252</v>
      </c>
      <c r="C24" s="179">
        <v>80</v>
      </c>
      <c r="D24" s="179">
        <v>2</v>
      </c>
      <c r="E24" s="20">
        <v>4.2091000000000003</v>
      </c>
      <c r="F24" s="20" t="str">
        <f t="shared" si="4"/>
        <v>SI</v>
      </c>
      <c r="G24" s="392" t="s">
        <v>320</v>
      </c>
      <c r="H24" s="481">
        <f>IF(Hijuelas!$G$5="fracción",IF(F24="NO",0,IF(Hijuelas!$G$6="si",IF(D24=1,E24,E24*0.8),E24)),IF(F24="NO",0,IF(Hijuelas!$G$6="si",IF(D24=1,ROUNDUP(E24,0),ROUNDUP(E24*0.8,0)),ROUNDUP(E24,0))))</f>
        <v>3.3672800000000005</v>
      </c>
      <c r="I24" s="340">
        <v>0</v>
      </c>
      <c r="J24" s="350">
        <f t="shared" si="0"/>
        <v>6.0633926252878466E-2</v>
      </c>
      <c r="K24" s="341" t="e">
        <f t="shared" si="2"/>
        <v>#REF!</v>
      </c>
      <c r="L24" s="341" t="e">
        <f t="shared" si="3"/>
        <v>#REF!</v>
      </c>
      <c r="M24" s="71"/>
      <c r="N24" s="71"/>
      <c r="O24" s="27" t="str">
        <f t="shared" si="1"/>
        <v>125280</v>
      </c>
      <c r="P24" s="29">
        <f>VLOOKUP(O24,deuda!$A$1:$H$501,4,0)</f>
        <v>1</v>
      </c>
      <c r="Q24" s="29">
        <f>VLOOKUP(O24,deuda!A36:J534,5,0)</f>
        <v>0</v>
      </c>
      <c r="R24" s="29" t="str">
        <f>IF(VLOOKUP(O24,deuda!A36:J534,6,0)=0,"",VLOOKUP(O24,deuda!A36:J534,6,0))</f>
        <v/>
      </c>
      <c r="S24" s="116" t="str">
        <f>IF((VLOOKUP(O24,deuda!A36:J534,7,0))=0,"",VLOOKUP(O24,deuda!A36:J534,7,0))</f>
        <v/>
      </c>
      <c r="T24" s="117" t="str">
        <f>IF((VLOOKUP(O24,deuda!A36:J534,8,0))=0,"",VLOOKUP(O24,deuda!A36:J534,8,0))</f>
        <v/>
      </c>
    </row>
    <row r="25" spans="1:21" ht="26.25" thickBot="1">
      <c r="A25" s="24">
        <v>6</v>
      </c>
      <c r="B25" s="5">
        <v>1252</v>
      </c>
      <c r="C25" s="250">
        <v>75</v>
      </c>
      <c r="D25" s="250">
        <v>2</v>
      </c>
      <c r="E25" s="9">
        <v>10.0418</v>
      </c>
      <c r="F25" s="9" t="str">
        <f t="shared" si="4"/>
        <v>NO</v>
      </c>
      <c r="G25" s="335" t="s">
        <v>320</v>
      </c>
      <c r="H25" s="16">
        <f>IF(Hijuelas!$G$5="fracción",IF(F25="NO",0,IF(Hijuelas!$G$6="si",IF(D25=1,E25,E25*0.8),E25)),IF(F25="NO",0,IF(Hijuelas!$G$6="si",IF(D25=1,ROUNDUP(E25,0),ROUNDUP(E25*0.8,0)),ROUNDUP(E25,0))))</f>
        <v>0</v>
      </c>
      <c r="I25" s="340">
        <v>0</v>
      </c>
      <c r="J25" s="350">
        <f t="shared" si="0"/>
        <v>0</v>
      </c>
      <c r="K25" s="341" t="e">
        <f t="shared" si="2"/>
        <v>#REF!</v>
      </c>
      <c r="L25" s="341" t="e">
        <f t="shared" si="3"/>
        <v>#REF!</v>
      </c>
      <c r="M25" s="71"/>
      <c r="N25" s="5"/>
      <c r="O25" s="27" t="str">
        <f t="shared" si="1"/>
        <v>125275</v>
      </c>
      <c r="P25" s="29">
        <f>VLOOKUP(O25,deuda!$A$1:$H$501,4,0)</f>
        <v>0</v>
      </c>
      <c r="Q25" s="29">
        <f>VLOOKUP(O25,deuda!A37:J535,5,0)</f>
        <v>3</v>
      </c>
      <c r="R25" s="29" t="str">
        <f>IF(VLOOKUP(O25,deuda!A37:J535,6,0)=0,"",VLOOKUP(O25,deuda!A37:J535,6,0))</f>
        <v/>
      </c>
      <c r="S25" s="116" t="str">
        <f>IF((VLOOKUP(O25,deuda!A37:J535,7,0))=0,"",VLOOKUP(O25,deuda!A37:J535,7,0))</f>
        <v/>
      </c>
      <c r="T25" s="117" t="str">
        <f>IF((VLOOKUP(O25,deuda!A37:J535,8,0))=0,"",VLOOKUP(O25,deuda!A37:J535,8,0))</f>
        <v/>
      </c>
    </row>
    <row r="26" spans="1:21" ht="13.5" thickBot="1">
      <c r="A26" s="265">
        <v>11</v>
      </c>
      <c r="B26" s="5">
        <v>1252</v>
      </c>
      <c r="C26" s="251">
        <v>41</v>
      </c>
      <c r="D26" s="251">
        <v>2</v>
      </c>
      <c r="E26" s="252">
        <v>7.5000999999999998</v>
      </c>
      <c r="F26" s="9" t="str">
        <f>IF(P26=0,"NO",IF(P26=1,"SI","CONDICIONAL"))</f>
        <v>SI</v>
      </c>
      <c r="G26" s="336" t="s">
        <v>321</v>
      </c>
      <c r="H26" s="16">
        <f>IF(Hijuelas!$G$5="fracción",IF(F26="NO",0,IF(Hijuelas!$G$6="si",IF(D26=1,E26,E26*0.8),E26)),IF(F26="NO",0,IF(Hijuelas!$G$6="si",IF(D26=1,ROUNDUP(E26,0),ROUNDUP(E26*0.8,0)),ROUNDUP(E26,0))))</f>
        <v>6.0000800000000005</v>
      </c>
      <c r="I26" s="340">
        <v>0</v>
      </c>
      <c r="J26" s="350">
        <f>+$I$10/60*H26</f>
        <v>0.10804222049588125</v>
      </c>
      <c r="K26" s="341" t="e">
        <f t="shared" si="2"/>
        <v>#REF!</v>
      </c>
      <c r="L26" s="341" t="e">
        <f t="shared" si="3"/>
        <v>#REF!</v>
      </c>
      <c r="M26" s="71"/>
      <c r="N26" s="5"/>
      <c r="O26" s="27" t="str">
        <f t="shared" si="1"/>
        <v>125241</v>
      </c>
      <c r="P26" s="29">
        <f>VLOOKUP(O26,deuda!$A$1:$H$501,4,0)</f>
        <v>1</v>
      </c>
      <c r="Q26" s="29">
        <f>VLOOKUP(O26,deuda!A38:J536,5,0)</f>
        <v>1</v>
      </c>
      <c r="R26" s="29" t="str">
        <f>IF(VLOOKUP(O26,deuda!A38:J536,6,0)=0,"",VLOOKUP(O26,deuda!A38:J536,6,0))</f>
        <v/>
      </c>
      <c r="S26" s="116" t="str">
        <f>IF((VLOOKUP(O26,deuda!A38:J536,7,0))=0,"",VLOOKUP(O26,deuda!A38:J536,7,0))</f>
        <v/>
      </c>
      <c r="T26" s="117" t="str">
        <f>IF((VLOOKUP(O26,deuda!A38:J536,8,0))=0,"",VLOOKUP(O26,deuda!A38:J536,8,0))</f>
        <v/>
      </c>
    </row>
    <row r="27" spans="1:21" ht="13.5" thickBot="1">
      <c r="A27" s="24">
        <v>7</v>
      </c>
      <c r="B27" s="5">
        <v>1252</v>
      </c>
      <c r="C27" s="250">
        <v>62</v>
      </c>
      <c r="D27" s="250">
        <v>2</v>
      </c>
      <c r="E27" s="9">
        <v>2.0388000000000002</v>
      </c>
      <c r="F27" s="9" t="str">
        <f t="shared" si="4"/>
        <v>SI</v>
      </c>
      <c r="G27" s="335" t="s">
        <v>327</v>
      </c>
      <c r="H27" s="16">
        <f>IF(Hijuelas!$G$5="fracción",IF(F27="NO",0,IF(Hijuelas!$G$6="si",IF(D27=1,E27,E27*0.8),E27)),IF(F27="NO",0,IF(Hijuelas!$G$6="si",IF(D27=1,ROUNDUP(E27,0),ROUNDUP(E27*0.8,0)),ROUNDUP(E27,0))))</f>
        <v>1.6310400000000003</v>
      </c>
      <c r="I27" s="340">
        <v>0</v>
      </c>
      <c r="J27" s="350">
        <f t="shared" si="0"/>
        <v>2.9369805622192064E-2</v>
      </c>
      <c r="K27" s="341" t="e">
        <f t="shared" si="2"/>
        <v>#REF!</v>
      </c>
      <c r="L27" s="341" t="e">
        <f t="shared" si="3"/>
        <v>#REF!</v>
      </c>
      <c r="M27" s="71"/>
      <c r="N27" s="5"/>
      <c r="O27" s="27" t="str">
        <f t="shared" si="1"/>
        <v>125262</v>
      </c>
      <c r="P27" s="29">
        <f>VLOOKUP(O27,deuda!$A$1:$H$501,4,0)</f>
        <v>1</v>
      </c>
      <c r="Q27" s="29">
        <f>VLOOKUP(O27,deuda!A39:J537,5,0)</f>
        <v>1</v>
      </c>
      <c r="R27" s="29" t="str">
        <f>IF(VLOOKUP(O27,deuda!A39:J537,6,0)=0,"",VLOOKUP(O27,deuda!A39:J537,6,0))</f>
        <v/>
      </c>
      <c r="S27" s="116" t="str">
        <f>IF((VLOOKUP(O27,deuda!A39:J537,7,0))=0,"",VLOOKUP(O27,deuda!A39:J537,7,0))</f>
        <v/>
      </c>
      <c r="T27" s="117" t="str">
        <f>IF((VLOOKUP(O27,deuda!A39:J537,8,0))=0,"",VLOOKUP(O27,deuda!A39:J537,8,0))</f>
        <v/>
      </c>
    </row>
    <row r="28" spans="1:21" ht="13.5" thickBot="1">
      <c r="A28" s="24">
        <v>7</v>
      </c>
      <c r="B28" s="5">
        <v>1252</v>
      </c>
      <c r="C28" s="250">
        <v>65</v>
      </c>
      <c r="D28" s="250">
        <v>2</v>
      </c>
      <c r="E28" s="9">
        <v>0.56010000000000004</v>
      </c>
      <c r="F28" s="9" t="str">
        <f t="shared" si="4"/>
        <v>SI</v>
      </c>
      <c r="G28" s="335" t="s">
        <v>327</v>
      </c>
      <c r="H28" s="16">
        <f>IF(Hijuelas!$G$5="fracción",IF(F28="NO",0,IF(Hijuelas!$G$6="si",IF(D28=1,E28,E28*0.8),E28)),IF(F28="NO",0,IF(Hijuelas!$G$6="si",IF(D28=1,ROUNDUP(E28,0),ROUNDUP(E28*0.8,0)),ROUNDUP(E28,0))))</f>
        <v>0.44808000000000003</v>
      </c>
      <c r="I28" s="340">
        <v>0</v>
      </c>
      <c r="J28" s="350">
        <f t="shared" si="0"/>
        <v>8.0684854468264528E-3</v>
      </c>
      <c r="K28" s="341" t="e">
        <f t="shared" si="2"/>
        <v>#REF!</v>
      </c>
      <c r="L28" s="341" t="e">
        <f t="shared" si="3"/>
        <v>#REF!</v>
      </c>
      <c r="M28" s="71"/>
      <c r="N28" s="5"/>
      <c r="O28" s="27" t="str">
        <f t="shared" si="1"/>
        <v>125265</v>
      </c>
      <c r="P28" s="29">
        <f>VLOOKUP(O28,deuda!$A$1:$H$501,4,0)</f>
        <v>1</v>
      </c>
      <c r="Q28" s="29">
        <f>VLOOKUP(O28,deuda!A40:J538,5,0)</f>
        <v>0</v>
      </c>
      <c r="R28" s="29" t="str">
        <f>IF(VLOOKUP(O28,deuda!A40:J538,6,0)=0,"",VLOOKUP(O28,deuda!A40:J538,6,0))</f>
        <v/>
      </c>
      <c r="S28" s="116" t="str">
        <f>IF((VLOOKUP(O28,deuda!A40:J538,7,0))=0,"",VLOOKUP(O28,deuda!A40:J538,7,0))</f>
        <v/>
      </c>
      <c r="T28" s="117" t="str">
        <f>IF((VLOOKUP(O28,deuda!A40:J538,8,0))=0,"",VLOOKUP(O28,deuda!A40:J538,8,0))</f>
        <v/>
      </c>
    </row>
    <row r="29" spans="1:21" ht="13.5" thickBot="1">
      <c r="A29" s="24">
        <v>7</v>
      </c>
      <c r="B29" s="5">
        <v>1252</v>
      </c>
      <c r="C29" s="250">
        <v>66</v>
      </c>
      <c r="D29" s="250">
        <v>2</v>
      </c>
      <c r="E29" s="9">
        <v>0.59789999999999999</v>
      </c>
      <c r="F29" s="9" t="str">
        <f t="shared" si="4"/>
        <v>SI</v>
      </c>
      <c r="G29" s="335" t="s">
        <v>327</v>
      </c>
      <c r="H29" s="16">
        <f>IF(Hijuelas!$G$5="fracción",IF(F29="NO",0,IF(Hijuelas!$G$6="si",IF(D29=1,E29,E29*0.8),E29)),IF(F29="NO",0,IF(Hijuelas!$G$6="si",IF(D29=1,ROUNDUP(E29,0),ROUNDUP(E29*0.8,0)),ROUNDUP(E29,0))))</f>
        <v>0.47832000000000002</v>
      </c>
      <c r="I29" s="340">
        <v>0</v>
      </c>
      <c r="J29" s="350">
        <f t="shared" si="0"/>
        <v>8.6130109777852824E-3</v>
      </c>
      <c r="K29" s="341" t="e">
        <f t="shared" si="2"/>
        <v>#REF!</v>
      </c>
      <c r="L29" s="341" t="e">
        <f t="shared" si="3"/>
        <v>#REF!</v>
      </c>
      <c r="M29" s="71"/>
      <c r="N29" s="5"/>
      <c r="O29" s="27" t="str">
        <f t="shared" si="1"/>
        <v>125266</v>
      </c>
      <c r="P29" s="29">
        <f>VLOOKUP(O29,deuda!$A$1:$H$501,4,0)</f>
        <v>1</v>
      </c>
      <c r="Q29" s="29">
        <f>VLOOKUP(O29,deuda!A41:J539,5,0)</f>
        <v>2</v>
      </c>
      <c r="R29" s="29" t="str">
        <f>IF(VLOOKUP(O29,deuda!A41:J539,6,0)=0,"",VLOOKUP(O29,deuda!A41:J539,6,0))</f>
        <v/>
      </c>
      <c r="S29" s="116" t="str">
        <f>IF((VLOOKUP(O29,deuda!A41:J539,7,0))=0,"",VLOOKUP(O29,deuda!A41:J539,7,0))</f>
        <v/>
      </c>
      <c r="T29" s="117" t="str">
        <f>IF((VLOOKUP(O29,deuda!A41:J539,8,0))=0,"",VLOOKUP(O29,deuda!A41:J539,8,0))</f>
        <v/>
      </c>
    </row>
    <row r="30" spans="1:21" ht="13.5" thickBot="1">
      <c r="A30" s="24">
        <v>7</v>
      </c>
      <c r="B30" s="5">
        <v>1252</v>
      </c>
      <c r="C30" s="250">
        <v>76</v>
      </c>
      <c r="D30" s="250">
        <v>2</v>
      </c>
      <c r="E30" s="9">
        <v>11.2311</v>
      </c>
      <c r="F30" s="9" t="str">
        <f t="shared" si="4"/>
        <v>SI</v>
      </c>
      <c r="G30" s="335" t="s">
        <v>326</v>
      </c>
      <c r="H30" s="16">
        <f>IF(Hijuelas!$G$5="fracción",IF(F30="NO",0,IF(Hijuelas!$G$6="si",IF(D30=1,E30,E30*0.8),E30)),IF(F30="NO",0,IF(Hijuelas!$G$6="si",IF(D30=1,ROUNDUP(E30,0),ROUNDUP(E30*0.8,0)),ROUNDUP(E30,0))))</f>
        <v>8.9848800000000004</v>
      </c>
      <c r="I30" s="340">
        <v>0</v>
      </c>
      <c r="J30" s="350">
        <f t="shared" si="0"/>
        <v>0.16178890716274341</v>
      </c>
      <c r="K30" s="341" t="e">
        <f t="shared" si="2"/>
        <v>#REF!</v>
      </c>
      <c r="L30" s="341" t="e">
        <f t="shared" si="3"/>
        <v>#REF!</v>
      </c>
      <c r="M30" s="71"/>
      <c r="N30" s="5"/>
      <c r="O30" s="27" t="str">
        <f t="shared" si="1"/>
        <v>125276</v>
      </c>
      <c r="P30" s="29">
        <f>VLOOKUP(O30,deuda!$A$1:$H$501,4,0)</f>
        <v>1</v>
      </c>
      <c r="Q30" s="29">
        <f>VLOOKUP(O30,deuda!A42:J540,5,0)</f>
        <v>1</v>
      </c>
      <c r="R30" s="29" t="str">
        <f>IF(VLOOKUP(O30,deuda!A42:J540,6,0)=0,"",VLOOKUP(O30,deuda!A42:J540,6,0))</f>
        <v/>
      </c>
      <c r="S30" s="116" t="str">
        <f>IF((VLOOKUP(O30,deuda!A42:J540,7,0))=0,"",VLOOKUP(O30,deuda!A42:J540,7,0))</f>
        <v/>
      </c>
      <c r="T30" s="117" t="str">
        <f>IF((VLOOKUP(O30,deuda!A42:J540,8,0))=0,"",VLOOKUP(O30,deuda!A42:J540,8,0))</f>
        <v/>
      </c>
    </row>
    <row r="31" spans="1:21" ht="13.5" thickBot="1">
      <c r="A31" s="24">
        <v>8</v>
      </c>
      <c r="B31" s="5">
        <v>1252</v>
      </c>
      <c r="C31" s="250">
        <v>63</v>
      </c>
      <c r="D31" s="250">
        <v>2</v>
      </c>
      <c r="E31" s="9">
        <v>1.5829</v>
      </c>
      <c r="F31" s="9" t="str">
        <f t="shared" si="4"/>
        <v>SI</v>
      </c>
      <c r="G31" s="335" t="s">
        <v>577</v>
      </c>
      <c r="H31" s="16">
        <f>IF(Hijuelas!$G$5="fracción",IF(F31="NO",0,IF(Hijuelas!$G$6="si",IF(D31=1,E31,E31*0.8),E31)),IF(F31="NO",0,IF(Hijuelas!$G$6="si",IF(D31=1,ROUNDUP(E31,0),ROUNDUP(E31*0.8,0)),ROUNDUP(E31,0))))</f>
        <v>1.2663200000000001</v>
      </c>
      <c r="I31" s="340">
        <v>0</v>
      </c>
      <c r="J31" s="350">
        <f t="shared" si="0"/>
        <v>2.2802366744834126E-2</v>
      </c>
      <c r="K31" s="341" t="e">
        <f t="shared" si="2"/>
        <v>#REF!</v>
      </c>
      <c r="L31" s="341" t="e">
        <f t="shared" si="3"/>
        <v>#REF!</v>
      </c>
      <c r="M31" s="71"/>
      <c r="N31" s="5"/>
      <c r="O31" s="27" t="str">
        <f t="shared" si="1"/>
        <v>125263</v>
      </c>
      <c r="P31" s="29">
        <f>VLOOKUP(O31,deuda!$A$1:$H$501,4,0)</f>
        <v>1</v>
      </c>
      <c r="Q31" s="29">
        <f>VLOOKUP(O31,deuda!A43:J541,5,0)</f>
        <v>1</v>
      </c>
      <c r="R31" s="29" t="str">
        <f>IF(VLOOKUP(O31,deuda!A43:J541,6,0)=0,"",VLOOKUP(O31,deuda!A43:J541,6,0))</f>
        <v/>
      </c>
      <c r="S31" s="116" t="str">
        <f>IF((VLOOKUP(O31,deuda!A43:J541,7,0))=0,"",VLOOKUP(O31,deuda!A43:J541,7,0))</f>
        <v/>
      </c>
      <c r="T31" s="117" t="str">
        <f>IF((VLOOKUP(O31,deuda!A43:J541,8,0))=0,"",VLOOKUP(O31,deuda!A43:J541,8,0))</f>
        <v/>
      </c>
    </row>
    <row r="32" spans="1:21" ht="13.5" thickBot="1">
      <c r="A32" s="24">
        <v>8</v>
      </c>
      <c r="B32" s="5">
        <v>1252</v>
      </c>
      <c r="C32" s="250">
        <v>64</v>
      </c>
      <c r="D32" s="250">
        <v>2</v>
      </c>
      <c r="E32" s="9">
        <v>0.74</v>
      </c>
      <c r="F32" s="9" t="str">
        <f t="shared" si="4"/>
        <v>SI</v>
      </c>
      <c r="G32" s="335" t="s">
        <v>577</v>
      </c>
      <c r="H32" s="16">
        <f>IF(Hijuelas!$G$5="fracción",IF(F32="NO",0,IF(Hijuelas!$G$6="si",IF(D32=1,E32,E32*0.8),E32)),IF(F32="NO",0,IF(Hijuelas!$G$6="si",IF(D32=1,ROUNDUP(E32,0),ROUNDUP(E32*0.8,0)),ROUNDUP(E32,0))))</f>
        <v>0.59199999999999997</v>
      </c>
      <c r="I32" s="340">
        <v>0</v>
      </c>
      <c r="J32" s="350">
        <f t="shared" si="0"/>
        <v>1.0660023621945321E-2</v>
      </c>
      <c r="K32" s="341" t="e">
        <f t="shared" si="2"/>
        <v>#REF!</v>
      </c>
      <c r="L32" s="341" t="e">
        <f t="shared" si="3"/>
        <v>#REF!</v>
      </c>
      <c r="M32" s="71"/>
      <c r="N32" s="5"/>
      <c r="O32" s="27" t="str">
        <f t="shared" si="1"/>
        <v>125264</v>
      </c>
      <c r="P32" s="29">
        <f>VLOOKUP(O32,deuda!$A$1:$H$501,4,0)</f>
        <v>1</v>
      </c>
      <c r="Q32" s="29">
        <f>VLOOKUP(O32,deuda!A44:J542,5,0)</f>
        <v>2</v>
      </c>
      <c r="R32" s="29" t="str">
        <f>IF(VLOOKUP(O32,deuda!A44:J542,6,0)=0,"",VLOOKUP(O32,deuda!A44:J542,6,0))</f>
        <v/>
      </c>
      <c r="S32" s="116" t="str">
        <f>IF((VLOOKUP(O32,deuda!A44:J542,7,0))=0,"",VLOOKUP(O32,deuda!A44:J542,7,0))</f>
        <v/>
      </c>
      <c r="T32" s="117" t="str">
        <f>IF((VLOOKUP(O32,deuda!A44:J542,8,0))=0,"",VLOOKUP(O32,deuda!A44:J542,8,0))</f>
        <v/>
      </c>
    </row>
    <row r="33" spans="1:20" ht="26.25" thickBot="1">
      <c r="A33" s="24">
        <v>9</v>
      </c>
      <c r="B33" s="5">
        <v>1252</v>
      </c>
      <c r="C33" s="250">
        <v>36</v>
      </c>
      <c r="D33" s="250">
        <v>2</v>
      </c>
      <c r="E33" s="9">
        <v>0.41470000000000001</v>
      </c>
      <c r="F33" s="9" t="str">
        <f t="shared" si="4"/>
        <v>SI</v>
      </c>
      <c r="G33" s="335" t="s">
        <v>325</v>
      </c>
      <c r="H33" s="16">
        <f>IF(Hijuelas!$G$5="fracción",IF(F33="NO",0,IF(Hijuelas!$G$6="si",IF(D33=1,E33,E33*0.8),E33)),IF(F33="NO",0,IF(Hijuelas!$G$6="si",IF(D33=1,ROUNDUP(E33,0),ROUNDUP(E33*0.8,0)),ROUNDUP(E33,0))))</f>
        <v>0.33176000000000005</v>
      </c>
      <c r="I33" s="340">
        <v>0</v>
      </c>
      <c r="J33" s="350">
        <f t="shared" si="0"/>
        <v>5.9739348594874675E-3</v>
      </c>
      <c r="K33" s="341" t="e">
        <f t="shared" si="2"/>
        <v>#REF!</v>
      </c>
      <c r="L33" s="341" t="e">
        <f t="shared" si="3"/>
        <v>#REF!</v>
      </c>
      <c r="M33" s="71"/>
      <c r="N33" s="5"/>
      <c r="O33" s="27" t="str">
        <f t="shared" si="1"/>
        <v>125236</v>
      </c>
      <c r="P33" s="29">
        <f>VLOOKUP(O33,deuda!$A$1:$H$501,4,0)</f>
        <v>1</v>
      </c>
      <c r="Q33" s="29">
        <f>VLOOKUP(O33,deuda!A45:J543,5,0)</f>
        <v>0</v>
      </c>
      <c r="R33" s="29" t="str">
        <f>IF(VLOOKUP(O33,deuda!A45:J543,6,0)=0,"",VLOOKUP(O33,deuda!A45:J543,6,0))</f>
        <v/>
      </c>
      <c r="S33" s="116" t="str">
        <f>IF((VLOOKUP(O33,deuda!A45:J543,7,0))=0,"",VLOOKUP(O33,deuda!A45:J543,7,0))</f>
        <v/>
      </c>
      <c r="T33" s="117" t="str">
        <f>IF((VLOOKUP(O33,deuda!A45:J543,8,0))=0,"",VLOOKUP(O33,deuda!A45:J543,8,0))</f>
        <v/>
      </c>
    </row>
    <row r="34" spans="1:20" ht="13.5" thickBot="1">
      <c r="A34" s="24">
        <v>10</v>
      </c>
      <c r="B34" s="5">
        <v>1252</v>
      </c>
      <c r="C34" s="250">
        <v>77</v>
      </c>
      <c r="D34" s="250">
        <v>2</v>
      </c>
      <c r="E34" s="9">
        <v>6.7142999999999997</v>
      </c>
      <c r="F34" s="9" t="str">
        <f t="shared" si="4"/>
        <v>SI</v>
      </c>
      <c r="G34" s="335" t="s">
        <v>328</v>
      </c>
      <c r="H34" s="16">
        <f>IF(Hijuelas!$G$5="fracción",IF(F34="NO",0,IF(Hijuelas!$G$6="si",IF(D34=1,E34,E34*0.8),E34)),IF(F34="NO",0,IF(Hijuelas!$G$6="si",IF(D34=1,ROUNDUP(E34,0),ROUNDUP(E34*0.8,0)),ROUNDUP(E34,0))))</f>
        <v>5.3714399999999998</v>
      </c>
      <c r="I34" s="340">
        <v>0</v>
      </c>
      <c r="J34" s="350">
        <f t="shared" si="0"/>
        <v>9.6722427844361455E-2</v>
      </c>
      <c r="K34" s="341" t="e">
        <f t="shared" si="2"/>
        <v>#REF!</v>
      </c>
      <c r="L34" s="341" t="e">
        <f t="shared" si="3"/>
        <v>#REF!</v>
      </c>
      <c r="M34" s="71"/>
      <c r="N34" s="5"/>
      <c r="O34" s="27" t="str">
        <f t="shared" si="1"/>
        <v>125277</v>
      </c>
      <c r="P34" s="29">
        <f>VLOOKUP(O34,deuda!$A$1:$H$501,4,0)</f>
        <v>1</v>
      </c>
      <c r="Q34" s="29">
        <f>VLOOKUP(O34,deuda!A46:J544,5,0)</f>
        <v>1</v>
      </c>
      <c r="R34" s="29" t="str">
        <f>IF(VLOOKUP(O34,deuda!A46:J544,6,0)=0,"",VLOOKUP(O34,deuda!A46:J544,6,0))</f>
        <v/>
      </c>
      <c r="S34" s="116" t="str">
        <f>IF((VLOOKUP(O34,deuda!A46:J544,7,0))=0,"",VLOOKUP(O34,deuda!A46:J544,7,0))</f>
        <v/>
      </c>
      <c r="T34" s="117" t="str">
        <f>IF((VLOOKUP(O34,deuda!A46:J544,8,0))=0,"",VLOOKUP(O34,deuda!A46:J544,8,0))</f>
        <v/>
      </c>
    </row>
    <row r="35" spans="1:20" ht="13.5" thickBot="1">
      <c r="A35" s="265">
        <v>11</v>
      </c>
      <c r="B35" s="5">
        <v>1252</v>
      </c>
      <c r="C35" s="251">
        <v>28</v>
      </c>
      <c r="D35" s="251">
        <v>2</v>
      </c>
      <c r="E35" s="252">
        <v>11.4869</v>
      </c>
      <c r="F35" s="9" t="str">
        <f t="shared" si="4"/>
        <v>NO</v>
      </c>
      <c r="G35" s="336" t="s">
        <v>330</v>
      </c>
      <c r="H35" s="16">
        <f>IF(Hijuelas!$G$5="fracción",IF(F35="NO",0,IF(Hijuelas!$G$6="si",IF(D35=1,E35,E35*0.8),E35)),IF(F35="NO",0,IF(Hijuelas!$G$6="si",IF(D35=1,ROUNDUP(E35,0),ROUNDUP(E35*0.8,0)),ROUNDUP(E35,0))))</f>
        <v>0</v>
      </c>
      <c r="I35" s="340">
        <v>0</v>
      </c>
      <c r="J35" s="350">
        <f t="shared" si="0"/>
        <v>0</v>
      </c>
      <c r="K35" s="341" t="e">
        <f t="shared" si="2"/>
        <v>#REF!</v>
      </c>
      <c r="L35" s="341" t="e">
        <f t="shared" si="3"/>
        <v>#REF!</v>
      </c>
      <c r="M35" s="71"/>
      <c r="N35" s="5"/>
      <c r="O35" s="27" t="str">
        <f t="shared" si="1"/>
        <v>125228</v>
      </c>
      <c r="P35" s="29">
        <f>VLOOKUP(O35,deuda!$A$1:$H$501,4,0)</f>
        <v>0</v>
      </c>
      <c r="Q35" s="29">
        <f>VLOOKUP(O35,deuda!A47:J545,5,0)</f>
        <v>210</v>
      </c>
      <c r="R35" s="29" t="str">
        <f>IF(VLOOKUP(O35,deuda!A47:J545,6,0)=0,"",VLOOKUP(O35,deuda!A47:J545,6,0))</f>
        <v/>
      </c>
      <c r="S35" s="116" t="str">
        <f>IF((VLOOKUP(O35,deuda!A47:J545,7,0))=0,"",VLOOKUP(O35,deuda!A47:J545,7,0))</f>
        <v/>
      </c>
      <c r="T35" s="117" t="str">
        <f>IF((VLOOKUP(O35,deuda!A47:J545,8,0))=0,"",VLOOKUP(O35,deuda!A47:J545,8,0))</f>
        <v/>
      </c>
    </row>
    <row r="36" spans="1:20" ht="13.5" thickBot="1">
      <c r="A36" s="265">
        <v>11</v>
      </c>
      <c r="B36" s="5">
        <v>1252</v>
      </c>
      <c r="C36" s="251">
        <v>58</v>
      </c>
      <c r="D36" s="251">
        <v>2</v>
      </c>
      <c r="E36" s="252">
        <v>17.116800000000001</v>
      </c>
      <c r="F36" s="9" t="str">
        <f t="shared" si="4"/>
        <v>NO</v>
      </c>
      <c r="G36" s="336" t="s">
        <v>331</v>
      </c>
      <c r="H36" s="16">
        <f>IF(Hijuelas!$G$5="fracción",IF(F36="NO",0,IF(Hijuelas!$G$6="si",IF(D36=1,E36,E36*0.8),E36)),IF(F36="NO",0,IF(Hijuelas!$G$6="si",IF(D36=1,ROUNDUP(E36,0),ROUNDUP(E36*0.8,0)),ROUNDUP(E36,0))))</f>
        <v>0</v>
      </c>
      <c r="I36" s="340">
        <v>0</v>
      </c>
      <c r="J36" s="350">
        <f t="shared" si="0"/>
        <v>0</v>
      </c>
      <c r="K36" s="341" t="e">
        <f t="shared" si="2"/>
        <v>#REF!</v>
      </c>
      <c r="L36" s="341" t="e">
        <f t="shared" si="3"/>
        <v>#REF!</v>
      </c>
      <c r="M36" s="71"/>
      <c r="N36" s="5"/>
      <c r="O36" s="27" t="str">
        <f t="shared" si="1"/>
        <v>125258</v>
      </c>
      <c r="P36" s="29">
        <f>VLOOKUP(O36,deuda!$A$1:$H$501,4,0)</f>
        <v>0</v>
      </c>
      <c r="Q36" s="29">
        <f>VLOOKUP(O36,deuda!A48:J546,5,0)</f>
        <v>119</v>
      </c>
      <c r="R36" s="29" t="str">
        <f>IF(VLOOKUP(O36,deuda!A48:J546,6,0)=0,"",VLOOKUP(O36,deuda!A48:J546,6,0))</f>
        <v/>
      </c>
      <c r="S36" s="116" t="str">
        <f>IF((VLOOKUP(O36,deuda!A48:J546,7,0))=0,"",VLOOKUP(O36,deuda!A48:J546,7,0))</f>
        <v/>
      </c>
      <c r="T36" s="117" t="str">
        <f>IF((VLOOKUP(O36,deuda!A48:J546,8,0))=0,"",VLOOKUP(O36,deuda!A48:J546,8,0))</f>
        <v/>
      </c>
    </row>
    <row r="37" spans="1:20" ht="13.5" thickBot="1">
      <c r="A37" s="265">
        <v>11</v>
      </c>
      <c r="B37" s="5">
        <v>1252</v>
      </c>
      <c r="C37" s="251">
        <v>73</v>
      </c>
      <c r="D37" s="251">
        <v>2</v>
      </c>
      <c r="E37" s="252">
        <v>5.9671000000000003</v>
      </c>
      <c r="F37" s="9" t="str">
        <f t="shared" si="4"/>
        <v>NO</v>
      </c>
      <c r="G37" s="336" t="s">
        <v>332</v>
      </c>
      <c r="H37" s="16">
        <f>IF(Hijuelas!$G$5="fracción",IF(F37="NO",0,IF(Hijuelas!$G$6="si",IF(D37=1,E37,E37*0.8),E37)),IF(F37="NO",0,IF(Hijuelas!$G$6="si",IF(D37=1,ROUNDUP(E37,0),ROUNDUP(E37*0.8,0)),ROUNDUP(E37,0))))</f>
        <v>0</v>
      </c>
      <c r="I37" s="340">
        <v>0</v>
      </c>
      <c r="J37" s="350">
        <f t="shared" si="0"/>
        <v>0</v>
      </c>
      <c r="K37" s="341" t="e">
        <f t="shared" si="2"/>
        <v>#REF!</v>
      </c>
      <c r="L37" s="341" t="e">
        <f t="shared" si="3"/>
        <v>#REF!</v>
      </c>
      <c r="M37" s="71"/>
      <c r="N37" s="5"/>
      <c r="O37" s="27" t="str">
        <f t="shared" si="1"/>
        <v>125273</v>
      </c>
      <c r="P37" s="29">
        <f>VLOOKUP(O37,deuda!$A$1:$H$501,4,0)</f>
        <v>0</v>
      </c>
      <c r="Q37" s="29">
        <f>VLOOKUP(O37,deuda!A49:J547,5,0)</f>
        <v>145</v>
      </c>
      <c r="R37" s="29" t="str">
        <f>IF(VLOOKUP(O37,deuda!A49:J547,6,0)=0,"",VLOOKUP(O37,deuda!A49:J547,6,0))</f>
        <v/>
      </c>
      <c r="S37" s="116" t="str">
        <f>IF((VLOOKUP(O37,deuda!A49:J547,7,0))=0,"",VLOOKUP(O37,deuda!A49:J547,7,0))</f>
        <v/>
      </c>
      <c r="T37" s="117" t="str">
        <f>IF((VLOOKUP(O37,deuda!A49:J547,8,0))=0,"",VLOOKUP(O37,deuda!A49:J547,8,0))</f>
        <v/>
      </c>
    </row>
    <row r="38" spans="1:20" ht="13.5" thickBot="1">
      <c r="A38" s="24">
        <v>12</v>
      </c>
      <c r="B38" s="5">
        <v>1252</v>
      </c>
      <c r="C38" s="251">
        <v>78</v>
      </c>
      <c r="D38" s="251">
        <v>2</v>
      </c>
      <c r="E38" s="252">
        <v>2.8721999999999999</v>
      </c>
      <c r="F38" s="9" t="str">
        <f t="shared" ref="F38:F48" si="5">IF(P38=0,"NO",IF(P38=1,"SI","CONDICIONAL"))</f>
        <v>NO</v>
      </c>
      <c r="G38" s="271" t="s">
        <v>578</v>
      </c>
      <c r="H38" s="16">
        <f>IF(Hijuelas!$G$5="fracción",IF(F38="NO",0,IF(Hijuelas!$G$6="si",IF(D38=1,E38,E38*0.8),E38)),IF(F38="NO",0,IF(Hijuelas!$G$6="si",IF(D38=1,ROUNDUP(E38,0),ROUNDUP(E38*0.8,0)),ROUNDUP(E38,0))))</f>
        <v>0</v>
      </c>
      <c r="I38" s="340">
        <v>0</v>
      </c>
      <c r="J38" s="350">
        <f t="shared" si="0"/>
        <v>0</v>
      </c>
      <c r="K38" s="341" t="e">
        <f t="shared" si="2"/>
        <v>#REF!</v>
      </c>
      <c r="L38" s="341" t="e">
        <f t="shared" si="3"/>
        <v>#REF!</v>
      </c>
      <c r="M38" s="71"/>
      <c r="N38" s="5"/>
      <c r="O38" s="27" t="str">
        <f t="shared" si="1"/>
        <v>125278</v>
      </c>
      <c r="P38" s="29">
        <v>0</v>
      </c>
      <c r="Q38" s="29">
        <f>VLOOKUP(O38,deuda!A50:J548,5,0)</f>
        <v>1</v>
      </c>
      <c r="R38" s="29" t="str">
        <f>IF(VLOOKUP(O38,deuda!A50:J548,6,0)=0,"",VLOOKUP(O38,deuda!A50:J548,6,0))</f>
        <v/>
      </c>
      <c r="S38" s="116" t="str">
        <f>IF((VLOOKUP(O38,deuda!A50:J548,7,0))=0,"",VLOOKUP(O38,deuda!A50:J548,7,0))</f>
        <v/>
      </c>
      <c r="T38" s="117" t="str">
        <f>IF((VLOOKUP(O38,deuda!A50:J548,8,0))=0,"",VLOOKUP(O38,deuda!A50:J548,8,0))</f>
        <v/>
      </c>
    </row>
    <row r="39" spans="1:20" ht="13.5" thickBot="1">
      <c r="A39" s="265">
        <v>13</v>
      </c>
      <c r="B39" s="5">
        <v>1252</v>
      </c>
      <c r="C39" s="250">
        <v>25</v>
      </c>
      <c r="D39" s="250">
        <v>2</v>
      </c>
      <c r="E39" s="9">
        <v>12.9564</v>
      </c>
      <c r="F39" s="9" t="str">
        <f t="shared" si="5"/>
        <v>NO</v>
      </c>
      <c r="G39" s="270" t="s">
        <v>515</v>
      </c>
      <c r="H39" s="16">
        <f>IF(Hijuelas!$G$5="fracción",IF(F39="NO",0,IF(Hijuelas!$G$6="si",IF(D39=1,E39,E39*0.8),E39)),IF(F39="NO",0,IF(Hijuelas!$G$6="si",IF(D39=1,ROUNDUP(E39,0),ROUNDUP(E39*0.8,0)),ROUNDUP(E39,0))))</f>
        <v>0</v>
      </c>
      <c r="I39" s="340">
        <v>6.25E-2</v>
      </c>
      <c r="J39" s="350">
        <f t="shared" si="0"/>
        <v>0</v>
      </c>
      <c r="K39" s="341" t="e">
        <f t="shared" si="2"/>
        <v>#REF!</v>
      </c>
      <c r="L39" s="341" t="e">
        <f t="shared" si="3"/>
        <v>#REF!</v>
      </c>
      <c r="M39" s="71"/>
      <c r="N39" s="5"/>
      <c r="O39" s="27" t="str">
        <f t="shared" si="1"/>
        <v>125225</v>
      </c>
      <c r="P39" s="29">
        <f>VLOOKUP(O39,deuda!$A$1:$H$501,4,0)</f>
        <v>0</v>
      </c>
      <c r="Q39" s="29">
        <f>VLOOKUP(O39,deuda!A51:J549,5,0)</f>
        <v>4</v>
      </c>
      <c r="R39" s="29" t="str">
        <f>IF(VLOOKUP(O39,deuda!A51:J549,6,0)=0,"",VLOOKUP(O39,deuda!A51:J549,6,0))</f>
        <v/>
      </c>
      <c r="S39" s="116" t="str">
        <f>IF((VLOOKUP(O39,deuda!A51:J549,7,0))=0,"",VLOOKUP(O39,deuda!A51:J549,7,0))</f>
        <v/>
      </c>
      <c r="T39" s="117" t="str">
        <f>IF((VLOOKUP(O39,deuda!A51:J549,8,0))=0,"",VLOOKUP(O39,deuda!A51:J549,8,0))</f>
        <v/>
      </c>
    </row>
    <row r="40" spans="1:20" ht="13.5" thickBot="1">
      <c r="A40" s="24">
        <v>13</v>
      </c>
      <c r="B40" s="5">
        <v>1252</v>
      </c>
      <c r="C40" s="250">
        <v>38</v>
      </c>
      <c r="D40" s="250">
        <v>2</v>
      </c>
      <c r="E40" s="9">
        <v>7.3971999999999998</v>
      </c>
      <c r="F40" s="9" t="str">
        <f t="shared" si="5"/>
        <v>NO</v>
      </c>
      <c r="G40" s="270" t="s">
        <v>515</v>
      </c>
      <c r="H40" s="16">
        <f>IF(Hijuelas!$G$5="fracción",IF(F40="NO",0,IF(Hijuelas!$G$6="si",IF(D40=1,E40,E40*0.8),E40)),IF(F40="NO",0,IF(Hijuelas!$G$6="si",IF(D40=1,ROUNDUP(E40,0),ROUNDUP(E40*0.8,0)),ROUNDUP(E40,0))))</f>
        <v>0</v>
      </c>
      <c r="I40" s="340">
        <v>0</v>
      </c>
      <c r="J40" s="350">
        <f t="shared" si="0"/>
        <v>0</v>
      </c>
      <c r="K40" s="341" t="e">
        <f t="shared" si="2"/>
        <v>#REF!</v>
      </c>
      <c r="L40" s="341" t="e">
        <f t="shared" si="3"/>
        <v>#REF!</v>
      </c>
      <c r="M40" s="71"/>
      <c r="N40" s="5"/>
      <c r="O40" s="27" t="str">
        <f t="shared" si="1"/>
        <v>125238</v>
      </c>
      <c r="P40" s="29">
        <f>VLOOKUP(O40,deuda!$A$1:$H$501,4,0)</f>
        <v>0</v>
      </c>
      <c r="Q40" s="29">
        <f>VLOOKUP(O40,deuda!A52:J550,5,0)</f>
        <v>4</v>
      </c>
      <c r="R40" s="29" t="str">
        <f>IF(VLOOKUP(O40,deuda!A52:J550,6,0)=0,"",VLOOKUP(O40,deuda!A52:J550,6,0))</f>
        <v/>
      </c>
      <c r="S40" s="116" t="str">
        <f>IF((VLOOKUP(O40,deuda!A52:J550,7,0))=0,"",VLOOKUP(O40,deuda!A52:J550,7,0))</f>
        <v/>
      </c>
      <c r="T40" s="117" t="str">
        <f>IF((VLOOKUP(O40,deuda!A52:J550,8,0))=0,"",VLOOKUP(O40,deuda!A52:J550,8,0))</f>
        <v/>
      </c>
    </row>
    <row r="41" spans="1:20" ht="13.5" thickBot="1">
      <c r="A41" s="265">
        <v>13</v>
      </c>
      <c r="B41" s="5">
        <v>1252</v>
      </c>
      <c r="C41" s="250">
        <v>47</v>
      </c>
      <c r="D41" s="250">
        <v>2</v>
      </c>
      <c r="E41" s="9">
        <v>8.0847999999999995</v>
      </c>
      <c r="F41" s="9" t="str">
        <f t="shared" si="5"/>
        <v>NO</v>
      </c>
      <c r="G41" s="270" t="s">
        <v>515</v>
      </c>
      <c r="H41" s="16">
        <f>IF(Hijuelas!$G$5="fracción",IF(F41="NO",0,IF(Hijuelas!$G$6="si",IF(D41=1,E41,E41*0.8),E41)),IF(F41="NO",0,IF(Hijuelas!$G$6="si",IF(D41=1,ROUNDUP(E41,0),ROUNDUP(E41*0.8,0)),ROUNDUP(E41,0))))</f>
        <v>0</v>
      </c>
      <c r="I41" s="340">
        <v>0</v>
      </c>
      <c r="J41" s="350">
        <f t="shared" si="0"/>
        <v>0</v>
      </c>
      <c r="K41" s="341" t="e">
        <f t="shared" si="2"/>
        <v>#REF!</v>
      </c>
      <c r="L41" s="341" t="e">
        <f t="shared" si="3"/>
        <v>#REF!</v>
      </c>
      <c r="M41" s="71"/>
      <c r="N41" s="5"/>
      <c r="O41" s="27" t="str">
        <f t="shared" si="1"/>
        <v>125247</v>
      </c>
      <c r="P41" s="29">
        <f>VLOOKUP(O41,deuda!$A$1:$H$501,4,0)</f>
        <v>0</v>
      </c>
      <c r="Q41" s="29">
        <f>VLOOKUP(O41,deuda!A53:J551,5,0)</f>
        <v>4</v>
      </c>
      <c r="R41" s="29" t="str">
        <f>IF(VLOOKUP(O41,deuda!A53:J551,6,0)=0,"",VLOOKUP(O41,deuda!A53:J551,6,0))</f>
        <v/>
      </c>
      <c r="S41" s="116" t="str">
        <f>IF((VLOOKUP(O41,deuda!A53:J551,7,0))=0,"",VLOOKUP(O41,deuda!A53:J551,7,0))</f>
        <v/>
      </c>
      <c r="T41" s="117" t="str">
        <f>IF((VLOOKUP(O41,deuda!A53:J551,8,0))=0,"",VLOOKUP(O41,deuda!A53:J551,8,0))</f>
        <v/>
      </c>
    </row>
    <row r="42" spans="1:20" ht="13.5" thickBot="1">
      <c r="A42" s="265">
        <v>14</v>
      </c>
      <c r="B42" s="5">
        <v>1252</v>
      </c>
      <c r="C42" s="251">
        <v>21</v>
      </c>
      <c r="D42" s="251">
        <v>2</v>
      </c>
      <c r="E42" s="252">
        <v>40</v>
      </c>
      <c r="F42" s="9" t="str">
        <f t="shared" si="5"/>
        <v>SI</v>
      </c>
      <c r="G42" s="271" t="s">
        <v>516</v>
      </c>
      <c r="H42" s="16">
        <f>IF(Hijuelas!$G$5="fracción",IF(F42="NO",0,IF(Hijuelas!$G$6="si",IF(D42=1,E42,E42*0.8),E42)),IF(F42="NO",0,IF(Hijuelas!$G$6="si",IF(D42=1,ROUNDUP(E42,0),ROUNDUP(E42*0.8,0)),ROUNDUP(E42,0))))</f>
        <v>32</v>
      </c>
      <c r="I42" s="340">
        <v>0</v>
      </c>
      <c r="J42" s="350">
        <f t="shared" si="0"/>
        <v>0.57621749307812553</v>
      </c>
      <c r="K42" s="341" t="e">
        <f t="shared" si="2"/>
        <v>#REF!</v>
      </c>
      <c r="L42" s="341" t="e">
        <f t="shared" si="3"/>
        <v>#REF!</v>
      </c>
      <c r="M42" s="71"/>
      <c r="N42" s="5"/>
      <c r="O42" s="27" t="str">
        <f t="shared" si="1"/>
        <v>125221</v>
      </c>
      <c r="P42" s="29">
        <f>VLOOKUP(O42,deuda!$A$1:$H$501,4,0)</f>
        <v>1</v>
      </c>
      <c r="Q42" s="29">
        <f>VLOOKUP(O42,deuda!A54:J552,5,0)</f>
        <v>0</v>
      </c>
      <c r="R42" s="29" t="str">
        <f>IF(VLOOKUP(O42,deuda!A54:J552,6,0)=0,"",VLOOKUP(O42,deuda!A54:J552,6,0))</f>
        <v/>
      </c>
      <c r="S42" s="116" t="str">
        <f>IF((VLOOKUP(O42,deuda!A54:J552,7,0))=0,"",VLOOKUP(O42,deuda!A54:J552,7,0))</f>
        <v/>
      </c>
      <c r="T42" s="117" t="str">
        <f>IF((VLOOKUP(O42,deuda!A54:J552,8,0))=0,"",VLOOKUP(O42,deuda!A54:J552,8,0))</f>
        <v/>
      </c>
    </row>
    <row r="43" spans="1:20" ht="13.5" thickBot="1">
      <c r="A43" s="24">
        <v>15</v>
      </c>
      <c r="B43" s="5">
        <v>1252</v>
      </c>
      <c r="C43" s="250">
        <v>43</v>
      </c>
      <c r="D43" s="250">
        <v>2</v>
      </c>
      <c r="E43" s="9">
        <v>5.8795999999999999</v>
      </c>
      <c r="F43" s="9" t="str">
        <f t="shared" si="5"/>
        <v>SI</v>
      </c>
      <c r="G43" s="270" t="s">
        <v>517</v>
      </c>
      <c r="H43" s="16">
        <f>IF(Hijuelas!$G$5="fracción",IF(F43="NO",0,IF(Hijuelas!$G$6="si",IF(D43=1,E43,E43*0.8),E43)),IF(F43="NO",0,IF(Hijuelas!$G$6="si",IF(D43=1,ROUNDUP(E43,0),ROUNDUP(E43*0.8,0)),ROUNDUP(E43,0))))</f>
        <v>4.7036800000000003</v>
      </c>
      <c r="I43" s="340">
        <v>0</v>
      </c>
      <c r="J43" s="350">
        <f t="shared" si="0"/>
        <v>8.4698209307553673E-2</v>
      </c>
      <c r="K43" s="341" t="e">
        <f t="shared" si="2"/>
        <v>#REF!</v>
      </c>
      <c r="L43" s="341" t="e">
        <f t="shared" si="3"/>
        <v>#REF!</v>
      </c>
      <c r="M43" s="71"/>
      <c r="N43" s="5"/>
      <c r="O43" s="27" t="str">
        <f t="shared" si="1"/>
        <v>125243</v>
      </c>
      <c r="P43" s="29">
        <f>VLOOKUP(O43,deuda!$A$1:$H$501,4,0)</f>
        <v>1</v>
      </c>
      <c r="Q43" s="29">
        <f>VLOOKUP(O43,deuda!A55:J553,5,0)</f>
        <v>1</v>
      </c>
      <c r="R43" s="29" t="str">
        <f>IF(VLOOKUP(O43,deuda!A55:J553,6,0)=0,"",VLOOKUP(O43,deuda!A55:J553,6,0))</f>
        <v/>
      </c>
      <c r="S43" s="116" t="str">
        <f>IF((VLOOKUP(O43,deuda!A55:J553,7,0))=0,"",VLOOKUP(O43,deuda!A55:J553,7,0))</f>
        <v/>
      </c>
      <c r="T43" s="117" t="str">
        <f>IF((VLOOKUP(O43,deuda!A55:J553,8,0))=0,"",VLOOKUP(O43,deuda!A55:J553,8,0))</f>
        <v/>
      </c>
    </row>
    <row r="44" spans="1:20" ht="13.5" thickBot="1">
      <c r="A44" s="265">
        <v>16</v>
      </c>
      <c r="B44" s="5">
        <v>1252</v>
      </c>
      <c r="C44" s="250">
        <v>23</v>
      </c>
      <c r="D44" s="250">
        <v>2</v>
      </c>
      <c r="E44" s="9">
        <v>7.5</v>
      </c>
      <c r="F44" s="9" t="str">
        <f t="shared" si="5"/>
        <v>SI</v>
      </c>
      <c r="G44" s="270" t="s">
        <v>518</v>
      </c>
      <c r="H44" s="16">
        <f>IF(Hijuelas!$G$5="fracción",IF(F44="NO",0,IF(Hijuelas!$G$6="si",IF(D44=1,E44,E44*0.8),E44)),IF(F44="NO",0,IF(Hijuelas!$G$6="si",IF(D44=1,ROUNDUP(E44,0),ROUNDUP(E44*0.8,0)),ROUNDUP(E44,0))))</f>
        <v>6</v>
      </c>
      <c r="I44" s="340">
        <v>0</v>
      </c>
      <c r="J44" s="350">
        <f t="shared" si="0"/>
        <v>0.10804077995214853</v>
      </c>
      <c r="K44" s="341" t="e">
        <f t="shared" si="2"/>
        <v>#REF!</v>
      </c>
      <c r="L44" s="341" t="e">
        <f t="shared" si="3"/>
        <v>#REF!</v>
      </c>
      <c r="M44" s="71"/>
      <c r="N44" s="5"/>
      <c r="O44" s="27" t="str">
        <f t="shared" si="1"/>
        <v>125223</v>
      </c>
      <c r="P44" s="29">
        <f>VLOOKUP(O44,deuda!$A$1:$H$501,4,0)</f>
        <v>1</v>
      </c>
      <c r="Q44" s="29">
        <f>VLOOKUP(O44,deuda!A56:J554,5,0)</f>
        <v>0</v>
      </c>
      <c r="R44" s="29" t="str">
        <f>IF(VLOOKUP(O44,deuda!A56:J554,6,0)=0,"",VLOOKUP(O44,deuda!A56:J554,6,0))</f>
        <v/>
      </c>
      <c r="S44" s="116" t="str">
        <f>IF((VLOOKUP(O44,deuda!A56:J554,7,0))=0,"",VLOOKUP(O44,deuda!A56:J554,7,0))</f>
        <v/>
      </c>
      <c r="T44" s="117" t="str">
        <f>IF((VLOOKUP(O44,deuda!A56:J554,8,0))=0,"",VLOOKUP(O44,deuda!A56:J554,8,0))</f>
        <v/>
      </c>
    </row>
    <row r="45" spans="1:20" ht="13.5" thickBot="1">
      <c r="A45" s="24">
        <v>17</v>
      </c>
      <c r="B45" s="5">
        <v>1252</v>
      </c>
      <c r="C45" s="250">
        <v>24</v>
      </c>
      <c r="D45" s="250">
        <v>2</v>
      </c>
      <c r="E45" s="9">
        <v>4.5</v>
      </c>
      <c r="F45" s="9" t="str">
        <f t="shared" si="5"/>
        <v>SI</v>
      </c>
      <c r="G45" s="270" t="s">
        <v>519</v>
      </c>
      <c r="H45" s="16">
        <f>IF(Hijuelas!$G$5="fracción",IF(F45="NO",0,IF(Hijuelas!$G$6="si",IF(D45=1,E45,E45*0.8),E45)),IF(F45="NO",0,IF(Hijuelas!$G$6="si",IF(D45=1,ROUNDUP(E45,0),ROUNDUP(E45*0.8,0)),ROUNDUP(E45,0))))</f>
        <v>3.6</v>
      </c>
      <c r="I45" s="340">
        <v>0</v>
      </c>
      <c r="J45" s="350">
        <f t="shared" si="0"/>
        <v>6.4824467971289129E-2</v>
      </c>
      <c r="K45" s="341" t="e">
        <f t="shared" si="2"/>
        <v>#REF!</v>
      </c>
      <c r="L45" s="341" t="e">
        <f t="shared" si="3"/>
        <v>#REF!</v>
      </c>
      <c r="M45" s="71"/>
      <c r="N45" s="5"/>
      <c r="O45" s="27" t="str">
        <f t="shared" si="1"/>
        <v>125224</v>
      </c>
      <c r="P45" s="29">
        <f>VLOOKUP(O45,deuda!$A$1:$H$501,4,0)</f>
        <v>1</v>
      </c>
      <c r="Q45" s="29">
        <f>VLOOKUP(O45,deuda!A57:J555,5,0)</f>
        <v>0</v>
      </c>
      <c r="R45" s="29" t="str">
        <f>IF(VLOOKUP(O45,deuda!A57:J555,6,0)=0,"",VLOOKUP(O45,deuda!A57:J555,6,0))</f>
        <v/>
      </c>
      <c r="S45" s="116" t="str">
        <f>IF((VLOOKUP(O45,deuda!A57:J555,7,0))=0,"",VLOOKUP(O45,deuda!A57:J555,7,0))</f>
        <v/>
      </c>
      <c r="T45" s="117" t="str">
        <f>IF((VLOOKUP(O45,deuda!A57:J555,8,0))=0,"",VLOOKUP(O45,deuda!A57:J555,8,0))</f>
        <v/>
      </c>
    </row>
    <row r="46" spans="1:20" ht="13.5" thickBot="1">
      <c r="A46" s="24">
        <v>18</v>
      </c>
      <c r="B46" s="5">
        <v>1252</v>
      </c>
      <c r="C46" s="250">
        <v>27</v>
      </c>
      <c r="D46" s="250">
        <v>2</v>
      </c>
      <c r="E46" s="9">
        <v>24.553699999999999</v>
      </c>
      <c r="F46" s="9" t="str">
        <f t="shared" si="5"/>
        <v>NO</v>
      </c>
      <c r="G46" s="270" t="s">
        <v>520</v>
      </c>
      <c r="H46" s="16">
        <f>IF(Hijuelas!$G$5="fracción",IF(F46="NO",0,IF(Hijuelas!$G$6="si",IF(D46=1,E46,E46*0.8),E46)),IF(F46="NO",0,IF(Hijuelas!$G$6="si",IF(D46=1,ROUNDUP(E46,0),ROUNDUP(E46*0.8,0)),ROUNDUP(E46,0))))</f>
        <v>0</v>
      </c>
      <c r="I46" s="340">
        <v>0</v>
      </c>
      <c r="J46" s="350">
        <f t="shared" si="0"/>
        <v>0</v>
      </c>
      <c r="K46" s="341" t="e">
        <f t="shared" si="2"/>
        <v>#REF!</v>
      </c>
      <c r="L46" s="341" t="e">
        <f t="shared" si="3"/>
        <v>#REF!</v>
      </c>
      <c r="M46" s="71"/>
      <c r="N46" s="5"/>
      <c r="O46" s="27" t="str">
        <f t="shared" si="1"/>
        <v>125227</v>
      </c>
      <c r="P46" s="29">
        <f>VLOOKUP(O46,deuda!$A$1:$H$501,4,0)</f>
        <v>0</v>
      </c>
      <c r="Q46" s="29">
        <f>VLOOKUP(O46,deuda!A58:J556,5,0)</f>
        <v>4</v>
      </c>
      <c r="R46" s="29" t="str">
        <f>IF(VLOOKUP(O46,deuda!A58:J556,6,0)=0,"",VLOOKUP(O46,deuda!A58:J556,6,0))</f>
        <v/>
      </c>
      <c r="S46" s="116" t="str">
        <f>IF((VLOOKUP(O46,deuda!A58:J556,7,0))=0,"",VLOOKUP(O46,deuda!A58:J556,7,0))</f>
        <v/>
      </c>
      <c r="T46" s="117" t="str">
        <f>IF((VLOOKUP(O46,deuda!A58:J556,8,0))=0,"",VLOOKUP(O46,deuda!A58:J556,8,0))</f>
        <v/>
      </c>
    </row>
    <row r="47" spans="1:20" ht="13.5" thickBot="1">
      <c r="A47" s="24">
        <v>18</v>
      </c>
      <c r="B47" s="5">
        <v>1252</v>
      </c>
      <c r="C47" s="250">
        <v>42</v>
      </c>
      <c r="D47" s="250">
        <v>2</v>
      </c>
      <c r="E47" s="9">
        <v>25</v>
      </c>
      <c r="F47" s="9" t="str">
        <f t="shared" si="5"/>
        <v>NO</v>
      </c>
      <c r="G47" s="270" t="s">
        <v>520</v>
      </c>
      <c r="H47" s="16">
        <f>IF(Hijuelas!$G$5="fracción",IF(F47="NO",0,IF(Hijuelas!$G$6="si",IF(D47=1,E47,E47*0.8),E47)),IF(F47="NO",0,IF(Hijuelas!$G$6="si",IF(D47=1,ROUNDUP(E47,0),ROUNDUP(E47*0.8,0)),ROUNDUP(E47,0))))</f>
        <v>0</v>
      </c>
      <c r="I47" s="340">
        <v>0</v>
      </c>
      <c r="J47" s="350">
        <f t="shared" si="0"/>
        <v>0</v>
      </c>
      <c r="K47" s="341" t="e">
        <f t="shared" si="2"/>
        <v>#REF!</v>
      </c>
      <c r="L47" s="341" t="e">
        <f t="shared" si="3"/>
        <v>#REF!</v>
      </c>
      <c r="M47" s="71"/>
      <c r="N47" s="5"/>
      <c r="O47" s="27" t="str">
        <f t="shared" si="1"/>
        <v>125242</v>
      </c>
      <c r="P47" s="29">
        <f>VLOOKUP(O47,deuda!$A$1:$H$501,4,0)</f>
        <v>0</v>
      </c>
      <c r="Q47" s="29">
        <f>VLOOKUP(O47,deuda!A59:J557,5,0)</f>
        <v>4</v>
      </c>
      <c r="R47" s="29" t="str">
        <f>IF(VLOOKUP(O47,deuda!A59:J557,6,0)=0,"",VLOOKUP(O47,deuda!A59:J557,6,0))</f>
        <v/>
      </c>
      <c r="S47" s="116" t="str">
        <f>IF((VLOOKUP(O47,deuda!A59:J557,7,0))=0,"",VLOOKUP(O47,deuda!A59:J557,7,0))</f>
        <v/>
      </c>
      <c r="T47" s="117" t="str">
        <f>IF((VLOOKUP(O47,deuda!A59:J557,8,0))=0,"",VLOOKUP(O47,deuda!A59:J557,8,0))</f>
        <v/>
      </c>
    </row>
    <row r="48" spans="1:20" ht="13.5" thickBot="1">
      <c r="A48" s="97">
        <v>19</v>
      </c>
      <c r="B48" s="27">
        <v>1252</v>
      </c>
      <c r="C48" s="256">
        <v>20</v>
      </c>
      <c r="D48" s="256">
        <v>2</v>
      </c>
      <c r="E48" s="35">
        <v>25</v>
      </c>
      <c r="F48" s="35" t="str">
        <f t="shared" si="5"/>
        <v>SI</v>
      </c>
      <c r="G48" s="407" t="s">
        <v>521</v>
      </c>
      <c r="H48" s="34">
        <f>IF(Hijuelas!$G$5="fracción",IF(F48="NO",0,IF(Hijuelas!$G$6="si",IF(D48=1,E48,E48*0.8),E48)),IF(F48="NO",0,IF(Hijuelas!$G$6="si",IF(D48=1,ROUNDUP(E48,0),ROUNDUP(E48*0.8,0)),ROUNDUP(E48,0))))</f>
        <v>20</v>
      </c>
      <c r="I48" s="349">
        <v>4.1666666666666664E-2</v>
      </c>
      <c r="J48" s="350">
        <f t="shared" si="0"/>
        <v>0.36013593317382847</v>
      </c>
      <c r="K48" s="341" t="e">
        <f t="shared" si="2"/>
        <v>#REF!</v>
      </c>
      <c r="L48" s="341" t="e">
        <f t="shared" si="3"/>
        <v>#REF!</v>
      </c>
      <c r="M48" s="233"/>
      <c r="N48" s="27"/>
      <c r="O48" s="27" t="str">
        <f t="shared" si="1"/>
        <v>125220</v>
      </c>
      <c r="P48" s="29">
        <f>VLOOKUP(O48,deuda!$A$1:$H$501,4,0)</f>
        <v>1</v>
      </c>
      <c r="Q48" s="29">
        <f>VLOOKUP(O48,deuda!A60:J558,5,0)</f>
        <v>0</v>
      </c>
      <c r="R48" s="29" t="str">
        <f>IF(VLOOKUP(O48,deuda!A60:J558,6,0)=0,"",VLOOKUP(O48,deuda!A60:J558,6,0))</f>
        <v/>
      </c>
      <c r="S48" s="116" t="str">
        <f>IF((VLOOKUP(O48,deuda!A60:J558,7,0))=0,"",VLOOKUP(O48,deuda!A60:J558,7,0))</f>
        <v/>
      </c>
      <c r="T48" s="117" t="str">
        <f>IF((VLOOKUP(O48,deuda!A60:J558,8,0))=0,"",VLOOKUP(O48,deuda!A60:J558,8,0))</f>
        <v/>
      </c>
    </row>
    <row r="49" spans="5:10">
      <c r="E49" s="14">
        <f>SUM(E13:E48)</f>
        <v>377.84110000000004</v>
      </c>
      <c r="H49" s="14">
        <f>SUM(H13:H48)</f>
        <v>201.89136000000002</v>
      </c>
      <c r="I49" s="67">
        <f>SUM(I13:I48)</f>
        <v>0.18749999999999997</v>
      </c>
      <c r="J49" s="67">
        <f>SUM(J13:J48)</f>
        <v>3.6354166666666674</v>
      </c>
    </row>
  </sheetData>
  <mergeCells count="7">
    <mergeCell ref="C3:G3"/>
    <mergeCell ref="H3:K3"/>
    <mergeCell ref="A10:B10"/>
    <mergeCell ref="A6:B6"/>
    <mergeCell ref="C6:E6"/>
    <mergeCell ref="A7:B7"/>
    <mergeCell ref="C7:E7"/>
  </mergeCells>
  <phoneticPr fontId="0" type="noConversion"/>
  <dataValidations count="1">
    <dataValidation allowBlank="1" showInputMessage="1" showErrorMessage="1" errorTitle="ATENCIÓN" error="SOLO PUEDE INGRESAR EL &quot;2&quot;" promptTitle="RECORDAR" prompt="SI MODIFICA EL VALOR DE LA CELDA, RECUERDE VOLVER A COPIAR LA FÓRMULA." sqref="P13:P48" xr:uid="{00000000-0002-0000-2900-000000000000}"/>
  </dataValidations>
  <pageMargins left="0.78740157480314965" right="0.75" top="0.98425196850393704" bottom="0.98425196850393704" header="0" footer="0"/>
  <pageSetup paperSize="9" scale="70" orientation="landscape" horizontalDpi="300" verticalDpi="30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5"/>
  <dimension ref="A1:H331"/>
  <sheetViews>
    <sheetView zoomScale="60" zoomScaleNormal="75" workbookViewId="0" xr3:uid="{22EC4E50-C5E2-5B45-B3E6-2D2467F4FBB9}">
      <selection activeCell="K18" sqref="K18"/>
    </sheetView>
  </sheetViews>
  <sheetFormatPr defaultRowHeight="12.75"/>
  <cols>
    <col min="1" max="2" width="11.42578125" customWidth="1"/>
    <col min="3" max="3" width="11.7109375" bestFit="1" customWidth="1"/>
    <col min="4" max="4" width="22.7109375" bestFit="1" customWidth="1"/>
    <col min="5" max="5" width="11.42578125" customWidth="1"/>
    <col min="6" max="7" width="11.7109375" bestFit="1" customWidth="1"/>
    <col min="8" max="256" width="11.42578125" customWidth="1"/>
  </cols>
  <sheetData>
    <row r="1" spans="1:8">
      <c r="A1" s="86"/>
      <c r="B1" s="87"/>
      <c r="C1" s="87"/>
      <c r="D1" s="87"/>
      <c r="E1" s="87"/>
      <c r="F1" s="87"/>
      <c r="G1" s="87"/>
      <c r="H1" s="88"/>
    </row>
    <row r="2" spans="1:8">
      <c r="A2" s="75"/>
      <c r="B2" s="109" t="s">
        <v>82</v>
      </c>
      <c r="C2" s="76"/>
      <c r="D2" s="76"/>
      <c r="E2" s="76"/>
      <c r="F2" s="76"/>
      <c r="G2" s="76"/>
      <c r="H2" s="89"/>
    </row>
    <row r="3" spans="1:8">
      <c r="A3" s="75"/>
      <c r="B3" s="76"/>
      <c r="C3" s="76"/>
      <c r="D3" s="76"/>
      <c r="E3" s="76"/>
      <c r="F3" s="76"/>
      <c r="G3" s="76"/>
      <c r="H3" s="89"/>
    </row>
    <row r="4" spans="1:8">
      <c r="A4" s="75"/>
      <c r="B4" s="76" t="s">
        <v>182</v>
      </c>
      <c r="C4" s="76" t="str">
        <f>VLOOKUP(G5,'18_1'!$A$12:$G$48,7,0)</f>
        <v>SERRESONE DE MASSO, ROSA ANTONIA</v>
      </c>
      <c r="D4" s="76"/>
      <c r="E4" s="76"/>
      <c r="F4" s="76"/>
      <c r="G4" s="100" t="s">
        <v>134</v>
      </c>
      <c r="H4" s="89"/>
    </row>
    <row r="5" spans="1:8">
      <c r="A5" s="75"/>
      <c r="B5" s="76" t="s">
        <v>91</v>
      </c>
      <c r="C5" s="76" t="str">
        <f>+'18_1'!$H$3</f>
        <v>Hijuela 2da. El Carmen Completa</v>
      </c>
      <c r="D5" s="76"/>
      <c r="E5" s="76"/>
      <c r="F5" s="76"/>
      <c r="G5" s="100">
        <v>1</v>
      </c>
      <c r="H5" s="89"/>
    </row>
    <row r="6" spans="1:8">
      <c r="A6" s="75"/>
      <c r="B6" s="76"/>
      <c r="C6" s="76"/>
      <c r="D6" s="76"/>
      <c r="E6" s="76"/>
      <c r="F6" s="76"/>
      <c r="G6" s="76"/>
      <c r="H6" s="89"/>
    </row>
    <row r="7" spans="1:8">
      <c r="A7" s="75"/>
      <c r="B7" s="635" t="s">
        <v>183</v>
      </c>
      <c r="C7" s="331">
        <f>VLOOKUP(G5,'18_1'!$A$13:$B$48,2,0)</f>
        <v>1252</v>
      </c>
      <c r="D7" s="76"/>
      <c r="E7" s="635" t="s">
        <v>184</v>
      </c>
      <c r="F7" s="397">
        <f>DSUM('18_1'!A$12:J$48,'18_1'!$J$12,G4:G5)</f>
        <v>0.67416294255154541</v>
      </c>
      <c r="G7" s="76"/>
      <c r="H7" s="89"/>
    </row>
    <row r="8" spans="1:8">
      <c r="A8" s="75"/>
      <c r="B8" s="635" t="s">
        <v>185</v>
      </c>
      <c r="C8" s="374" t="s">
        <v>579</v>
      </c>
      <c r="D8" s="76"/>
      <c r="E8" s="635" t="s">
        <v>186</v>
      </c>
      <c r="F8" s="368" t="str">
        <f>IF(VLOOKUP(G5,'18_1'!$A$12:$D$86,4,0)=2,"Eventual 80%","Definitivo 100%")</f>
        <v>Eventual 80%</v>
      </c>
      <c r="G8" s="76"/>
      <c r="H8" s="89"/>
    </row>
    <row r="9" spans="1:8">
      <c r="A9" s="75"/>
      <c r="B9" s="635" t="s">
        <v>187</v>
      </c>
      <c r="C9" s="375">
        <f>DSUM('18_1'!$A$12:$H$48,'18_1'!$H$12,G4:G5)</f>
        <v>37.439360000000008</v>
      </c>
      <c r="D9" s="76"/>
      <c r="E9" s="635" t="s">
        <v>188</v>
      </c>
      <c r="F9" s="369" t="str">
        <f>+Hijuelas!$G$5</f>
        <v>fracción</v>
      </c>
      <c r="G9" s="106"/>
      <c r="H9" s="89"/>
    </row>
    <row r="10" spans="1:8" ht="15.75">
      <c r="A10" s="75"/>
      <c r="B10" s="76"/>
      <c r="C10" s="635" t="s">
        <v>189</v>
      </c>
      <c r="D10" s="107" t="e">
        <f>DMIN('18_1'!A$12:K$48,'18_1'!$K$12,G4:G5)</f>
        <v>#REF!</v>
      </c>
      <c r="E10" s="127" t="e">
        <f>IF(F10=1,"Domingo",IF(F10=2,"Lunes",IF(F10=3,"Martes",IF(F10=4,"Miercoles",IF(F10=5,"Jueves",IF(F10=6,"Viernes",IF(F10=7,"Sábado",0)))))))</f>
        <v>#REF!</v>
      </c>
      <c r="F10" s="128" t="e">
        <f>WEEKDAY(D10)</f>
        <v>#REF!</v>
      </c>
      <c r="G10" s="103"/>
      <c r="H10" s="89"/>
    </row>
    <row r="11" spans="1:8" ht="15.75">
      <c r="A11" s="75"/>
      <c r="B11" s="76"/>
      <c r="C11" s="635" t="s">
        <v>190</v>
      </c>
      <c r="D11" s="107" t="e">
        <f>DMAX('18_1'!A$12:L$48,'18_1'!$L$12,G4:G5)</f>
        <v>#REF!</v>
      </c>
      <c r="E11" s="127" t="e">
        <f>IF(F11=1,"Domingo",IF(F11=2,"Lunes",IF(F11=3,"Martes",IF(F11=4,"Miercoles",IF(F11=5,"Jueves",IF(F11=6,"Viernes",IF(F11=7,"Sábado",0)))))))</f>
        <v>#REF!</v>
      </c>
      <c r="F11" s="128" t="e">
        <f>WEEKDAY(D11)</f>
        <v>#REF!</v>
      </c>
      <c r="G11" s="103"/>
      <c r="H11" s="89"/>
    </row>
    <row r="12" spans="1:8">
      <c r="A12" s="75"/>
      <c r="B12" s="76"/>
      <c r="C12" s="76"/>
      <c r="D12" s="76"/>
      <c r="E12" s="76"/>
      <c r="F12" s="106"/>
      <c r="G12" s="106"/>
      <c r="H12" s="89"/>
    </row>
    <row r="13" spans="1:8">
      <c r="A13" s="75"/>
      <c r="B13" s="331" t="str">
        <f>+Mensajes!$B$7</f>
        <v>PARA CUALQUIER MODIFICACION EN EL CUADRO DE TURNO COMUNIQUESE CON SU TOMERO</v>
      </c>
      <c r="C13" s="279"/>
      <c r="D13" s="76"/>
      <c r="E13" s="76"/>
      <c r="F13" s="76"/>
      <c r="G13" s="76"/>
      <c r="H13" s="89"/>
    </row>
    <row r="14" spans="1:8">
      <c r="A14" s="75"/>
      <c r="B14" s="332" t="str">
        <f>+Mensajes!$B$12</f>
        <v>Recuerde que con 1 (una) cuotas vigentes impagas se restringirá el servicio.</v>
      </c>
      <c r="C14" s="280"/>
      <c r="D14" s="76"/>
      <c r="E14" s="76"/>
      <c r="F14" s="76"/>
      <c r="G14" s="76"/>
      <c r="H14" s="89"/>
    </row>
    <row r="15" spans="1:8">
      <c r="A15" s="75"/>
      <c r="B15" s="108"/>
      <c r="C15" s="76"/>
      <c r="D15" s="76"/>
      <c r="E15" s="76"/>
      <c r="F15" s="76"/>
      <c r="G15" s="76"/>
      <c r="H15" s="89"/>
    </row>
    <row r="16" spans="1:8" ht="13.5" thickBot="1">
      <c r="A16" s="101"/>
      <c r="B16" s="387" t="str">
        <f>IF(DSUM('17_1'!$A$12:$P$90,16,G4:G5)=COUNTIF('17_1'!$A$12:$A$90,G5),"","Regularice su Deuda")</f>
        <v/>
      </c>
      <c r="C16" s="77"/>
      <c r="D16" s="77"/>
      <c r="E16" s="77"/>
      <c r="F16" s="77"/>
      <c r="G16" s="77"/>
      <c r="H16" s="78"/>
    </row>
    <row r="18" spans="1:8">
      <c r="A18" s="86"/>
      <c r="B18" s="87"/>
      <c r="C18" s="87"/>
      <c r="D18" s="87"/>
      <c r="E18" s="87"/>
      <c r="F18" s="87"/>
      <c r="G18" s="87"/>
      <c r="H18" s="88"/>
    </row>
    <row r="19" spans="1:8">
      <c r="A19" s="75"/>
      <c r="B19" s="109" t="s">
        <v>82</v>
      </c>
      <c r="C19" s="76"/>
      <c r="D19" s="76"/>
      <c r="E19" s="76"/>
      <c r="F19" s="76"/>
      <c r="G19" s="76"/>
      <c r="H19" s="89"/>
    </row>
    <row r="20" spans="1:8">
      <c r="A20" s="75"/>
      <c r="B20" s="76"/>
      <c r="C20" s="76"/>
      <c r="D20" s="76"/>
      <c r="E20" s="76"/>
      <c r="F20" s="76"/>
      <c r="G20" s="76"/>
      <c r="H20" s="89"/>
    </row>
    <row r="21" spans="1:8">
      <c r="A21" s="75"/>
      <c r="B21" s="76" t="s">
        <v>182</v>
      </c>
      <c r="C21" s="76" t="str">
        <f>VLOOKUP(G22,'18_1'!$A$12:$G$48,7,0)</f>
        <v>LAMANTIA, SALVADOR CARLOS Y LAMANTIA, JOSE</v>
      </c>
      <c r="D21" s="76"/>
      <c r="E21" s="76"/>
      <c r="F21" s="76"/>
      <c r="G21" s="100" t="s">
        <v>134</v>
      </c>
      <c r="H21" s="89"/>
    </row>
    <row r="22" spans="1:8">
      <c r="A22" s="75"/>
      <c r="B22" s="76" t="s">
        <v>91</v>
      </c>
      <c r="C22" s="76" t="str">
        <f>+'18_1'!$H$3</f>
        <v>Hijuela 2da. El Carmen Completa</v>
      </c>
      <c r="D22" s="76"/>
      <c r="E22" s="76"/>
      <c r="F22" s="76"/>
      <c r="G22" s="100">
        <v>2</v>
      </c>
      <c r="H22" s="89"/>
    </row>
    <row r="23" spans="1:8">
      <c r="A23" s="75"/>
      <c r="B23" s="76"/>
      <c r="C23" s="76"/>
      <c r="D23" s="76"/>
      <c r="E23" s="76"/>
      <c r="F23" s="76"/>
      <c r="G23" s="76"/>
      <c r="H23" s="89"/>
    </row>
    <row r="24" spans="1:8">
      <c r="A24" s="75"/>
      <c r="B24" s="635" t="s">
        <v>183</v>
      </c>
      <c r="C24" s="331">
        <f>VLOOKUP(G22,'18_1'!$A$13:$B$48,2,0)</f>
        <v>1252</v>
      </c>
      <c r="D24" s="76"/>
      <c r="E24" s="635" t="s">
        <v>184</v>
      </c>
      <c r="F24" s="397">
        <f>DSUM('18_1'!A$12:J$48,'18_1'!$J$12,G21:G22)</f>
        <v>0.71513920902806349</v>
      </c>
      <c r="G24" s="76"/>
      <c r="H24" s="89"/>
    </row>
    <row r="25" spans="1:8">
      <c r="A25" s="75"/>
      <c r="B25" s="635" t="s">
        <v>185</v>
      </c>
      <c r="C25" s="374" t="s">
        <v>334</v>
      </c>
      <c r="D25" s="76"/>
      <c r="E25" s="635" t="s">
        <v>186</v>
      </c>
      <c r="F25" s="368" t="str">
        <f>IF(VLOOKUP(G22,'18_1'!$A$12:$D$86,4,0)=2,"Eventual 80%","Definitivo 100%")</f>
        <v>Eventual 80%</v>
      </c>
      <c r="G25" s="76"/>
      <c r="H25" s="89"/>
    </row>
    <row r="26" spans="1:8">
      <c r="A26" s="75"/>
      <c r="B26" s="635" t="s">
        <v>187</v>
      </c>
      <c r="C26" s="375">
        <f>DSUM('18_1'!$A$12:$H$48,'18_1'!$H$12,G21:G22)</f>
        <v>39.714960000000005</v>
      </c>
      <c r="D26" s="76"/>
      <c r="E26" s="635" t="s">
        <v>188</v>
      </c>
      <c r="F26" s="369" t="str">
        <f>+Hijuelas!$G$5</f>
        <v>fracción</v>
      </c>
      <c r="G26" s="106"/>
      <c r="H26" s="89"/>
    </row>
    <row r="27" spans="1:8" ht="15.75">
      <c r="A27" s="75"/>
      <c r="B27" s="76"/>
      <c r="C27" s="635" t="s">
        <v>189</v>
      </c>
      <c r="D27" s="107" t="e">
        <f>DMIN('18_1'!A$12:K$48,'18_1'!$K$12,G21:G22)</f>
        <v>#REF!</v>
      </c>
      <c r="E27" s="127" t="e">
        <f>IF(F27=1,"Domingo",IF(F27=2,"Lunes",IF(F27=3,"Martes",IF(F27=4,"Miercoles",IF(F27=5,"Jueves",IF(F27=6,"Viernes",IF(F27=7,"Sábado",0)))))))</f>
        <v>#REF!</v>
      </c>
      <c r="F27" s="128" t="e">
        <f>WEEKDAY(D27)</f>
        <v>#REF!</v>
      </c>
      <c r="G27" s="103"/>
      <c r="H27" s="89"/>
    </row>
    <row r="28" spans="1:8" ht="15.75">
      <c r="A28" s="75"/>
      <c r="B28" s="76"/>
      <c r="C28" s="635" t="s">
        <v>190</v>
      </c>
      <c r="D28" s="107" t="e">
        <f>DMAX('18_1'!A$12:L$48,'18_1'!$L$12,G21:G22)</f>
        <v>#REF!</v>
      </c>
      <c r="E28" s="127" t="e">
        <f>IF(F28=1,"Domingo",IF(F28=2,"Lunes",IF(F28=3,"Martes",IF(F28=4,"Miercoles",IF(F28=5,"Jueves",IF(F28=6,"Viernes",IF(F28=7,"Sábado",0)))))))</f>
        <v>#REF!</v>
      </c>
      <c r="F28" s="128" t="e">
        <f>WEEKDAY(D28)</f>
        <v>#REF!</v>
      </c>
      <c r="G28" s="103"/>
      <c r="H28" s="89"/>
    </row>
    <row r="29" spans="1:8">
      <c r="A29" s="75"/>
      <c r="B29" s="76"/>
      <c r="C29" s="76"/>
      <c r="D29" s="76"/>
      <c r="E29" s="76"/>
      <c r="F29" s="106"/>
      <c r="G29" s="106"/>
      <c r="H29" s="89"/>
    </row>
    <row r="30" spans="1:8">
      <c r="A30" s="75"/>
      <c r="B30" s="331" t="str">
        <f>+Mensajes!$B$7</f>
        <v>PARA CUALQUIER MODIFICACION EN EL CUADRO DE TURNO COMUNIQUESE CON SU TOMERO</v>
      </c>
      <c r="C30" s="279"/>
      <c r="D30" s="76"/>
      <c r="E30" s="76"/>
      <c r="F30" s="76"/>
      <c r="G30" s="76"/>
      <c r="H30" s="89"/>
    </row>
    <row r="31" spans="1:8">
      <c r="A31" s="75"/>
      <c r="B31" s="332" t="str">
        <f>+Mensajes!$B$12</f>
        <v>Recuerde que con 1 (una) cuotas vigentes impagas se restringirá el servicio.</v>
      </c>
      <c r="C31" s="280"/>
      <c r="D31" s="76"/>
      <c r="E31" s="76"/>
      <c r="F31" s="76"/>
      <c r="G31" s="76"/>
      <c r="H31" s="89"/>
    </row>
    <row r="32" spans="1:8">
      <c r="A32" s="75"/>
      <c r="B32" s="108"/>
      <c r="C32" s="76"/>
      <c r="D32" s="76"/>
      <c r="E32" s="76"/>
      <c r="F32" s="76"/>
      <c r="G32" s="76"/>
      <c r="H32" s="89"/>
    </row>
    <row r="33" spans="1:8" ht="13.5" thickBot="1">
      <c r="A33" s="101"/>
      <c r="B33" s="387" t="str">
        <f>IF(DSUM('17_1'!$A$12:$P$90,16,G21:G22)=COUNTIF('17_1'!$A$12:$A$90,G22),"","Regularice su Deuda")</f>
        <v/>
      </c>
      <c r="C33" s="77"/>
      <c r="D33" s="77"/>
      <c r="E33" s="77"/>
      <c r="F33" s="77"/>
      <c r="G33" s="77"/>
      <c r="H33" s="78"/>
    </row>
    <row r="35" spans="1:8">
      <c r="A35" s="86"/>
      <c r="B35" s="87"/>
      <c r="C35" s="87"/>
      <c r="D35" s="87"/>
      <c r="E35" s="87"/>
      <c r="F35" s="87"/>
      <c r="G35" s="87"/>
      <c r="H35" s="88"/>
    </row>
    <row r="36" spans="1:8">
      <c r="A36" s="75"/>
      <c r="B36" s="109" t="s">
        <v>82</v>
      </c>
      <c r="C36" s="76"/>
      <c r="D36" s="76"/>
      <c r="E36" s="76"/>
      <c r="F36" s="76"/>
      <c r="G36" s="76"/>
      <c r="H36" s="89"/>
    </row>
    <row r="37" spans="1:8">
      <c r="A37" s="75"/>
      <c r="B37" s="76"/>
      <c r="C37" s="76"/>
      <c r="D37" s="76"/>
      <c r="E37" s="76"/>
      <c r="F37" s="76"/>
      <c r="G37" s="76"/>
      <c r="H37" s="89"/>
    </row>
    <row r="38" spans="1:8">
      <c r="A38" s="75"/>
      <c r="B38" s="76" t="s">
        <v>182</v>
      </c>
      <c r="C38" s="76" t="str">
        <f>VLOOKUP(G39,'18_1'!$A$12:$G$48,7,0)</f>
        <v>BARELLO, ANTONIO; BARELLO, MARCIANO Y BARELLO, JUAN</v>
      </c>
      <c r="D38" s="76"/>
      <c r="E38" s="76"/>
      <c r="F38" s="76"/>
      <c r="G38" s="100" t="s">
        <v>134</v>
      </c>
      <c r="H38" s="89"/>
    </row>
    <row r="39" spans="1:8">
      <c r="A39" s="75"/>
      <c r="B39" s="76" t="s">
        <v>91</v>
      </c>
      <c r="C39" s="76" t="str">
        <f>+'18_1'!$H$3</f>
        <v>Hijuela 2da. El Carmen Completa</v>
      </c>
      <c r="D39" s="76"/>
      <c r="E39" s="76"/>
      <c r="F39" s="76"/>
      <c r="G39" s="100">
        <v>3</v>
      </c>
      <c r="H39" s="89"/>
    </row>
    <row r="40" spans="1:8">
      <c r="A40" s="75"/>
      <c r="B40" s="76"/>
      <c r="C40" s="76"/>
      <c r="D40" s="76"/>
      <c r="E40" s="76"/>
      <c r="F40" s="76"/>
      <c r="G40" s="76"/>
      <c r="H40" s="89"/>
    </row>
    <row r="41" spans="1:8">
      <c r="A41" s="75"/>
      <c r="B41" s="635" t="s">
        <v>183</v>
      </c>
      <c r="C41" s="331">
        <f>VLOOKUP(G39,'18_1'!$A$13:$B$48,2,0)</f>
        <v>1252</v>
      </c>
      <c r="D41" s="76"/>
      <c r="E41" s="635" t="s">
        <v>184</v>
      </c>
      <c r="F41" s="397">
        <f>DSUM('18_1'!A$12:J$48,'18_1'!$J$12,G38:G39)</f>
        <v>0.26502835485381848</v>
      </c>
      <c r="G41" s="76"/>
      <c r="H41" s="89"/>
    </row>
    <row r="42" spans="1:8">
      <c r="A42" s="75"/>
      <c r="B42" s="635" t="s">
        <v>185</v>
      </c>
      <c r="C42" s="374" t="s">
        <v>335</v>
      </c>
      <c r="D42" s="76"/>
      <c r="E42" s="635" t="s">
        <v>186</v>
      </c>
      <c r="F42" s="368" t="str">
        <f>IF(VLOOKUP(G39,'18_1'!$A$12:$D$86,4,0)=2,"Eventual 80%","Definitivo 100%")</f>
        <v>Eventual 80%</v>
      </c>
      <c r="G42" s="76"/>
      <c r="H42" s="89"/>
    </row>
    <row r="43" spans="1:8">
      <c r="A43" s="75"/>
      <c r="B43" s="635" t="s">
        <v>187</v>
      </c>
      <c r="C43" s="375">
        <f>DSUM('18_1'!$A$12:$H$48,'18_1'!$H$12,G38:G39)</f>
        <v>14.718240000000002</v>
      </c>
      <c r="D43" s="76"/>
      <c r="E43" s="635" t="s">
        <v>188</v>
      </c>
      <c r="F43" s="369" t="str">
        <f>+Hijuelas!$G$5</f>
        <v>fracción</v>
      </c>
      <c r="G43" s="106"/>
      <c r="H43" s="89"/>
    </row>
    <row r="44" spans="1:8" ht="15.75">
      <c r="A44" s="75"/>
      <c r="B44" s="76"/>
      <c r="C44" s="635" t="s">
        <v>189</v>
      </c>
      <c r="D44" s="107" t="e">
        <f>DMIN('18_1'!A$12:K$48,'18_1'!$K$12,G38:G39)</f>
        <v>#REF!</v>
      </c>
      <c r="E44" s="127" t="e">
        <f>IF(F44=1,"Domingo",IF(F44=2,"Lunes",IF(F44=3,"Martes",IF(F44=4,"Miercoles",IF(F44=5,"Jueves",IF(F44=6,"Viernes",IF(F44=7,"Sábado",0)))))))</f>
        <v>#REF!</v>
      </c>
      <c r="F44" s="128" t="e">
        <f>WEEKDAY(D44)</f>
        <v>#REF!</v>
      </c>
      <c r="G44" s="103"/>
      <c r="H44" s="89"/>
    </row>
    <row r="45" spans="1:8" ht="15.75">
      <c r="A45" s="75"/>
      <c r="B45" s="76"/>
      <c r="C45" s="635" t="s">
        <v>190</v>
      </c>
      <c r="D45" s="107" t="e">
        <f>DMAX('18_1'!A$12:L$48,'18_1'!$L$12,G38:G39)</f>
        <v>#REF!</v>
      </c>
      <c r="E45" s="127" t="e">
        <f>IF(F45=1,"Domingo",IF(F45=2,"Lunes",IF(F45=3,"Martes",IF(F45=4,"Miercoles",IF(F45=5,"Jueves",IF(F45=6,"Viernes",IF(F45=7,"Sábado",0)))))))</f>
        <v>#REF!</v>
      </c>
      <c r="F45" s="128" t="e">
        <f>WEEKDAY(D45)</f>
        <v>#REF!</v>
      </c>
      <c r="G45" s="103"/>
      <c r="H45" s="89"/>
    </row>
    <row r="46" spans="1:8">
      <c r="A46" s="75"/>
      <c r="B46" s="76"/>
      <c r="C46" s="76"/>
      <c r="D46" s="76"/>
      <c r="E46" s="76"/>
      <c r="F46" s="106"/>
      <c r="G46" s="106"/>
      <c r="H46" s="89"/>
    </row>
    <row r="47" spans="1:8">
      <c r="A47" s="75"/>
      <c r="B47" s="331" t="str">
        <f>+Mensajes!$B$7</f>
        <v>PARA CUALQUIER MODIFICACION EN EL CUADRO DE TURNO COMUNIQUESE CON SU TOMERO</v>
      </c>
      <c r="C47" s="279"/>
      <c r="D47" s="76"/>
      <c r="E47" s="76"/>
      <c r="F47" s="76"/>
      <c r="G47" s="76"/>
      <c r="H47" s="89"/>
    </row>
    <row r="48" spans="1:8">
      <c r="A48" s="75"/>
      <c r="B48" s="332" t="str">
        <f>+Mensajes!$B$12</f>
        <v>Recuerde que con 1 (una) cuotas vigentes impagas se restringirá el servicio.</v>
      </c>
      <c r="C48" s="280"/>
      <c r="D48" s="76"/>
      <c r="E48" s="76"/>
      <c r="F48" s="76"/>
      <c r="G48" s="76"/>
      <c r="H48" s="89"/>
    </row>
    <row r="49" spans="1:8">
      <c r="A49" s="75"/>
      <c r="B49" s="108"/>
      <c r="C49" s="76"/>
      <c r="D49" s="76"/>
      <c r="E49" s="76"/>
      <c r="F49" s="76"/>
      <c r="G49" s="76"/>
      <c r="H49" s="89"/>
    </row>
    <row r="50" spans="1:8" ht="13.5" thickBot="1">
      <c r="A50" s="101"/>
      <c r="B50" s="387" t="str">
        <f>IF(DSUM('17_1'!$A$12:$P$90,16,G38:G39)=COUNTIF('17_1'!$A$12:$A$90,G39),"","Regularice su Deuda")</f>
        <v/>
      </c>
      <c r="C50" s="77"/>
      <c r="D50" s="77"/>
      <c r="E50" s="77"/>
      <c r="F50" s="77"/>
      <c r="G50" s="77"/>
      <c r="H50" s="78"/>
    </row>
    <row r="52" spans="1:8">
      <c r="A52" s="86"/>
      <c r="B52" s="87"/>
      <c r="C52" s="87"/>
      <c r="D52" s="87"/>
      <c r="E52" s="87"/>
      <c r="F52" s="87"/>
      <c r="G52" s="87"/>
      <c r="H52" s="88"/>
    </row>
    <row r="53" spans="1:8">
      <c r="A53" s="75"/>
      <c r="B53" s="109" t="s">
        <v>82</v>
      </c>
      <c r="C53" s="76"/>
      <c r="D53" s="76"/>
      <c r="E53" s="76"/>
      <c r="F53" s="76"/>
      <c r="G53" s="76"/>
      <c r="H53" s="89"/>
    </row>
    <row r="54" spans="1:8">
      <c r="A54" s="75"/>
      <c r="B54" s="76"/>
      <c r="C54" s="76"/>
      <c r="D54" s="76"/>
      <c r="E54" s="76"/>
      <c r="F54" s="76"/>
      <c r="G54" s="76"/>
      <c r="H54" s="89"/>
    </row>
    <row r="55" spans="1:8">
      <c r="A55" s="75"/>
      <c r="B55" s="76" t="s">
        <v>182</v>
      </c>
      <c r="C55" s="76" t="str">
        <f>VLOOKUP(G56,'18_1'!$A$12:$G$48,7,0)</f>
        <v>YAMIN, ELIAS Y CRUZ DE YAMIN, JOSEFA</v>
      </c>
      <c r="D55" s="76"/>
      <c r="E55" s="76"/>
      <c r="F55" s="76"/>
      <c r="G55" s="100" t="s">
        <v>134</v>
      </c>
      <c r="H55" s="89"/>
    </row>
    <row r="56" spans="1:8">
      <c r="A56" s="75"/>
      <c r="B56" s="76" t="s">
        <v>91</v>
      </c>
      <c r="C56" s="76" t="str">
        <f>+'18_1'!$H$3</f>
        <v>Hijuela 2da. El Carmen Completa</v>
      </c>
      <c r="D56" s="76"/>
      <c r="E56" s="76"/>
      <c r="F56" s="76"/>
      <c r="G56" s="100">
        <v>4</v>
      </c>
      <c r="H56" s="89"/>
    </row>
    <row r="57" spans="1:8">
      <c r="A57" s="75"/>
      <c r="B57" s="76"/>
      <c r="C57" s="76"/>
      <c r="D57" s="76"/>
      <c r="E57" s="76"/>
      <c r="F57" s="76"/>
      <c r="G57" s="76"/>
      <c r="H57" s="89"/>
    </row>
    <row r="58" spans="1:8">
      <c r="A58" s="75"/>
      <c r="B58" s="635" t="s">
        <v>183</v>
      </c>
      <c r="C58" s="331">
        <f>VLOOKUP(G56,'18_1'!$A$13:$B$48,2,0)</f>
        <v>1252</v>
      </c>
      <c r="D58" s="76"/>
      <c r="E58" s="635" t="s">
        <v>184</v>
      </c>
      <c r="F58" s="397">
        <f>DSUM('18_1'!A$12:J$48,'18_1'!$J$12,G55:G56)</f>
        <v>0.27449416772135937</v>
      </c>
      <c r="G58" s="76"/>
      <c r="H58" s="89"/>
    </row>
    <row r="59" spans="1:8">
      <c r="A59" s="75"/>
      <c r="B59" s="635" t="s">
        <v>185</v>
      </c>
      <c r="C59" s="374" t="s">
        <v>580</v>
      </c>
      <c r="D59" s="76"/>
      <c r="E59" s="635" t="s">
        <v>186</v>
      </c>
      <c r="F59" s="368" t="str">
        <f>IF(VLOOKUP(G56,'18_1'!$A$12:$D$86,4,0)=2,"Eventual 80%","Definitivo 100%")</f>
        <v>Eventual 80%</v>
      </c>
      <c r="G59" s="76"/>
      <c r="H59" s="89"/>
    </row>
    <row r="60" spans="1:8">
      <c r="A60" s="75"/>
      <c r="B60" s="635" t="s">
        <v>187</v>
      </c>
      <c r="C60" s="375">
        <f>DSUM('18_1'!$A$12:$H$48,'18_1'!$H$12,G55:G56)</f>
        <v>15.243919999999999</v>
      </c>
      <c r="D60" s="76"/>
      <c r="E60" s="635" t="s">
        <v>188</v>
      </c>
      <c r="F60" s="369" t="str">
        <f>+Hijuelas!$G$5</f>
        <v>fracción</v>
      </c>
      <c r="G60" s="106"/>
      <c r="H60" s="89"/>
    </row>
    <row r="61" spans="1:8" ht="15.75">
      <c r="A61" s="75"/>
      <c r="B61" s="76"/>
      <c r="C61" s="635" t="s">
        <v>189</v>
      </c>
      <c r="D61" s="107" t="e">
        <f>DMIN('18_1'!A$12:K$48,'18_1'!$K$12,G55:G56)</f>
        <v>#REF!</v>
      </c>
      <c r="E61" s="127" t="e">
        <f>IF(F61=1,"Domingo",IF(F61=2,"Lunes",IF(F61=3,"Martes",IF(F61=4,"Miercoles",IF(F61=5,"Jueves",IF(F61=6,"Viernes",IF(F61=7,"Sábado",0)))))))</f>
        <v>#REF!</v>
      </c>
      <c r="F61" s="128" t="e">
        <f>WEEKDAY(D61)</f>
        <v>#REF!</v>
      </c>
      <c r="G61" s="103"/>
      <c r="H61" s="89"/>
    </row>
    <row r="62" spans="1:8" ht="15.75">
      <c r="A62" s="75"/>
      <c r="B62" s="76"/>
      <c r="C62" s="635" t="s">
        <v>190</v>
      </c>
      <c r="D62" s="107" t="e">
        <f>DMAX('18_1'!A$12:L$48,'18_1'!$L$12,G55:G56)</f>
        <v>#REF!</v>
      </c>
      <c r="E62" s="127" t="e">
        <f>IF(F62=1,"Domingo",IF(F62=2,"Lunes",IF(F62=3,"Martes",IF(F62=4,"Miercoles",IF(F62=5,"Jueves",IF(F62=6,"Viernes",IF(F62=7,"Sábado",0)))))))</f>
        <v>#REF!</v>
      </c>
      <c r="F62" s="128" t="e">
        <f>WEEKDAY(D62)</f>
        <v>#REF!</v>
      </c>
      <c r="G62" s="103"/>
      <c r="H62" s="89"/>
    </row>
    <row r="63" spans="1:8">
      <c r="A63" s="75"/>
      <c r="B63" s="76"/>
      <c r="C63" s="76"/>
      <c r="D63" s="76"/>
      <c r="E63" s="76"/>
      <c r="F63" s="106"/>
      <c r="G63" s="106"/>
      <c r="H63" s="89"/>
    </row>
    <row r="64" spans="1:8">
      <c r="A64" s="75"/>
      <c r="B64" s="331" t="str">
        <f>+Mensajes!$B$7</f>
        <v>PARA CUALQUIER MODIFICACION EN EL CUADRO DE TURNO COMUNIQUESE CON SU TOMERO</v>
      </c>
      <c r="C64" s="279"/>
      <c r="D64" s="76"/>
      <c r="E64" s="76"/>
      <c r="F64" s="76"/>
      <c r="G64" s="76"/>
      <c r="H64" s="89"/>
    </row>
    <row r="65" spans="1:8">
      <c r="A65" s="75"/>
      <c r="B65" s="332" t="str">
        <f>+Mensajes!$B$12</f>
        <v>Recuerde que con 1 (una) cuotas vigentes impagas se restringirá el servicio.</v>
      </c>
      <c r="C65" s="280"/>
      <c r="D65" s="76"/>
      <c r="E65" s="76"/>
      <c r="F65" s="76"/>
      <c r="G65" s="76"/>
      <c r="H65" s="89"/>
    </row>
    <row r="66" spans="1:8">
      <c r="A66" s="75"/>
      <c r="B66" s="108"/>
      <c r="C66" s="76"/>
      <c r="D66" s="76"/>
      <c r="E66" s="76"/>
      <c r="F66" s="76"/>
      <c r="G66" s="76"/>
      <c r="H66" s="89"/>
    </row>
    <row r="67" spans="1:8" ht="13.5" thickBot="1">
      <c r="A67" s="101"/>
      <c r="B67" s="387" t="str">
        <f>IF(DSUM('17_1'!$A$12:$P$90,16,G55:G56)=COUNTIF('17_1'!$A$12:$A$90,G56),"","Regularice su Deuda")</f>
        <v/>
      </c>
      <c r="C67" s="77"/>
      <c r="D67" s="77"/>
      <c r="E67" s="77"/>
      <c r="F67" s="77"/>
      <c r="G67" s="77"/>
      <c r="H67" s="78"/>
    </row>
    <row r="69" spans="1:8">
      <c r="A69" s="86"/>
      <c r="B69" s="87"/>
      <c r="C69" s="87"/>
      <c r="D69" s="87"/>
      <c r="E69" s="87"/>
      <c r="F69" s="87"/>
      <c r="G69" s="87"/>
      <c r="H69" s="88"/>
    </row>
    <row r="70" spans="1:8">
      <c r="A70" s="75"/>
      <c r="B70" s="109" t="s">
        <v>82</v>
      </c>
      <c r="C70" s="76"/>
      <c r="D70" s="76"/>
      <c r="E70" s="76"/>
      <c r="F70" s="76"/>
      <c r="G70" s="76"/>
      <c r="H70" s="89"/>
    </row>
    <row r="71" spans="1:8">
      <c r="A71" s="75"/>
      <c r="B71" s="76"/>
      <c r="C71" s="76"/>
      <c r="D71" s="76"/>
      <c r="E71" s="76"/>
      <c r="F71" s="76"/>
      <c r="G71" s="76"/>
      <c r="H71" s="89"/>
    </row>
    <row r="72" spans="1:8">
      <c r="A72" s="75"/>
      <c r="B72" s="76" t="s">
        <v>182</v>
      </c>
      <c r="C72" s="76" t="str">
        <f>VLOOKUP(G73,'18_1'!$A$12:$G$48,7,0)</f>
        <v>ROMERO, FRANCISCO HUMBERTO</v>
      </c>
      <c r="D72" s="76"/>
      <c r="E72" s="76"/>
      <c r="F72" s="76"/>
      <c r="G72" s="100" t="s">
        <v>134</v>
      </c>
      <c r="H72" s="89"/>
    </row>
    <row r="73" spans="1:8">
      <c r="A73" s="75"/>
      <c r="B73" s="76" t="s">
        <v>91</v>
      </c>
      <c r="C73" s="76" t="str">
        <f>+'18_1'!$H$3</f>
        <v>Hijuela 2da. El Carmen Completa</v>
      </c>
      <c r="D73" s="76"/>
      <c r="E73" s="76"/>
      <c r="F73" s="76"/>
      <c r="G73" s="100">
        <v>5</v>
      </c>
      <c r="H73" s="89"/>
    </row>
    <row r="74" spans="1:8">
      <c r="A74" s="75"/>
      <c r="B74" s="76"/>
      <c r="C74" s="76"/>
      <c r="D74" s="76"/>
      <c r="E74" s="76"/>
      <c r="F74" s="76"/>
      <c r="G74" s="76"/>
      <c r="H74" s="89"/>
    </row>
    <row r="75" spans="1:8">
      <c r="A75" s="75"/>
      <c r="B75" s="635" t="s">
        <v>183</v>
      </c>
      <c r="C75" s="331">
        <f>VLOOKUP(G73,'18_1'!$A$13:$B$48,2,0)</f>
        <v>1252</v>
      </c>
      <c r="D75" s="76"/>
      <c r="E75" s="635" t="s">
        <v>184</v>
      </c>
      <c r="F75" s="397">
        <f>DSUM('18_1'!A$12:J$48,'18_1'!$J$12,G72:G73)</f>
        <v>6.0633926252878466E-2</v>
      </c>
      <c r="G75" s="76"/>
      <c r="H75" s="89"/>
    </row>
    <row r="76" spans="1:8">
      <c r="A76" s="75"/>
      <c r="B76" s="635" t="s">
        <v>185</v>
      </c>
      <c r="C76" s="374">
        <v>80</v>
      </c>
      <c r="D76" s="76"/>
      <c r="E76" s="635" t="s">
        <v>186</v>
      </c>
      <c r="F76" s="368" t="str">
        <f>IF(VLOOKUP(G73,'18_1'!$A$12:$D$86,4,0)=2,"Eventual 80%","Definitivo 100%")</f>
        <v>Eventual 80%</v>
      </c>
      <c r="G76" s="76"/>
      <c r="H76" s="89"/>
    </row>
    <row r="77" spans="1:8">
      <c r="A77" s="75"/>
      <c r="B77" s="635" t="s">
        <v>187</v>
      </c>
      <c r="C77" s="375">
        <f>DSUM('18_1'!$A$12:$H$48,'18_1'!$H$12,G72:G73)</f>
        <v>3.3672800000000005</v>
      </c>
      <c r="D77" s="76"/>
      <c r="E77" s="635" t="s">
        <v>188</v>
      </c>
      <c r="F77" s="369" t="str">
        <f>+Hijuelas!$G$5</f>
        <v>fracción</v>
      </c>
      <c r="G77" s="106"/>
      <c r="H77" s="89"/>
    </row>
    <row r="78" spans="1:8" ht="15.75">
      <c r="A78" s="75"/>
      <c r="B78" s="76"/>
      <c r="C78" s="635" t="s">
        <v>189</v>
      </c>
      <c r="D78" s="107" t="e">
        <f>DMIN('18_1'!A$12:K$48,'18_1'!$K$12,G72:G73)</f>
        <v>#REF!</v>
      </c>
      <c r="E78" s="127" t="e">
        <f>IF(F78=1,"Domingo",IF(F78=2,"Lunes",IF(F78=3,"Martes",IF(F78=4,"Miercoles",IF(F78=5,"Jueves",IF(F78=6,"Viernes",IF(F78=7,"Sábado",0)))))))</f>
        <v>#REF!</v>
      </c>
      <c r="F78" s="128" t="e">
        <f>WEEKDAY(D78)</f>
        <v>#REF!</v>
      </c>
      <c r="G78" s="103"/>
      <c r="H78" s="89"/>
    </row>
    <row r="79" spans="1:8" ht="15.75">
      <c r="A79" s="75"/>
      <c r="B79" s="76"/>
      <c r="C79" s="635" t="s">
        <v>190</v>
      </c>
      <c r="D79" s="107" t="e">
        <f>DMAX('18_1'!A$12:L$48,'18_1'!$L$12,G72:G73)</f>
        <v>#REF!</v>
      </c>
      <c r="E79" s="127" t="e">
        <f>IF(F79=1,"Domingo",IF(F79=2,"Lunes",IF(F79=3,"Martes",IF(F79=4,"Miercoles",IF(F79=5,"Jueves",IF(F79=6,"Viernes",IF(F79=7,"Sábado",0)))))))</f>
        <v>#REF!</v>
      </c>
      <c r="F79" s="128" t="e">
        <f>WEEKDAY(D79)</f>
        <v>#REF!</v>
      </c>
      <c r="G79" s="103"/>
      <c r="H79" s="89"/>
    </row>
    <row r="80" spans="1:8">
      <c r="A80" s="75"/>
      <c r="B80" s="76"/>
      <c r="C80" s="76"/>
      <c r="D80" s="76"/>
      <c r="E80" s="76"/>
      <c r="F80" s="106"/>
      <c r="G80" s="106"/>
      <c r="H80" s="89"/>
    </row>
    <row r="81" spans="1:8">
      <c r="A81" s="75"/>
      <c r="B81" s="331" t="str">
        <f>+Mensajes!$B$7</f>
        <v>PARA CUALQUIER MODIFICACION EN EL CUADRO DE TURNO COMUNIQUESE CON SU TOMERO</v>
      </c>
      <c r="C81" s="279"/>
      <c r="D81" s="76"/>
      <c r="E81" s="76"/>
      <c r="F81" s="76"/>
      <c r="G81" s="76"/>
      <c r="H81" s="89"/>
    </row>
    <row r="82" spans="1:8">
      <c r="A82" s="75"/>
      <c r="B82" s="332" t="str">
        <f>+Mensajes!$B$12</f>
        <v>Recuerde que con 1 (una) cuotas vigentes impagas se restringirá el servicio.</v>
      </c>
      <c r="C82" s="280"/>
      <c r="D82" s="76"/>
      <c r="E82" s="76"/>
      <c r="F82" s="76"/>
      <c r="G82" s="76"/>
      <c r="H82" s="89"/>
    </row>
    <row r="83" spans="1:8">
      <c r="A83" s="75"/>
      <c r="B83" s="108"/>
      <c r="C83" s="76"/>
      <c r="D83" s="76"/>
      <c r="E83" s="76"/>
      <c r="F83" s="76"/>
      <c r="G83" s="76"/>
      <c r="H83" s="89"/>
    </row>
    <row r="84" spans="1:8" ht="13.5" thickBot="1">
      <c r="A84" s="101"/>
      <c r="B84" s="387" t="str">
        <f>IF(DSUM('17_1'!$A$12:$P$90,16,G72:G73)=COUNTIF('17_1'!$A$12:$A$90,G73),"","Regularice su Deuda")</f>
        <v/>
      </c>
      <c r="C84" s="77"/>
      <c r="D84" s="77"/>
      <c r="E84" s="77"/>
      <c r="F84" s="77"/>
      <c r="G84" s="77"/>
      <c r="H84" s="78"/>
    </row>
    <row r="86" spans="1:8">
      <c r="A86" s="86"/>
      <c r="B86" s="87"/>
      <c r="C86" s="87"/>
      <c r="D86" s="87"/>
      <c r="E86" s="87"/>
      <c r="F86" s="87"/>
      <c r="G86" s="87"/>
      <c r="H86" s="88"/>
    </row>
    <row r="87" spans="1:8">
      <c r="A87" s="75"/>
      <c r="B87" s="109" t="s">
        <v>82</v>
      </c>
      <c r="C87" s="76"/>
      <c r="D87" s="76"/>
      <c r="E87" s="76"/>
      <c r="F87" s="76"/>
      <c r="G87" s="76"/>
      <c r="H87" s="89"/>
    </row>
    <row r="88" spans="1:8">
      <c r="A88" s="75"/>
      <c r="B88" s="76"/>
      <c r="C88" s="76"/>
      <c r="D88" s="76"/>
      <c r="E88" s="76"/>
      <c r="F88" s="76"/>
      <c r="G88" s="76"/>
      <c r="H88" s="89"/>
    </row>
    <row r="89" spans="1:8">
      <c r="A89" s="75"/>
      <c r="B89" s="76" t="s">
        <v>182</v>
      </c>
      <c r="C89" s="76" t="str">
        <f>VLOOKUP(G90,'18_1'!$A$12:$G$48,7,0)</f>
        <v>ROMERO, FRANCISCO HUMBERTO</v>
      </c>
      <c r="D89" s="76"/>
      <c r="E89" s="76"/>
      <c r="F89" s="76"/>
      <c r="G89" s="100" t="s">
        <v>134</v>
      </c>
      <c r="H89" s="89"/>
    </row>
    <row r="90" spans="1:8">
      <c r="A90" s="75"/>
      <c r="B90" s="76" t="s">
        <v>91</v>
      </c>
      <c r="C90" s="76" t="str">
        <f>+'18_1'!$H$3</f>
        <v>Hijuela 2da. El Carmen Completa</v>
      </c>
      <c r="D90" s="76"/>
      <c r="E90" s="76"/>
      <c r="F90" s="76"/>
      <c r="G90" s="100">
        <v>6</v>
      </c>
      <c r="H90" s="89"/>
    </row>
    <row r="91" spans="1:8">
      <c r="A91" s="75"/>
      <c r="B91" s="76"/>
      <c r="C91" s="76"/>
      <c r="D91" s="76"/>
      <c r="E91" s="76"/>
      <c r="F91" s="76"/>
      <c r="G91" s="76"/>
      <c r="H91" s="89"/>
    </row>
    <row r="92" spans="1:8">
      <c r="A92" s="75"/>
      <c r="B92" s="635" t="s">
        <v>183</v>
      </c>
      <c r="C92" s="331">
        <f>VLOOKUP(G90,'18_1'!$A$13:$B$48,2,0)</f>
        <v>1252</v>
      </c>
      <c r="D92" s="76"/>
      <c r="E92" s="635" t="s">
        <v>184</v>
      </c>
      <c r="F92" s="397">
        <f>DSUM('18_1'!A$12:J$48,'18_1'!$J$12,G89:G90)</f>
        <v>0</v>
      </c>
      <c r="G92" s="76"/>
      <c r="H92" s="89"/>
    </row>
    <row r="93" spans="1:8">
      <c r="A93" s="75"/>
      <c r="B93" s="635" t="s">
        <v>185</v>
      </c>
      <c r="C93" s="374">
        <v>75</v>
      </c>
      <c r="D93" s="76"/>
      <c r="E93" s="635" t="s">
        <v>186</v>
      </c>
      <c r="F93" s="368" t="str">
        <f>IF(VLOOKUP(G90,'18_1'!$A$12:$D$86,4,0)=2,"Eventual 80%","Definitivo 100%")</f>
        <v>Eventual 80%</v>
      </c>
      <c r="G93" s="76"/>
      <c r="H93" s="89"/>
    </row>
    <row r="94" spans="1:8">
      <c r="A94" s="75"/>
      <c r="B94" s="635" t="s">
        <v>187</v>
      </c>
      <c r="C94" s="375">
        <f>DSUM('18_1'!$A$12:$H$48,'18_1'!$H$12,G89:G90)</f>
        <v>0</v>
      </c>
      <c r="D94" s="76"/>
      <c r="E94" s="635" t="s">
        <v>188</v>
      </c>
      <c r="F94" s="369" t="str">
        <f>+Hijuelas!$G$5</f>
        <v>fracción</v>
      </c>
      <c r="G94" s="106"/>
      <c r="H94" s="89"/>
    </row>
    <row r="95" spans="1:8" ht="15.75">
      <c r="A95" s="75"/>
      <c r="B95" s="76"/>
      <c r="C95" s="635" t="s">
        <v>189</v>
      </c>
      <c r="D95" s="107" t="e">
        <f>DMIN('18_1'!A$12:K$48,'18_1'!$K$12,G89:G90)</f>
        <v>#REF!</v>
      </c>
      <c r="E95" s="127" t="e">
        <f>IF(F95=1,"Domingo",IF(F95=2,"Lunes",IF(F95=3,"Martes",IF(F95=4,"Miercoles",IF(F95=5,"Jueves",IF(F95=6,"Viernes",IF(F95=7,"Sábado",0)))))))</f>
        <v>#REF!</v>
      </c>
      <c r="F95" s="128" t="e">
        <f>WEEKDAY(D95)</f>
        <v>#REF!</v>
      </c>
      <c r="G95" s="103"/>
      <c r="H95" s="89"/>
    </row>
    <row r="96" spans="1:8" ht="15.75">
      <c r="A96" s="75"/>
      <c r="B96" s="76"/>
      <c r="C96" s="635" t="s">
        <v>190</v>
      </c>
      <c r="D96" s="107" t="e">
        <f>DMAX('18_1'!A$12:L$48,'18_1'!$L$12,G89:G90)</f>
        <v>#REF!</v>
      </c>
      <c r="E96" s="127" t="e">
        <f>IF(F96=1,"Domingo",IF(F96=2,"Lunes",IF(F96=3,"Martes",IF(F96=4,"Miercoles",IF(F96=5,"Jueves",IF(F96=6,"Viernes",IF(F96=7,"Sábado",0)))))))</f>
        <v>#REF!</v>
      </c>
      <c r="F96" s="128" t="e">
        <f>WEEKDAY(D96)</f>
        <v>#REF!</v>
      </c>
      <c r="G96" s="103"/>
      <c r="H96" s="89"/>
    </row>
    <row r="97" spans="1:8">
      <c r="A97" s="75"/>
      <c r="B97" s="76"/>
      <c r="C97" s="76"/>
      <c r="D97" s="76"/>
      <c r="E97" s="76"/>
      <c r="F97" s="106"/>
      <c r="G97" s="106"/>
      <c r="H97" s="89"/>
    </row>
    <row r="98" spans="1:8">
      <c r="A98" s="75"/>
      <c r="B98" s="331" t="str">
        <f>+Mensajes!$B$7</f>
        <v>PARA CUALQUIER MODIFICACION EN EL CUADRO DE TURNO COMUNIQUESE CON SU TOMERO</v>
      </c>
      <c r="C98" s="279"/>
      <c r="D98" s="76"/>
      <c r="E98" s="76"/>
      <c r="F98" s="76"/>
      <c r="G98" s="76"/>
      <c r="H98" s="89"/>
    </row>
    <row r="99" spans="1:8">
      <c r="A99" s="75"/>
      <c r="B99" s="332" t="str">
        <f>+Mensajes!$B$12</f>
        <v>Recuerde que con 1 (una) cuotas vigentes impagas se restringirá el servicio.</v>
      </c>
      <c r="C99" s="280"/>
      <c r="D99" s="76"/>
      <c r="E99" s="76"/>
      <c r="F99" s="76"/>
      <c r="G99" s="76"/>
      <c r="H99" s="89"/>
    </row>
    <row r="100" spans="1:8">
      <c r="A100" s="75"/>
      <c r="B100" s="108"/>
      <c r="C100" s="76"/>
      <c r="D100" s="76"/>
      <c r="E100" s="76"/>
      <c r="F100" s="76"/>
      <c r="G100" s="76"/>
      <c r="H100" s="89"/>
    </row>
    <row r="101" spans="1:8" ht="13.5" thickBot="1">
      <c r="A101" s="101"/>
      <c r="B101" s="387" t="str">
        <f>IF(DSUM('17_1'!$A$12:$P$90,16,G89:G90)=COUNTIF('17_1'!$A$12:$A$90,G90),"","Regularice su Deuda")</f>
        <v/>
      </c>
      <c r="C101" s="77"/>
      <c r="D101" s="77"/>
      <c r="E101" s="77"/>
      <c r="F101" s="77"/>
      <c r="G101" s="77"/>
      <c r="H101" s="78"/>
    </row>
    <row r="103" spans="1:8">
      <c r="A103" s="86"/>
      <c r="B103" s="87"/>
      <c r="C103" s="87"/>
      <c r="D103" s="87"/>
      <c r="E103" s="87"/>
      <c r="F103" s="87"/>
      <c r="G103" s="87"/>
      <c r="H103" s="88"/>
    </row>
    <row r="104" spans="1:8">
      <c r="A104" s="75"/>
      <c r="B104" s="109" t="s">
        <v>82</v>
      </c>
      <c r="C104" s="76"/>
      <c r="D104" s="76"/>
      <c r="E104" s="76"/>
      <c r="F104" s="76"/>
      <c r="G104" s="76"/>
      <c r="H104" s="89"/>
    </row>
    <row r="105" spans="1:8">
      <c r="A105" s="75"/>
      <c r="B105" s="76"/>
      <c r="C105" s="76"/>
      <c r="D105" s="76"/>
      <c r="E105" s="76"/>
      <c r="F105" s="76"/>
      <c r="G105" s="76"/>
      <c r="H105" s="89"/>
    </row>
    <row r="106" spans="1:8">
      <c r="A106" s="75"/>
      <c r="B106" s="76" t="s">
        <v>182</v>
      </c>
      <c r="C106" s="76" t="str">
        <f>VLOOKUP(G107,'18_1'!$A$12:$G$48,7,0)</f>
        <v>NESCI, ENRIQUE</v>
      </c>
      <c r="D106" s="76"/>
      <c r="E106" s="76"/>
      <c r="F106" s="76"/>
      <c r="G106" s="100" t="s">
        <v>134</v>
      </c>
      <c r="H106" s="89"/>
    </row>
    <row r="107" spans="1:8">
      <c r="A107" s="75"/>
      <c r="B107" s="76" t="s">
        <v>91</v>
      </c>
      <c r="C107" s="76" t="str">
        <f>+'18_1'!$H$3</f>
        <v>Hijuela 2da. El Carmen Completa</v>
      </c>
      <c r="D107" s="76"/>
      <c r="E107" s="76"/>
      <c r="F107" s="76"/>
      <c r="G107" s="100">
        <v>7</v>
      </c>
      <c r="H107" s="89"/>
    </row>
    <row r="108" spans="1:8">
      <c r="A108" s="75"/>
      <c r="B108" s="76"/>
      <c r="C108" s="76"/>
      <c r="D108" s="76"/>
      <c r="E108" s="76"/>
      <c r="F108" s="76"/>
      <c r="G108" s="76"/>
      <c r="H108" s="89"/>
    </row>
    <row r="109" spans="1:8">
      <c r="A109" s="75"/>
      <c r="B109" s="635" t="s">
        <v>183</v>
      </c>
      <c r="C109" s="331">
        <f>VLOOKUP(G107,'18_1'!$A$13:$B$48,2,0)</f>
        <v>1252</v>
      </c>
      <c r="D109" s="76"/>
      <c r="E109" s="635" t="s">
        <v>184</v>
      </c>
      <c r="F109" s="397">
        <f>DSUM('18_1'!A$12:J$48,'18_1'!$J$12,G106:G107)</f>
        <v>0.20784020920954721</v>
      </c>
      <c r="G109" s="76"/>
      <c r="H109" s="89"/>
    </row>
    <row r="110" spans="1:8">
      <c r="A110" s="75"/>
      <c r="B110" s="635" t="s">
        <v>185</v>
      </c>
      <c r="C110" s="374">
        <v>41</v>
      </c>
      <c r="D110" s="76"/>
      <c r="E110" s="635" t="s">
        <v>186</v>
      </c>
      <c r="F110" s="368" t="str">
        <f>IF(VLOOKUP(G107,'18_1'!$A$12:$D$86,4,0)=2,"Eventual 80%","Definitivo 100%")</f>
        <v>Eventual 80%</v>
      </c>
      <c r="G110" s="76"/>
      <c r="H110" s="89"/>
    </row>
    <row r="111" spans="1:8">
      <c r="A111" s="75"/>
      <c r="B111" s="635" t="s">
        <v>187</v>
      </c>
      <c r="C111" s="375">
        <f>DSUM('18_1'!$A$12:$H$48,'18_1'!$H$12,G106:G107)</f>
        <v>11.54232</v>
      </c>
      <c r="D111" s="76"/>
      <c r="E111" s="635" t="s">
        <v>188</v>
      </c>
      <c r="F111" s="369" t="str">
        <f>+Hijuelas!$G$5</f>
        <v>fracción</v>
      </c>
      <c r="G111" s="106"/>
      <c r="H111" s="89"/>
    </row>
    <row r="112" spans="1:8" ht="15.75">
      <c r="A112" s="75"/>
      <c r="B112" s="76"/>
      <c r="C112" s="635" t="s">
        <v>189</v>
      </c>
      <c r="D112" s="107" t="e">
        <f>DMIN('18_1'!A$12:K$48,'18_1'!$K$12,G106:G107)</f>
        <v>#REF!</v>
      </c>
      <c r="E112" s="127" t="e">
        <f>IF(F112=1,"Domingo",IF(F112=2,"Lunes",IF(F112=3,"Martes",IF(F112=4,"Miercoles",IF(F112=5,"Jueves",IF(F112=6,"Viernes",IF(F112=7,"Sábado",0)))))))</f>
        <v>#REF!</v>
      </c>
      <c r="F112" s="128" t="e">
        <f>WEEKDAY(D112)</f>
        <v>#REF!</v>
      </c>
      <c r="G112" s="103"/>
      <c r="H112" s="89"/>
    </row>
    <row r="113" spans="1:8" ht="15.75">
      <c r="A113" s="75"/>
      <c r="B113" s="76"/>
      <c r="C113" s="635" t="s">
        <v>190</v>
      </c>
      <c r="D113" s="107" t="e">
        <f>DMAX('18_1'!A$12:L$48,'18_1'!$L$12,G106:G107)</f>
        <v>#REF!</v>
      </c>
      <c r="E113" s="127" t="e">
        <f>IF(F113=1,"Domingo",IF(F113=2,"Lunes",IF(F113=3,"Martes",IF(F113=4,"Miercoles",IF(F113=5,"Jueves",IF(F113=6,"Viernes",IF(F113=7,"Sábado",0)))))))</f>
        <v>#REF!</v>
      </c>
      <c r="F113" s="128" t="e">
        <f>WEEKDAY(D113)</f>
        <v>#REF!</v>
      </c>
      <c r="G113" s="103"/>
      <c r="H113" s="89"/>
    </row>
    <row r="114" spans="1:8">
      <c r="A114" s="75"/>
      <c r="B114" s="76"/>
      <c r="C114" s="76"/>
      <c r="D114" s="76"/>
      <c r="E114" s="76"/>
      <c r="F114" s="106"/>
      <c r="G114" s="106"/>
      <c r="H114" s="89"/>
    </row>
    <row r="115" spans="1:8">
      <c r="A115" s="75"/>
      <c r="B115" s="331" t="str">
        <f>+Mensajes!$B$7</f>
        <v>PARA CUALQUIER MODIFICACION EN EL CUADRO DE TURNO COMUNIQUESE CON SU TOMERO</v>
      </c>
      <c r="C115" s="279"/>
      <c r="D115" s="76"/>
      <c r="E115" s="76"/>
      <c r="F115" s="76"/>
      <c r="G115" s="76"/>
      <c r="H115" s="89"/>
    </row>
    <row r="116" spans="1:8">
      <c r="A116" s="75"/>
      <c r="B116" s="332" t="str">
        <f>+Mensajes!$B$12</f>
        <v>Recuerde que con 1 (una) cuotas vigentes impagas se restringirá el servicio.</v>
      </c>
      <c r="C116" s="280"/>
      <c r="D116" s="76"/>
      <c r="E116" s="76"/>
      <c r="F116" s="76"/>
      <c r="G116" s="76"/>
      <c r="H116" s="89"/>
    </row>
    <row r="117" spans="1:8">
      <c r="A117" s="75"/>
      <c r="B117" s="108"/>
      <c r="C117" s="76"/>
      <c r="D117" s="76"/>
      <c r="E117" s="76"/>
      <c r="F117" s="76"/>
      <c r="G117" s="76"/>
      <c r="H117" s="89"/>
    </row>
    <row r="118" spans="1:8" ht="13.5" thickBot="1">
      <c r="A118" s="101"/>
      <c r="B118" s="387" t="str">
        <f>IF(DSUM('17_1'!$A$12:$P$90,16,G106:G107)=COUNTIF('17_1'!$A$12:$A$90,G107),"","Regularice su Deuda")</f>
        <v/>
      </c>
      <c r="C118" s="77"/>
      <c r="D118" s="77"/>
      <c r="E118" s="77"/>
      <c r="F118" s="77"/>
      <c r="G118" s="77"/>
      <c r="H118" s="78"/>
    </row>
    <row r="120" spans="1:8">
      <c r="A120" s="86"/>
      <c r="B120" s="87"/>
      <c r="C120" s="87"/>
      <c r="D120" s="87"/>
      <c r="E120" s="87"/>
      <c r="F120" s="87"/>
      <c r="G120" s="87"/>
      <c r="H120" s="88"/>
    </row>
    <row r="121" spans="1:8">
      <c r="A121" s="75"/>
      <c r="B121" s="109" t="s">
        <v>82</v>
      </c>
      <c r="C121" s="76"/>
      <c r="D121" s="76"/>
      <c r="E121" s="76"/>
      <c r="F121" s="76"/>
      <c r="G121" s="76"/>
      <c r="H121" s="89"/>
    </row>
    <row r="122" spans="1:8">
      <c r="A122" s="75"/>
      <c r="B122" s="76"/>
      <c r="C122" s="76"/>
      <c r="D122" s="76"/>
      <c r="E122" s="76"/>
      <c r="F122" s="76"/>
      <c r="G122" s="76"/>
      <c r="H122" s="89"/>
    </row>
    <row r="123" spans="1:8">
      <c r="A123" s="75"/>
      <c r="B123" s="76" t="s">
        <v>182</v>
      </c>
      <c r="C123" s="76" t="str">
        <f>VLOOKUP(G124,'18_1'!$A$12:$G$48,7,0)</f>
        <v>ROMERO PI±A, DIEGO</v>
      </c>
      <c r="D123" s="76"/>
      <c r="E123" s="76"/>
      <c r="F123" s="76"/>
      <c r="G123" s="100" t="s">
        <v>134</v>
      </c>
      <c r="H123" s="89"/>
    </row>
    <row r="124" spans="1:8">
      <c r="A124" s="75"/>
      <c r="B124" s="76" t="s">
        <v>91</v>
      </c>
      <c r="C124" s="76" t="str">
        <f>+'18_1'!$H$3</f>
        <v>Hijuela 2da. El Carmen Completa</v>
      </c>
      <c r="D124" s="76"/>
      <c r="E124" s="76"/>
      <c r="F124" s="76"/>
      <c r="G124" s="100">
        <v>8</v>
      </c>
      <c r="H124" s="89"/>
    </row>
    <row r="125" spans="1:8">
      <c r="A125" s="75"/>
      <c r="B125" s="76"/>
      <c r="C125" s="76"/>
      <c r="D125" s="76"/>
      <c r="E125" s="76"/>
      <c r="F125" s="76"/>
      <c r="G125" s="76"/>
      <c r="H125" s="89"/>
    </row>
    <row r="126" spans="1:8">
      <c r="A126" s="75"/>
      <c r="B126" s="635" t="s">
        <v>183</v>
      </c>
      <c r="C126" s="331">
        <f>VLOOKUP(G124,'18_1'!$A$13:$B$48,2,0)</f>
        <v>1252</v>
      </c>
      <c r="D126" s="76"/>
      <c r="E126" s="635" t="s">
        <v>184</v>
      </c>
      <c r="F126" s="397">
        <f>DSUM('18_1'!A$12:J$48,'18_1'!$J$12,G123:G124)</f>
        <v>3.3462390366779449E-2</v>
      </c>
      <c r="G126" s="76"/>
      <c r="H126" s="89"/>
    </row>
    <row r="127" spans="1:8">
      <c r="A127" s="75"/>
      <c r="B127" s="635" t="s">
        <v>185</v>
      </c>
      <c r="C127" s="374" t="s">
        <v>581</v>
      </c>
      <c r="D127" s="76"/>
      <c r="E127" s="635" t="s">
        <v>186</v>
      </c>
      <c r="F127" s="368" t="str">
        <f>IF(VLOOKUP(G124,'18_1'!$A$12:$D$86,4,0)=2,"Eventual 80%","Definitivo 100%")</f>
        <v>Eventual 80%</v>
      </c>
      <c r="G127" s="76"/>
      <c r="H127" s="89"/>
    </row>
    <row r="128" spans="1:8">
      <c r="A128" s="75"/>
      <c r="B128" s="635" t="s">
        <v>187</v>
      </c>
      <c r="C128" s="375">
        <f>DSUM('18_1'!$A$12:$H$48,'18_1'!$H$12,G123:G124)</f>
        <v>1.85832</v>
      </c>
      <c r="D128" s="76"/>
      <c r="E128" s="635" t="s">
        <v>188</v>
      </c>
      <c r="F128" s="369" t="str">
        <f>+Hijuelas!$G$5</f>
        <v>fracción</v>
      </c>
      <c r="G128" s="106"/>
      <c r="H128" s="89"/>
    </row>
    <row r="129" spans="1:8" ht="15.75">
      <c r="A129" s="75"/>
      <c r="B129" s="76"/>
      <c r="C129" s="635" t="s">
        <v>189</v>
      </c>
      <c r="D129" s="107" t="e">
        <f>DMIN('18_1'!A$12:K$48,'18_1'!$K$12,G123:G124)</f>
        <v>#REF!</v>
      </c>
      <c r="E129" s="127" t="e">
        <f>IF(F129=1,"Domingo",IF(F129=2,"Lunes",IF(F129=3,"Martes",IF(F129=4,"Miercoles",IF(F129=5,"Jueves",IF(F129=6,"Viernes",IF(F129=7,"Sábado",0)))))))</f>
        <v>#REF!</v>
      </c>
      <c r="F129" s="128" t="e">
        <f>WEEKDAY(D129)</f>
        <v>#REF!</v>
      </c>
      <c r="G129" s="103"/>
      <c r="H129" s="89"/>
    </row>
    <row r="130" spans="1:8" ht="15.75">
      <c r="A130" s="75"/>
      <c r="B130" s="76"/>
      <c r="C130" s="635" t="s">
        <v>190</v>
      </c>
      <c r="D130" s="107" t="e">
        <f>DMAX('18_1'!A$12:L$48,'18_1'!$L$12,G123:G124)</f>
        <v>#REF!</v>
      </c>
      <c r="E130" s="127" t="e">
        <f>IF(F130=1,"Domingo",IF(F130=2,"Lunes",IF(F130=3,"Martes",IF(F130=4,"Miercoles",IF(F130=5,"Jueves",IF(F130=6,"Viernes",IF(F130=7,"Sábado",0)))))))</f>
        <v>#REF!</v>
      </c>
      <c r="F130" s="128" t="e">
        <f>WEEKDAY(D130)</f>
        <v>#REF!</v>
      </c>
      <c r="G130" s="103"/>
      <c r="H130" s="89"/>
    </row>
    <row r="131" spans="1:8">
      <c r="A131" s="75"/>
      <c r="B131" s="76"/>
      <c r="C131" s="76"/>
      <c r="D131" s="76"/>
      <c r="E131" s="76"/>
      <c r="F131" s="106"/>
      <c r="G131" s="106"/>
      <c r="H131" s="89"/>
    </row>
    <row r="132" spans="1:8">
      <c r="A132" s="75"/>
      <c r="B132" s="331" t="str">
        <f>+Mensajes!$B$7</f>
        <v>PARA CUALQUIER MODIFICACION EN EL CUADRO DE TURNO COMUNIQUESE CON SU TOMERO</v>
      </c>
      <c r="C132" s="279"/>
      <c r="D132" s="76"/>
      <c r="E132" s="76"/>
      <c r="F132" s="76"/>
      <c r="G132" s="76"/>
      <c r="H132" s="89"/>
    </row>
    <row r="133" spans="1:8">
      <c r="A133" s="75"/>
      <c r="B133" s="332" t="str">
        <f>+Mensajes!$B$12</f>
        <v>Recuerde que con 1 (una) cuotas vigentes impagas se restringirá el servicio.</v>
      </c>
      <c r="C133" s="280"/>
      <c r="D133" s="76"/>
      <c r="E133" s="76"/>
      <c r="F133" s="76"/>
      <c r="G133" s="76"/>
      <c r="H133" s="89"/>
    </row>
    <row r="134" spans="1:8">
      <c r="A134" s="75"/>
      <c r="B134" s="108"/>
      <c r="C134" s="76"/>
      <c r="D134" s="76"/>
      <c r="E134" s="76"/>
      <c r="F134" s="76"/>
      <c r="G134" s="76"/>
      <c r="H134" s="89"/>
    </row>
    <row r="135" spans="1:8" ht="13.5" thickBot="1">
      <c r="A135" s="101"/>
      <c r="B135" s="387" t="str">
        <f>IF(DSUM('17_1'!$A$12:$P$90,16,G123:G124)=COUNTIF('17_1'!$A$12:$A$90,G124),"","Regularice su Deuda")</f>
        <v/>
      </c>
      <c r="C135" s="77"/>
      <c r="D135" s="77"/>
      <c r="E135" s="77"/>
      <c r="F135" s="77"/>
      <c r="G135" s="77"/>
      <c r="H135" s="78"/>
    </row>
    <row r="137" spans="1:8">
      <c r="A137" s="86"/>
      <c r="B137" s="87"/>
      <c r="C137" s="87"/>
      <c r="D137" s="87"/>
      <c r="E137" s="87"/>
      <c r="F137" s="87"/>
      <c r="G137" s="87"/>
      <c r="H137" s="88"/>
    </row>
    <row r="138" spans="1:8">
      <c r="A138" s="75"/>
      <c r="B138" s="109" t="s">
        <v>82</v>
      </c>
      <c r="C138" s="76"/>
      <c r="D138" s="76"/>
      <c r="E138" s="76"/>
      <c r="F138" s="76"/>
      <c r="G138" s="76"/>
      <c r="H138" s="89"/>
    </row>
    <row r="139" spans="1:8">
      <c r="A139" s="75"/>
      <c r="B139" s="76"/>
      <c r="C139" s="76"/>
      <c r="D139" s="76"/>
      <c r="E139" s="76"/>
      <c r="F139" s="76"/>
      <c r="G139" s="76"/>
      <c r="H139" s="89"/>
    </row>
    <row r="140" spans="1:8">
      <c r="A140" s="75"/>
      <c r="B140" s="76" t="s">
        <v>182</v>
      </c>
      <c r="C140" s="76" t="str">
        <f>VLOOKUP(G141,'18_1'!$A$12:$G$48,7,0)</f>
        <v>ROMERO PI±A, DIEGO-(ARCHERITO, CAYETANO)</v>
      </c>
      <c r="D140" s="76"/>
      <c r="E140" s="76"/>
      <c r="F140" s="76"/>
      <c r="G140" s="100" t="s">
        <v>134</v>
      </c>
      <c r="H140" s="89"/>
    </row>
    <row r="141" spans="1:8">
      <c r="A141" s="75"/>
      <c r="B141" s="76" t="s">
        <v>91</v>
      </c>
      <c r="C141" s="76" t="str">
        <f>+'18_1'!$H$3</f>
        <v>Hijuela 2da. El Carmen Completa</v>
      </c>
      <c r="D141" s="76"/>
      <c r="E141" s="76"/>
      <c r="F141" s="76"/>
      <c r="G141" s="100">
        <v>9</v>
      </c>
      <c r="H141" s="89"/>
    </row>
    <row r="142" spans="1:8">
      <c r="A142" s="75"/>
      <c r="B142" s="76"/>
      <c r="C142" s="76"/>
      <c r="D142" s="76"/>
      <c r="E142" s="76"/>
      <c r="F142" s="76"/>
      <c r="G142" s="76"/>
      <c r="H142" s="89"/>
    </row>
    <row r="143" spans="1:8">
      <c r="A143" s="75"/>
      <c r="B143" s="635" t="s">
        <v>183</v>
      </c>
      <c r="C143" s="331">
        <f>VLOOKUP(G141,'18_1'!$A$13:$B$48,2,0)</f>
        <v>1252</v>
      </c>
      <c r="D143" s="76"/>
      <c r="E143" s="635" t="s">
        <v>184</v>
      </c>
      <c r="F143" s="397">
        <f>DSUM('18_1'!A$12:J$48,'18_1'!$J$12,G140:G141)</f>
        <v>5.9739348594874675E-3</v>
      </c>
      <c r="G143" s="76"/>
      <c r="H143" s="89"/>
    </row>
    <row r="144" spans="1:8">
      <c r="A144" s="75"/>
      <c r="B144" s="635" t="s">
        <v>185</v>
      </c>
      <c r="C144" s="374" t="s">
        <v>582</v>
      </c>
      <c r="D144" s="76"/>
      <c r="E144" s="635" t="s">
        <v>186</v>
      </c>
      <c r="F144" s="368" t="str">
        <f>IF(VLOOKUP(G141,'18_1'!$A$12:$D$86,4,0)=2,"Eventual 80%","Definitivo 100%")</f>
        <v>Eventual 80%</v>
      </c>
      <c r="G144" s="76"/>
      <c r="H144" s="89"/>
    </row>
    <row r="145" spans="1:8">
      <c r="A145" s="75"/>
      <c r="B145" s="635" t="s">
        <v>187</v>
      </c>
      <c r="C145" s="375">
        <f>DSUM('18_1'!$A$12:$H$48,'18_1'!$H$12,G140:G141)</f>
        <v>0.33176000000000005</v>
      </c>
      <c r="D145" s="76"/>
      <c r="E145" s="635" t="s">
        <v>188</v>
      </c>
      <c r="F145" s="369" t="str">
        <f>+Hijuelas!$G$5</f>
        <v>fracción</v>
      </c>
      <c r="G145" s="106"/>
      <c r="H145" s="89"/>
    </row>
    <row r="146" spans="1:8" ht="15.75">
      <c r="A146" s="75"/>
      <c r="B146" s="76"/>
      <c r="C146" s="635" t="s">
        <v>189</v>
      </c>
      <c r="D146" s="107" t="e">
        <f>DMIN('18_1'!A$12:K$48,'18_1'!$K$12,G140:G141)</f>
        <v>#REF!</v>
      </c>
      <c r="E146" s="127" t="e">
        <f>IF(F146=1,"Domingo",IF(F146=2,"Lunes",IF(F146=3,"Martes",IF(F146=4,"Miercoles",IF(F146=5,"Jueves",IF(F146=6,"Viernes",IF(F146=7,"Sábado",0)))))))</f>
        <v>#REF!</v>
      </c>
      <c r="F146" s="128" t="e">
        <f>WEEKDAY(D146)</f>
        <v>#REF!</v>
      </c>
      <c r="G146" s="103"/>
      <c r="H146" s="89"/>
    </row>
    <row r="147" spans="1:8" ht="15.75">
      <c r="A147" s="75"/>
      <c r="B147" s="76"/>
      <c r="C147" s="635" t="s">
        <v>190</v>
      </c>
      <c r="D147" s="107" t="e">
        <f>DMAX('18_1'!A$12:L$48,'18_1'!$L$12,G140:G141)</f>
        <v>#REF!</v>
      </c>
      <c r="E147" s="127" t="e">
        <f>IF(F147=1,"Domingo",IF(F147=2,"Lunes",IF(F147=3,"Martes",IF(F147=4,"Miercoles",IF(F147=5,"Jueves",IF(F147=6,"Viernes",IF(F147=7,"Sábado",0)))))))</f>
        <v>#REF!</v>
      </c>
      <c r="F147" s="128" t="e">
        <f>WEEKDAY(D147)</f>
        <v>#REF!</v>
      </c>
      <c r="G147" s="103"/>
      <c r="H147" s="89"/>
    </row>
    <row r="148" spans="1:8">
      <c r="A148" s="75"/>
      <c r="B148" s="76"/>
      <c r="C148" s="76"/>
      <c r="D148" s="76"/>
      <c r="E148" s="76"/>
      <c r="F148" s="106"/>
      <c r="G148" s="106"/>
      <c r="H148" s="89"/>
    </row>
    <row r="149" spans="1:8">
      <c r="A149" s="75"/>
      <c r="B149" s="331" t="str">
        <f>+Mensajes!$B$7</f>
        <v>PARA CUALQUIER MODIFICACION EN EL CUADRO DE TURNO COMUNIQUESE CON SU TOMERO</v>
      </c>
      <c r="C149" s="279"/>
      <c r="D149" s="76"/>
      <c r="E149" s="76"/>
      <c r="F149" s="76"/>
      <c r="G149" s="76"/>
      <c r="H149" s="89"/>
    </row>
    <row r="150" spans="1:8">
      <c r="A150" s="75"/>
      <c r="B150" s="332" t="str">
        <f>+Mensajes!$B$12</f>
        <v>Recuerde que con 1 (una) cuotas vigentes impagas se restringirá el servicio.</v>
      </c>
      <c r="C150" s="280"/>
      <c r="D150" s="76"/>
      <c r="E150" s="76"/>
      <c r="F150" s="76"/>
      <c r="G150" s="76"/>
      <c r="H150" s="89"/>
    </row>
    <row r="151" spans="1:8">
      <c r="A151" s="75"/>
      <c r="B151" s="108"/>
      <c r="C151" s="76"/>
      <c r="D151" s="76"/>
      <c r="E151" s="76"/>
      <c r="F151" s="76"/>
      <c r="G151" s="76"/>
      <c r="H151" s="89"/>
    </row>
    <row r="152" spans="1:8" ht="13.5" thickBot="1">
      <c r="A152" s="101"/>
      <c r="B152" s="387" t="str">
        <f>IF(DSUM('17_1'!$A$12:$P$90,16,G140:G141)=COUNTIF('17_1'!$A$12:$A$90,G141),"","Regularice su Deuda")</f>
        <v/>
      </c>
      <c r="C152" s="77"/>
      <c r="D152" s="77"/>
      <c r="E152" s="77"/>
      <c r="F152" s="77"/>
      <c r="G152" s="77"/>
      <c r="H152" s="78"/>
    </row>
    <row r="154" spans="1:8">
      <c r="A154" s="86"/>
      <c r="B154" s="87"/>
      <c r="C154" s="87"/>
      <c r="D154" s="87"/>
      <c r="E154" s="87"/>
      <c r="F154" s="87"/>
      <c r="G154" s="87"/>
      <c r="H154" s="88"/>
    </row>
    <row r="155" spans="1:8">
      <c r="A155" s="75"/>
      <c r="B155" s="109" t="s">
        <v>82</v>
      </c>
      <c r="C155" s="76"/>
      <c r="D155" s="76"/>
      <c r="E155" s="76"/>
      <c r="F155" s="76"/>
      <c r="G155" s="76"/>
      <c r="H155" s="89"/>
    </row>
    <row r="156" spans="1:8">
      <c r="A156" s="75"/>
      <c r="B156" s="76"/>
      <c r="C156" s="76"/>
      <c r="D156" s="76"/>
      <c r="E156" s="76"/>
      <c r="F156" s="76"/>
      <c r="G156" s="76"/>
      <c r="H156" s="89"/>
    </row>
    <row r="157" spans="1:8">
      <c r="A157" s="75"/>
      <c r="B157" s="76" t="s">
        <v>182</v>
      </c>
      <c r="C157" s="76" t="str">
        <f>VLOOKUP(G158,'18_1'!$A$12:$G$48,7,0)</f>
        <v>SIMIONATO, JOSE</v>
      </c>
      <c r="D157" s="76"/>
      <c r="E157" s="76"/>
      <c r="F157" s="76"/>
      <c r="G157" s="100" t="s">
        <v>134</v>
      </c>
      <c r="H157" s="89"/>
    </row>
    <row r="158" spans="1:8">
      <c r="A158" s="75"/>
      <c r="B158" s="76" t="s">
        <v>91</v>
      </c>
      <c r="C158" s="76" t="str">
        <f>+'18_1'!$H$3</f>
        <v>Hijuela 2da. El Carmen Completa</v>
      </c>
      <c r="D158" s="76"/>
      <c r="E158" s="76"/>
      <c r="F158" s="76"/>
      <c r="G158" s="100">
        <v>10</v>
      </c>
      <c r="H158" s="89"/>
    </row>
    <row r="159" spans="1:8">
      <c r="A159" s="75"/>
      <c r="B159" s="76"/>
      <c r="C159" s="76"/>
      <c r="D159" s="76"/>
      <c r="E159" s="76"/>
      <c r="F159" s="76"/>
      <c r="G159" s="76"/>
      <c r="H159" s="89"/>
    </row>
    <row r="160" spans="1:8">
      <c r="A160" s="75"/>
      <c r="B160" s="635" t="s">
        <v>183</v>
      </c>
      <c r="C160" s="331">
        <f>VLOOKUP(G158,'18_1'!$A$13:$B$48,2,0)</f>
        <v>1252</v>
      </c>
      <c r="D160" s="76"/>
      <c r="E160" s="635" t="s">
        <v>184</v>
      </c>
      <c r="F160" s="397">
        <f>DSUM('18_1'!A$12:J$48,'18_1'!$J$12,G157:G158)</f>
        <v>9.6722427844361455E-2</v>
      </c>
      <c r="G160" s="76"/>
      <c r="H160" s="89"/>
    </row>
    <row r="161" spans="1:8">
      <c r="A161" s="75"/>
      <c r="B161" s="635" t="s">
        <v>185</v>
      </c>
      <c r="C161" s="374">
        <v>36</v>
      </c>
      <c r="D161" s="76"/>
      <c r="E161" s="635" t="s">
        <v>186</v>
      </c>
      <c r="F161" s="368" t="str">
        <f>IF(VLOOKUP(G158,'18_1'!$A$12:$D$86,4,0)=2,"Eventual 80%","Definitivo 100%")</f>
        <v>Eventual 80%</v>
      </c>
      <c r="G161" s="76"/>
      <c r="H161" s="89"/>
    </row>
    <row r="162" spans="1:8">
      <c r="A162" s="75"/>
      <c r="B162" s="635" t="s">
        <v>187</v>
      </c>
      <c r="C162" s="375">
        <f>DSUM('18_1'!$A$12:$H$48,'18_1'!$H$12,G157:G158)</f>
        <v>5.3714399999999998</v>
      </c>
      <c r="D162" s="76"/>
      <c r="E162" s="635" t="s">
        <v>188</v>
      </c>
      <c r="F162" s="369" t="str">
        <f>+Hijuelas!$G$5</f>
        <v>fracción</v>
      </c>
      <c r="G162" s="106"/>
      <c r="H162" s="89"/>
    </row>
    <row r="163" spans="1:8" ht="15.75">
      <c r="A163" s="75"/>
      <c r="B163" s="76"/>
      <c r="C163" s="635" t="s">
        <v>189</v>
      </c>
      <c r="D163" s="107" t="e">
        <f>DMIN('18_1'!A$12:K$48,'18_1'!$K$12,G157:G158)</f>
        <v>#REF!</v>
      </c>
      <c r="E163" s="127" t="e">
        <f>IF(F163=1,"Domingo",IF(F163=2,"Lunes",IF(F163=3,"Martes",IF(F163=4,"Miercoles",IF(F163=5,"Jueves",IF(F163=6,"Viernes",IF(F163=7,"Sábado",0)))))))</f>
        <v>#REF!</v>
      </c>
      <c r="F163" s="128" t="e">
        <f>WEEKDAY(D163)</f>
        <v>#REF!</v>
      </c>
      <c r="G163" s="103"/>
      <c r="H163" s="89"/>
    </row>
    <row r="164" spans="1:8" ht="15.75">
      <c r="A164" s="75"/>
      <c r="B164" s="76"/>
      <c r="C164" s="635" t="s">
        <v>190</v>
      </c>
      <c r="D164" s="107" t="e">
        <f>DMAX('18_1'!A$12:L$48,'18_1'!$L$12,G157:G158)</f>
        <v>#REF!</v>
      </c>
      <c r="E164" s="127" t="e">
        <f>IF(F164=1,"Domingo",IF(F164=2,"Lunes",IF(F164=3,"Martes",IF(F164=4,"Miercoles",IF(F164=5,"Jueves",IF(F164=6,"Viernes",IF(F164=7,"Sábado",0)))))))</f>
        <v>#REF!</v>
      </c>
      <c r="F164" s="128" t="e">
        <f>WEEKDAY(D164)</f>
        <v>#REF!</v>
      </c>
      <c r="G164" s="103"/>
      <c r="H164" s="89"/>
    </row>
    <row r="165" spans="1:8">
      <c r="A165" s="75"/>
      <c r="B165" s="76"/>
      <c r="C165" s="76"/>
      <c r="D165" s="76"/>
      <c r="E165" s="76"/>
      <c r="F165" s="106"/>
      <c r="G165" s="106"/>
      <c r="H165" s="89"/>
    </row>
    <row r="166" spans="1:8">
      <c r="A166" s="75"/>
      <c r="B166" s="331" t="str">
        <f>+Mensajes!$B$7</f>
        <v>PARA CUALQUIER MODIFICACION EN EL CUADRO DE TURNO COMUNIQUESE CON SU TOMERO</v>
      </c>
      <c r="C166" s="279"/>
      <c r="D166" s="76"/>
      <c r="E166" s="76"/>
      <c r="F166" s="76"/>
      <c r="G166" s="76"/>
      <c r="H166" s="89"/>
    </row>
    <row r="167" spans="1:8">
      <c r="A167" s="75"/>
      <c r="B167" s="332" t="str">
        <f>+Mensajes!$B$12</f>
        <v>Recuerde que con 1 (una) cuotas vigentes impagas se restringirá el servicio.</v>
      </c>
      <c r="C167" s="280"/>
      <c r="D167" s="76"/>
      <c r="E167" s="76"/>
      <c r="F167" s="76"/>
      <c r="G167" s="76"/>
      <c r="H167" s="89"/>
    </row>
    <row r="168" spans="1:8">
      <c r="A168" s="75"/>
      <c r="B168" s="108"/>
      <c r="C168" s="76"/>
      <c r="D168" s="76"/>
      <c r="E168" s="76"/>
      <c r="F168" s="76"/>
      <c r="G168" s="76"/>
      <c r="H168" s="89"/>
    </row>
    <row r="169" spans="1:8" ht="13.5" thickBot="1">
      <c r="A169" s="101"/>
      <c r="B169" s="387" t="str">
        <f>IF(DSUM('17_1'!$A$12:$P$90,16,G157:G158)=COUNTIF('17_1'!$A$12:$A$90,G158),"","Regularice su Deuda")</f>
        <v/>
      </c>
      <c r="C169" s="77"/>
      <c r="D169" s="77"/>
      <c r="E169" s="77"/>
      <c r="F169" s="77"/>
      <c r="G169" s="77"/>
      <c r="H169" s="78"/>
    </row>
    <row r="171" spans="1:8">
      <c r="A171" s="86"/>
      <c r="B171" s="87"/>
      <c r="C171" s="87"/>
      <c r="D171" s="87"/>
      <c r="E171" s="87"/>
      <c r="F171" s="87"/>
      <c r="G171" s="87"/>
      <c r="H171" s="88"/>
    </row>
    <row r="172" spans="1:8">
      <c r="A172" s="75"/>
      <c r="B172" s="109" t="s">
        <v>82</v>
      </c>
      <c r="C172" s="76"/>
      <c r="D172" s="76"/>
      <c r="E172" s="76"/>
      <c r="F172" s="76"/>
      <c r="G172" s="76"/>
      <c r="H172" s="89"/>
    </row>
    <row r="173" spans="1:8">
      <c r="A173" s="75"/>
      <c r="B173" s="76"/>
      <c r="C173" s="76"/>
      <c r="D173" s="76"/>
      <c r="E173" s="76"/>
      <c r="F173" s="76"/>
      <c r="G173" s="76"/>
      <c r="H173" s="89"/>
    </row>
    <row r="174" spans="1:8">
      <c r="A174" s="75"/>
      <c r="B174" s="76" t="s">
        <v>182</v>
      </c>
      <c r="C174" s="76" t="str">
        <f>VLOOKUP(G175,'18_1'!$A$12:$G$48,7,0)</f>
        <v>SOTO, FRANCISCO</v>
      </c>
      <c r="D174" s="76"/>
      <c r="E174" s="76"/>
      <c r="F174" s="76"/>
      <c r="G174" s="100" t="s">
        <v>134</v>
      </c>
      <c r="H174" s="89"/>
    </row>
    <row r="175" spans="1:8">
      <c r="A175" s="75"/>
      <c r="B175" s="76" t="s">
        <v>91</v>
      </c>
      <c r="C175" s="76" t="str">
        <f>+'18_1'!$H$3</f>
        <v>Hijuela 2da. El Carmen Completa</v>
      </c>
      <c r="D175" s="76"/>
      <c r="E175" s="76"/>
      <c r="F175" s="76"/>
      <c r="G175" s="100">
        <v>11</v>
      </c>
      <c r="H175" s="89"/>
    </row>
    <row r="176" spans="1:8">
      <c r="A176" s="75"/>
      <c r="B176" s="76"/>
      <c r="C176" s="76"/>
      <c r="D176" s="76"/>
      <c r="E176" s="76"/>
      <c r="F176" s="76"/>
      <c r="G176" s="76"/>
      <c r="H176" s="89"/>
    </row>
    <row r="177" spans="1:8">
      <c r="A177" s="75"/>
      <c r="B177" s="635" t="s">
        <v>183</v>
      </c>
      <c r="C177" s="331">
        <f>VLOOKUP(G175,'18_1'!$A$13:$B$48,2,0)</f>
        <v>1252</v>
      </c>
      <c r="D177" s="76"/>
      <c r="E177" s="635" t="s">
        <v>184</v>
      </c>
      <c r="F177" s="397">
        <f>DSUM('18_1'!A$12:J$48,'18_1'!$J$12,G174:G175)</f>
        <v>0.10804222049588125</v>
      </c>
      <c r="G177" s="76"/>
      <c r="H177" s="89"/>
    </row>
    <row r="178" spans="1:8">
      <c r="A178" s="75"/>
      <c r="B178" s="635" t="s">
        <v>185</v>
      </c>
      <c r="C178" s="374">
        <v>77</v>
      </c>
      <c r="D178" s="76"/>
      <c r="E178" s="635" t="s">
        <v>186</v>
      </c>
      <c r="F178" s="368" t="str">
        <f>IF(VLOOKUP(G175,'18_1'!$A$12:$D$86,4,0)=2,"Eventual 80%","Definitivo 100%")</f>
        <v>Eventual 80%</v>
      </c>
      <c r="G178" s="76"/>
      <c r="H178" s="89"/>
    </row>
    <row r="179" spans="1:8">
      <c r="A179" s="75"/>
      <c r="B179" s="635" t="s">
        <v>187</v>
      </c>
      <c r="C179" s="375">
        <f>DSUM('18_1'!$A$12:$H$48,'18_1'!$H$12,G174:G175)</f>
        <v>6.0000800000000005</v>
      </c>
      <c r="D179" s="76"/>
      <c r="E179" s="635" t="s">
        <v>188</v>
      </c>
      <c r="F179" s="369" t="str">
        <f>+Hijuelas!$G$5</f>
        <v>fracción</v>
      </c>
      <c r="G179" s="106"/>
      <c r="H179" s="89"/>
    </row>
    <row r="180" spans="1:8" ht="15.75">
      <c r="A180" s="75"/>
      <c r="B180" s="76"/>
      <c r="C180" s="635" t="s">
        <v>189</v>
      </c>
      <c r="D180" s="107" t="e">
        <f>DMIN('18_1'!A$12:K$48,'18_1'!$K$12,G174:G175)</f>
        <v>#REF!</v>
      </c>
      <c r="E180" s="127" t="e">
        <f>IF(F180=1,"Domingo",IF(F180=2,"Lunes",IF(F180=3,"Martes",IF(F180=4,"Miercoles",IF(F180=5,"Jueves",IF(F180=6,"Viernes",IF(F180=7,"Sábado",0)))))))</f>
        <v>#REF!</v>
      </c>
      <c r="F180" s="128" t="e">
        <f>WEEKDAY(D180)</f>
        <v>#REF!</v>
      </c>
      <c r="G180" s="103"/>
      <c r="H180" s="89"/>
    </row>
    <row r="181" spans="1:8" ht="15.75">
      <c r="A181" s="75"/>
      <c r="B181" s="76"/>
      <c r="C181" s="635" t="s">
        <v>190</v>
      </c>
      <c r="D181" s="107" t="e">
        <f>DMAX('18_1'!A$12:L$48,'18_1'!$L$12,G174:G175)</f>
        <v>#REF!</v>
      </c>
      <c r="E181" s="127" t="e">
        <f>IF(F181=1,"Domingo",IF(F181=2,"Lunes",IF(F181=3,"Martes",IF(F181=4,"Miercoles",IF(F181=5,"Jueves",IF(F181=6,"Viernes",IF(F181=7,"Sábado",0)))))))</f>
        <v>#REF!</v>
      </c>
      <c r="F181" s="128" t="e">
        <f>WEEKDAY(D181)</f>
        <v>#REF!</v>
      </c>
      <c r="G181" s="103"/>
      <c r="H181" s="89"/>
    </row>
    <row r="182" spans="1:8">
      <c r="A182" s="75"/>
      <c r="B182" s="76"/>
      <c r="C182" s="76"/>
      <c r="D182" s="76"/>
      <c r="E182" s="76"/>
      <c r="F182" s="106"/>
      <c r="G182" s="106"/>
      <c r="H182" s="89"/>
    </row>
    <row r="183" spans="1:8">
      <c r="A183" s="75"/>
      <c r="B183" s="331" t="str">
        <f>+Mensajes!$B$7</f>
        <v>PARA CUALQUIER MODIFICACION EN EL CUADRO DE TURNO COMUNIQUESE CON SU TOMERO</v>
      </c>
      <c r="C183" s="279"/>
      <c r="D183" s="76"/>
      <c r="E183" s="76"/>
      <c r="F183" s="76"/>
      <c r="G183" s="76"/>
      <c r="H183" s="89"/>
    </row>
    <row r="184" spans="1:8">
      <c r="A184" s="75"/>
      <c r="B184" s="332" t="str">
        <f>+Mensajes!$B$12</f>
        <v>Recuerde que con 1 (una) cuotas vigentes impagas se restringirá el servicio.</v>
      </c>
      <c r="C184" s="280"/>
      <c r="D184" s="76"/>
      <c r="E184" s="76"/>
      <c r="F184" s="76"/>
      <c r="G184" s="76"/>
      <c r="H184" s="89"/>
    </row>
    <row r="185" spans="1:8">
      <c r="A185" s="75"/>
      <c r="B185" s="108"/>
      <c r="C185" s="76"/>
      <c r="D185" s="76"/>
      <c r="E185" s="76"/>
      <c r="F185" s="76"/>
      <c r="G185" s="76"/>
      <c r="H185" s="89"/>
    </row>
    <row r="186" spans="1:8" ht="13.5" thickBot="1">
      <c r="A186" s="101"/>
      <c r="B186" s="387" t="str">
        <f>IF(DSUM('17_1'!$A$12:$P$90,16,G174:G175)=COUNTIF('17_1'!$A$12:$A$90,G175),"","Regularice su Deuda")</f>
        <v/>
      </c>
      <c r="C186" s="77"/>
      <c r="D186" s="77"/>
      <c r="E186" s="77"/>
      <c r="F186" s="77"/>
      <c r="G186" s="77"/>
      <c r="H186" s="78"/>
    </row>
    <row r="188" spans="1:8">
      <c r="A188" s="86"/>
      <c r="B188" s="87"/>
      <c r="C188" s="87"/>
      <c r="D188" s="87"/>
      <c r="E188" s="87"/>
      <c r="F188" s="87"/>
      <c r="G188" s="87"/>
      <c r="H188" s="88"/>
    </row>
    <row r="189" spans="1:8">
      <c r="A189" s="75"/>
      <c r="B189" s="109" t="s">
        <v>82</v>
      </c>
      <c r="C189" s="76"/>
      <c r="D189" s="76"/>
      <c r="E189" s="76"/>
      <c r="F189" s="76"/>
      <c r="G189" s="76"/>
      <c r="H189" s="89"/>
    </row>
    <row r="190" spans="1:8">
      <c r="A190" s="75"/>
      <c r="B190" s="76"/>
      <c r="C190" s="76"/>
      <c r="D190" s="76"/>
      <c r="E190" s="76"/>
      <c r="F190" s="76"/>
      <c r="G190" s="76"/>
      <c r="H190" s="89"/>
    </row>
    <row r="191" spans="1:8">
      <c r="A191" s="75"/>
      <c r="B191" s="76" t="s">
        <v>182</v>
      </c>
      <c r="C191" s="76" t="str">
        <f>VLOOKUP(G192,'18_1'!$A$12:$G$48,7,0)</f>
        <v>GONZALEZ, EUGENIO</v>
      </c>
      <c r="D191" s="76"/>
      <c r="E191" s="76"/>
      <c r="F191" s="76"/>
      <c r="G191" s="100" t="s">
        <v>134</v>
      </c>
      <c r="H191" s="89"/>
    </row>
    <row r="192" spans="1:8">
      <c r="A192" s="75"/>
      <c r="B192" s="76" t="s">
        <v>91</v>
      </c>
      <c r="C192" s="76" t="str">
        <f>+'18_1'!$H$3</f>
        <v>Hijuela 2da. El Carmen Completa</v>
      </c>
      <c r="D192" s="76"/>
      <c r="E192" s="76"/>
      <c r="F192" s="76"/>
      <c r="G192" s="100">
        <v>12</v>
      </c>
      <c r="H192" s="89"/>
    </row>
    <row r="193" spans="1:8">
      <c r="A193" s="75"/>
      <c r="B193" s="76"/>
      <c r="C193" s="76"/>
      <c r="D193" s="76"/>
      <c r="E193" s="76"/>
      <c r="F193" s="76"/>
      <c r="G193" s="76"/>
      <c r="H193" s="89"/>
    </row>
    <row r="194" spans="1:8">
      <c r="A194" s="75"/>
      <c r="B194" s="635" t="s">
        <v>183</v>
      </c>
      <c r="C194" s="331">
        <f>VLOOKUP(G192,'18_1'!$A$13:$B$48,2,0)</f>
        <v>1252</v>
      </c>
      <c r="D194" s="76"/>
      <c r="E194" s="635" t="s">
        <v>184</v>
      </c>
      <c r="F194" s="397">
        <f>DSUM('18_1'!A$12:J$48,'18_1'!$J$12,G191:G192)</f>
        <v>0</v>
      </c>
      <c r="G194" s="76"/>
      <c r="H194" s="89"/>
    </row>
    <row r="195" spans="1:8">
      <c r="A195" s="75"/>
      <c r="B195" s="635" t="s">
        <v>185</v>
      </c>
      <c r="C195" s="374" t="s">
        <v>338</v>
      </c>
      <c r="D195" s="76"/>
      <c r="E195" s="635" t="s">
        <v>186</v>
      </c>
      <c r="F195" s="368" t="str">
        <f>IF(VLOOKUP(G192,'18_1'!$A$12:$D$86,4,0)=2,"Eventual 80%","Definitivo 100%")</f>
        <v>Eventual 80%</v>
      </c>
      <c r="G195" s="76"/>
      <c r="H195" s="89"/>
    </row>
    <row r="196" spans="1:8">
      <c r="A196" s="75"/>
      <c r="B196" s="635" t="s">
        <v>187</v>
      </c>
      <c r="C196" s="375">
        <f>DSUM('18_1'!$A$12:$H$48,'18_1'!$H$12,G191:G192)</f>
        <v>0</v>
      </c>
      <c r="D196" s="76"/>
      <c r="E196" s="635" t="s">
        <v>188</v>
      </c>
      <c r="F196" s="369" t="str">
        <f>+Hijuelas!$G$5</f>
        <v>fracción</v>
      </c>
      <c r="G196" s="106"/>
      <c r="H196" s="89"/>
    </row>
    <row r="197" spans="1:8" ht="15.75">
      <c r="A197" s="75"/>
      <c r="B197" s="76"/>
      <c r="C197" s="635" t="s">
        <v>189</v>
      </c>
      <c r="D197" s="107" t="e">
        <f>DMIN('18_1'!A$12:K$48,'18_1'!$K$12,G191:G192)</f>
        <v>#REF!</v>
      </c>
      <c r="E197" s="127" t="e">
        <f>IF(F197=1,"Domingo",IF(F197=2,"Lunes",IF(F197=3,"Martes",IF(F197=4,"Miercoles",IF(F197=5,"Jueves",IF(F197=6,"Viernes",IF(F197=7,"Sábado",0)))))))</f>
        <v>#REF!</v>
      </c>
      <c r="F197" s="128" t="e">
        <f>WEEKDAY(D197)</f>
        <v>#REF!</v>
      </c>
      <c r="G197" s="103"/>
      <c r="H197" s="89"/>
    </row>
    <row r="198" spans="1:8" ht="15.75">
      <c r="A198" s="75"/>
      <c r="B198" s="76"/>
      <c r="C198" s="635" t="s">
        <v>190</v>
      </c>
      <c r="D198" s="107" t="e">
        <f>DMAX('18_1'!A$12:L$48,'18_1'!$L$12,G191:G192)</f>
        <v>#REF!</v>
      </c>
      <c r="E198" s="127" t="e">
        <f>IF(F198=1,"Domingo",IF(F198=2,"Lunes",IF(F198=3,"Martes",IF(F198=4,"Miercoles",IF(F198=5,"Jueves",IF(F198=6,"Viernes",IF(F198=7,"Sábado",0)))))))</f>
        <v>#REF!</v>
      </c>
      <c r="F198" s="128" t="e">
        <f>WEEKDAY(D198)</f>
        <v>#REF!</v>
      </c>
      <c r="G198" s="103"/>
      <c r="H198" s="89"/>
    </row>
    <row r="199" spans="1:8">
      <c r="A199" s="75"/>
      <c r="B199" s="76"/>
      <c r="C199" s="76"/>
      <c r="D199" s="76"/>
      <c r="E199" s="76"/>
      <c r="F199" s="106"/>
      <c r="G199" s="106"/>
      <c r="H199" s="89"/>
    </row>
    <row r="200" spans="1:8">
      <c r="A200" s="75"/>
      <c r="B200" s="331" t="str">
        <f>+Mensajes!$B$7</f>
        <v>PARA CUALQUIER MODIFICACION EN EL CUADRO DE TURNO COMUNIQUESE CON SU TOMERO</v>
      </c>
      <c r="C200" s="279"/>
      <c r="D200" s="76"/>
      <c r="E200" s="76"/>
      <c r="F200" s="76"/>
      <c r="G200" s="76"/>
      <c r="H200" s="89"/>
    </row>
    <row r="201" spans="1:8">
      <c r="A201" s="75"/>
      <c r="B201" s="332" t="str">
        <f>+Mensajes!$B$12</f>
        <v>Recuerde que con 1 (una) cuotas vigentes impagas se restringirá el servicio.</v>
      </c>
      <c r="C201" s="280"/>
      <c r="D201" s="76"/>
      <c r="E201" s="76"/>
      <c r="F201" s="76"/>
      <c r="G201" s="76"/>
      <c r="H201" s="89"/>
    </row>
    <row r="202" spans="1:8">
      <c r="A202" s="75"/>
      <c r="B202" s="108"/>
      <c r="C202" s="76"/>
      <c r="D202" s="76"/>
      <c r="E202" s="76"/>
      <c r="F202" s="76"/>
      <c r="G202" s="76"/>
      <c r="H202" s="89"/>
    </row>
    <row r="203" spans="1:8" ht="13.5" thickBot="1">
      <c r="A203" s="101"/>
      <c r="B203" s="387" t="str">
        <f>IF(DSUM('17_1'!$A$12:$P$90,16,G191:G192)=COUNTIF('17_1'!$A$12:$A$90,G192),"","Regularice su Deuda")</f>
        <v/>
      </c>
      <c r="C203" s="77"/>
      <c r="D203" s="77"/>
      <c r="E203" s="77"/>
      <c r="F203" s="77"/>
      <c r="G203" s="77"/>
      <c r="H203" s="78"/>
    </row>
    <row r="205" spans="1:8">
      <c r="A205" s="86"/>
      <c r="B205" s="87"/>
      <c r="C205" s="87"/>
      <c r="D205" s="87"/>
      <c r="E205" s="87"/>
      <c r="F205" s="87"/>
      <c r="G205" s="87"/>
      <c r="H205" s="88"/>
    </row>
    <row r="206" spans="1:8">
      <c r="A206" s="75"/>
      <c r="B206" s="109" t="s">
        <v>82</v>
      </c>
      <c r="C206" s="76"/>
      <c r="D206" s="76"/>
      <c r="E206" s="76"/>
      <c r="F206" s="76"/>
      <c r="G206" s="76"/>
      <c r="H206" s="89"/>
    </row>
    <row r="207" spans="1:8">
      <c r="A207" s="75"/>
      <c r="B207" s="76"/>
      <c r="C207" s="76"/>
      <c r="D207" s="76"/>
      <c r="E207" s="76"/>
      <c r="F207" s="76"/>
      <c r="G207" s="76"/>
      <c r="H207" s="89"/>
    </row>
    <row r="208" spans="1:8">
      <c r="A208" s="75"/>
      <c r="B208" s="76" t="s">
        <v>182</v>
      </c>
      <c r="C208" s="76" t="str">
        <f>VLOOKUP(G209,'18_1'!$A$12:$G$48,7,0)</f>
        <v>MAIMO, JUAN PABLO</v>
      </c>
      <c r="D208" s="76"/>
      <c r="E208" s="76"/>
      <c r="F208" s="76"/>
      <c r="G208" s="100" t="s">
        <v>134</v>
      </c>
      <c r="H208" s="89"/>
    </row>
    <row r="209" spans="1:8">
      <c r="A209" s="75"/>
      <c r="B209" s="76" t="s">
        <v>91</v>
      </c>
      <c r="C209" s="76" t="str">
        <f>+'18_1'!$H$3</f>
        <v>Hijuela 2da. El Carmen Completa</v>
      </c>
      <c r="D209" s="76"/>
      <c r="E209" s="76"/>
      <c r="F209" s="76"/>
      <c r="G209" s="100">
        <v>13</v>
      </c>
      <c r="H209" s="89"/>
    </row>
    <row r="210" spans="1:8">
      <c r="A210" s="75"/>
      <c r="B210" s="76"/>
      <c r="C210" s="76"/>
      <c r="D210" s="76"/>
      <c r="E210" s="76"/>
      <c r="F210" s="76"/>
      <c r="G210" s="76"/>
      <c r="H210" s="89"/>
    </row>
    <row r="211" spans="1:8">
      <c r="A211" s="75"/>
      <c r="B211" s="635" t="s">
        <v>183</v>
      </c>
      <c r="C211" s="331">
        <f>VLOOKUP(G209,'18_1'!$A$13:$B$48,2,0)</f>
        <v>1252</v>
      </c>
      <c r="D211" s="76"/>
      <c r="E211" s="635" t="s">
        <v>184</v>
      </c>
      <c r="F211" s="397">
        <f>DSUM('18_1'!A$12:J$48,'18_1'!$J$12,G208:G209)</f>
        <v>0</v>
      </c>
      <c r="G211" s="76"/>
      <c r="H211" s="89"/>
    </row>
    <row r="212" spans="1:8">
      <c r="A212" s="75"/>
      <c r="B212" s="635" t="s">
        <v>185</v>
      </c>
      <c r="C212" s="374">
        <v>78</v>
      </c>
      <c r="D212" s="76"/>
      <c r="E212" s="635" t="s">
        <v>186</v>
      </c>
      <c r="F212" s="368" t="str">
        <f>IF(VLOOKUP(G209,'18_1'!$A$12:$D$86,4,0)=2,"Eventual 80%","Definitivo 100%")</f>
        <v>Eventual 80%</v>
      </c>
      <c r="G212" s="76"/>
      <c r="H212" s="89"/>
    </row>
    <row r="213" spans="1:8">
      <c r="A213" s="75"/>
      <c r="B213" s="635" t="s">
        <v>187</v>
      </c>
      <c r="C213" s="375">
        <f>DSUM('18_1'!$A$12:$H$48,'18_1'!$H$12,G208:G209)</f>
        <v>0</v>
      </c>
      <c r="D213" s="76"/>
      <c r="E213" s="635" t="s">
        <v>188</v>
      </c>
      <c r="F213" s="369" t="str">
        <f>+Hijuelas!$G$5</f>
        <v>fracción</v>
      </c>
      <c r="G213" s="106"/>
      <c r="H213" s="89"/>
    </row>
    <row r="214" spans="1:8" ht="15.75">
      <c r="A214" s="75"/>
      <c r="B214" s="76"/>
      <c r="C214" s="635" t="s">
        <v>189</v>
      </c>
      <c r="D214" s="107" t="e">
        <f>DMIN('18_1'!A$12:K$48,'18_1'!$K$12,G208:G209)</f>
        <v>#REF!</v>
      </c>
      <c r="E214" s="127" t="e">
        <f>IF(F214=1,"Domingo",IF(F214=2,"Lunes",IF(F214=3,"Martes",IF(F214=4,"Miercoles",IF(F214=5,"Jueves",IF(F214=6,"Viernes",IF(F214=7,"Sábado",0)))))))</f>
        <v>#REF!</v>
      </c>
      <c r="F214" s="128" t="e">
        <f>WEEKDAY(D214)</f>
        <v>#REF!</v>
      </c>
      <c r="G214" s="103"/>
      <c r="H214" s="89"/>
    </row>
    <row r="215" spans="1:8" ht="15.75">
      <c r="A215" s="75"/>
      <c r="B215" s="76"/>
      <c r="C215" s="635" t="s">
        <v>190</v>
      </c>
      <c r="D215" s="107" t="e">
        <f>DMAX('18_1'!A$12:L$48,'18_1'!$L$12,G208:G209)</f>
        <v>#REF!</v>
      </c>
      <c r="E215" s="127" t="e">
        <f>IF(F215=1,"Domingo",IF(F215=2,"Lunes",IF(F215=3,"Martes",IF(F215=4,"Miercoles",IF(F215=5,"Jueves",IF(F215=6,"Viernes",IF(F215=7,"Sábado",0)))))))</f>
        <v>#REF!</v>
      </c>
      <c r="F215" s="128" t="e">
        <f>WEEKDAY(D215)</f>
        <v>#REF!</v>
      </c>
      <c r="G215" s="103"/>
      <c r="H215" s="89"/>
    </row>
    <row r="216" spans="1:8">
      <c r="A216" s="75"/>
      <c r="B216" s="76"/>
      <c r="C216" s="76"/>
      <c r="D216" s="76"/>
      <c r="E216" s="76"/>
      <c r="F216" s="106"/>
      <c r="G216" s="106"/>
      <c r="H216" s="89"/>
    </row>
    <row r="217" spans="1:8">
      <c r="A217" s="75"/>
      <c r="B217" s="331" t="str">
        <f>+Mensajes!$B$7</f>
        <v>PARA CUALQUIER MODIFICACION EN EL CUADRO DE TURNO COMUNIQUESE CON SU TOMERO</v>
      </c>
      <c r="C217" s="279"/>
      <c r="D217" s="76"/>
      <c r="E217" s="76"/>
      <c r="F217" s="76"/>
      <c r="G217" s="76"/>
      <c r="H217" s="89"/>
    </row>
    <row r="218" spans="1:8">
      <c r="A218" s="75"/>
      <c r="B218" s="332" t="str">
        <f>+Mensajes!$B$12</f>
        <v>Recuerde que con 1 (una) cuotas vigentes impagas se restringirá el servicio.</v>
      </c>
      <c r="C218" s="280"/>
      <c r="D218" s="76"/>
      <c r="E218" s="76"/>
      <c r="F218" s="76"/>
      <c r="G218" s="76"/>
      <c r="H218" s="89"/>
    </row>
    <row r="219" spans="1:8">
      <c r="A219" s="75"/>
      <c r="B219" s="108"/>
      <c r="C219" s="76"/>
      <c r="D219" s="76"/>
      <c r="E219" s="76"/>
      <c r="F219" s="76"/>
      <c r="G219" s="76"/>
      <c r="H219" s="89"/>
    </row>
    <row r="220" spans="1:8" ht="13.5" thickBot="1">
      <c r="A220" s="101"/>
      <c r="B220" s="387" t="str">
        <f>IF(DSUM('17_1'!$A$12:$P$90,16,G208:G209)=COUNTIF('17_1'!$A$12:$A$90,G209),"","Regularice su Deuda")</f>
        <v/>
      </c>
      <c r="C220" s="77"/>
      <c r="D220" s="77"/>
      <c r="E220" s="77"/>
      <c r="F220" s="77"/>
      <c r="G220" s="77"/>
      <c r="H220" s="78"/>
    </row>
    <row r="222" spans="1:8">
      <c r="A222" s="86"/>
      <c r="B222" s="87"/>
      <c r="C222" s="87"/>
      <c r="D222" s="87"/>
      <c r="E222" s="87"/>
      <c r="F222" s="87"/>
      <c r="G222" s="87"/>
      <c r="H222" s="88"/>
    </row>
    <row r="223" spans="1:8">
      <c r="A223" s="75"/>
      <c r="B223" s="109" t="s">
        <v>82</v>
      </c>
      <c r="C223" s="76"/>
      <c r="D223" s="76"/>
      <c r="E223" s="76"/>
      <c r="F223" s="76"/>
      <c r="G223" s="76"/>
      <c r="H223" s="89"/>
    </row>
    <row r="224" spans="1:8">
      <c r="A224" s="75"/>
      <c r="B224" s="76"/>
      <c r="C224" s="76"/>
      <c r="D224" s="76"/>
      <c r="E224" s="76"/>
      <c r="F224" s="76"/>
      <c r="G224" s="76"/>
      <c r="H224" s="89"/>
    </row>
    <row r="225" spans="1:8">
      <c r="A225" s="75"/>
      <c r="B225" s="76" t="s">
        <v>182</v>
      </c>
      <c r="C225" s="76" t="str">
        <f>VLOOKUP(G226,'18_1'!$A$12:$G$48,7,0)</f>
        <v>DUBOIS DE FERNANDEZ,</v>
      </c>
      <c r="D225" s="76"/>
      <c r="E225" s="76"/>
      <c r="F225" s="76"/>
      <c r="G225" s="100" t="s">
        <v>134</v>
      </c>
      <c r="H225" s="89"/>
    </row>
    <row r="226" spans="1:8">
      <c r="A226" s="75"/>
      <c r="B226" s="76" t="s">
        <v>91</v>
      </c>
      <c r="C226" s="76" t="str">
        <f>+'18_1'!$H$3</f>
        <v>Hijuela 2da. El Carmen Completa</v>
      </c>
      <c r="D226" s="76"/>
      <c r="E226" s="76"/>
      <c r="F226" s="76"/>
      <c r="G226" s="100">
        <v>14</v>
      </c>
      <c r="H226" s="89"/>
    </row>
    <row r="227" spans="1:8">
      <c r="A227" s="75"/>
      <c r="B227" s="76"/>
      <c r="C227" s="76"/>
      <c r="D227" s="76"/>
      <c r="E227" s="76"/>
      <c r="F227" s="76"/>
      <c r="G227" s="76"/>
      <c r="H227" s="89"/>
    </row>
    <row r="228" spans="1:8">
      <c r="A228" s="75"/>
      <c r="B228" s="635" t="s">
        <v>183</v>
      </c>
      <c r="C228" s="331">
        <f>VLOOKUP(G226,'18_1'!$A$13:$B$48,2,0)</f>
        <v>1252</v>
      </c>
      <c r="D228" s="76"/>
      <c r="E228" s="635" t="s">
        <v>184</v>
      </c>
      <c r="F228" s="397">
        <f>DSUM('18_1'!A$12:J$48,'18_1'!$J$12,G225:G226)</f>
        <v>0.57621749307812553</v>
      </c>
      <c r="G228" s="76"/>
      <c r="H228" s="89"/>
    </row>
    <row r="229" spans="1:8">
      <c r="A229" s="75"/>
      <c r="B229" s="635" t="s">
        <v>185</v>
      </c>
      <c r="C229" s="374" t="s">
        <v>583</v>
      </c>
      <c r="D229" s="76"/>
      <c r="E229" s="635" t="s">
        <v>186</v>
      </c>
      <c r="F229" s="368" t="str">
        <f>IF(VLOOKUP(G226,'18_1'!$A$12:$D$86,4,0)=2,"Eventual 80%","Definitivo 100%")</f>
        <v>Eventual 80%</v>
      </c>
      <c r="G229" s="76"/>
      <c r="H229" s="89"/>
    </row>
    <row r="230" spans="1:8">
      <c r="A230" s="75"/>
      <c r="B230" s="635" t="s">
        <v>187</v>
      </c>
      <c r="C230" s="375">
        <f>DSUM('18_1'!$A$12:$H$48,'18_1'!$H$12,G225:G226)</f>
        <v>32</v>
      </c>
      <c r="D230" s="76"/>
      <c r="E230" s="635" t="s">
        <v>188</v>
      </c>
      <c r="F230" s="369" t="str">
        <f>+Hijuelas!$G$5</f>
        <v>fracción</v>
      </c>
      <c r="G230" s="106"/>
      <c r="H230" s="89"/>
    </row>
    <row r="231" spans="1:8" ht="15.75">
      <c r="A231" s="75"/>
      <c r="B231" s="76"/>
      <c r="C231" s="635" t="s">
        <v>189</v>
      </c>
      <c r="D231" s="107" t="e">
        <f>DMIN('18_1'!A$12:K$48,'18_1'!$K$12,G225:G226)</f>
        <v>#REF!</v>
      </c>
      <c r="E231" s="127" t="e">
        <f>IF(F231=1,"Domingo",IF(F231=2,"Lunes",IF(F231=3,"Martes",IF(F231=4,"Miercoles",IF(F231=5,"Jueves",IF(F231=6,"Viernes",IF(F231=7,"Sábado",0)))))))</f>
        <v>#REF!</v>
      </c>
      <c r="F231" s="128" t="e">
        <f>WEEKDAY(D231)</f>
        <v>#REF!</v>
      </c>
      <c r="G231" s="103"/>
      <c r="H231" s="89"/>
    </row>
    <row r="232" spans="1:8" ht="15.75">
      <c r="A232" s="75"/>
      <c r="B232" s="76"/>
      <c r="C232" s="635" t="s">
        <v>190</v>
      </c>
      <c r="D232" s="107" t="e">
        <f>DMAX('18_1'!A$12:L$48,'18_1'!$L$12,G225:G226)</f>
        <v>#REF!</v>
      </c>
      <c r="E232" s="127" t="e">
        <f>IF(F232=1,"Domingo",IF(F232=2,"Lunes",IF(F232=3,"Martes",IF(F232=4,"Miercoles",IF(F232=5,"Jueves",IF(F232=6,"Viernes",IF(F232=7,"Sábado",0)))))))</f>
        <v>#REF!</v>
      </c>
      <c r="F232" s="128" t="e">
        <f>WEEKDAY(D232)</f>
        <v>#REF!</v>
      </c>
      <c r="G232" s="103"/>
      <c r="H232" s="89"/>
    </row>
    <row r="233" spans="1:8">
      <c r="A233" s="75"/>
      <c r="B233" s="76"/>
      <c r="C233" s="76"/>
      <c r="D233" s="76"/>
      <c r="E233" s="76"/>
      <c r="F233" s="106"/>
      <c r="G233" s="106"/>
      <c r="H233" s="89"/>
    </row>
    <row r="234" spans="1:8">
      <c r="A234" s="75"/>
      <c r="B234" s="331" t="str">
        <f>+Mensajes!$B$7</f>
        <v>PARA CUALQUIER MODIFICACION EN EL CUADRO DE TURNO COMUNIQUESE CON SU TOMERO</v>
      </c>
      <c r="C234" s="279"/>
      <c r="D234" s="76"/>
      <c r="E234" s="76"/>
      <c r="F234" s="76"/>
      <c r="G234" s="76"/>
      <c r="H234" s="89"/>
    </row>
    <row r="235" spans="1:8">
      <c r="A235" s="75"/>
      <c r="B235" s="332" t="str">
        <f>+Mensajes!$B$12</f>
        <v>Recuerde que con 1 (una) cuotas vigentes impagas se restringirá el servicio.</v>
      </c>
      <c r="C235" s="280"/>
      <c r="D235" s="76"/>
      <c r="E235" s="76"/>
      <c r="F235" s="76"/>
      <c r="G235" s="76"/>
      <c r="H235" s="89"/>
    </row>
    <row r="236" spans="1:8">
      <c r="A236" s="75"/>
      <c r="B236" s="108"/>
      <c r="C236" s="76"/>
      <c r="D236" s="76"/>
      <c r="E236" s="76"/>
      <c r="F236" s="76"/>
      <c r="G236" s="76"/>
      <c r="H236" s="89"/>
    </row>
    <row r="237" spans="1:8" ht="13.5" thickBot="1">
      <c r="A237" s="101"/>
      <c r="B237" s="387" t="str">
        <f>IF(DSUM('17_1'!$A$12:$P$90,16,G225:G226)=COUNTIF('17_1'!$A$12:$A$90,G226),"","Regularice su Deuda")</f>
        <v/>
      </c>
      <c r="C237" s="77"/>
      <c r="D237" s="77"/>
      <c r="E237" s="77"/>
      <c r="F237" s="77"/>
      <c r="G237" s="77"/>
      <c r="H237" s="78"/>
    </row>
    <row r="239" spans="1:8">
      <c r="A239" s="86"/>
      <c r="B239" s="87"/>
      <c r="C239" s="87"/>
      <c r="D239" s="87"/>
      <c r="E239" s="87"/>
      <c r="F239" s="87"/>
      <c r="G239" s="87"/>
      <c r="H239" s="88"/>
    </row>
    <row r="240" spans="1:8">
      <c r="A240" s="75"/>
      <c r="B240" s="109" t="s">
        <v>82</v>
      </c>
      <c r="C240" s="76"/>
      <c r="D240" s="76"/>
      <c r="E240" s="76"/>
      <c r="F240" s="76"/>
      <c r="G240" s="76"/>
      <c r="H240" s="89"/>
    </row>
    <row r="241" spans="1:8">
      <c r="A241" s="75"/>
      <c r="B241" s="76"/>
      <c r="C241" s="76"/>
      <c r="D241" s="76"/>
      <c r="E241" s="76"/>
      <c r="F241" s="76"/>
      <c r="G241" s="76"/>
      <c r="H241" s="89"/>
    </row>
    <row r="242" spans="1:8">
      <c r="A242" s="75"/>
      <c r="B242" s="76" t="s">
        <v>182</v>
      </c>
      <c r="C242" s="76" t="str">
        <f>VLOOKUP(G243,'18_1'!$A$12:$G$48,7,0)</f>
        <v>SIMIONATO, JOSE SEGUNDO</v>
      </c>
      <c r="D242" s="76"/>
      <c r="E242" s="76"/>
      <c r="F242" s="76"/>
      <c r="G242" s="100" t="s">
        <v>134</v>
      </c>
      <c r="H242" s="89"/>
    </row>
    <row r="243" spans="1:8">
      <c r="A243" s="75"/>
      <c r="B243" s="76" t="s">
        <v>91</v>
      </c>
      <c r="C243" s="76" t="str">
        <f>+'18_1'!$H$3</f>
        <v>Hijuela 2da. El Carmen Completa</v>
      </c>
      <c r="D243" s="76"/>
      <c r="E243" s="76"/>
      <c r="F243" s="76"/>
      <c r="G243" s="100">
        <v>15</v>
      </c>
      <c r="H243" s="89"/>
    </row>
    <row r="244" spans="1:8">
      <c r="A244" s="75"/>
      <c r="B244" s="76"/>
      <c r="C244" s="76"/>
      <c r="D244" s="76"/>
      <c r="E244" s="76"/>
      <c r="F244" s="76"/>
      <c r="G244" s="76"/>
      <c r="H244" s="89"/>
    </row>
    <row r="245" spans="1:8">
      <c r="A245" s="75"/>
      <c r="B245" s="635" t="s">
        <v>183</v>
      </c>
      <c r="C245" s="331">
        <f>VLOOKUP(G243,'18_1'!$A$13:$B$48,2,0)</f>
        <v>1252</v>
      </c>
      <c r="D245" s="76"/>
      <c r="E245" s="635" t="s">
        <v>184</v>
      </c>
      <c r="F245" s="397">
        <f>DSUM('18_1'!A$12:J$48,'18_1'!$J$12,G242:G243)</f>
        <v>8.4698209307553673E-2</v>
      </c>
      <c r="G245" s="76"/>
      <c r="H245" s="89"/>
    </row>
    <row r="246" spans="1:8">
      <c r="A246" s="75"/>
      <c r="B246" s="635" t="s">
        <v>185</v>
      </c>
      <c r="C246" s="374">
        <v>21</v>
      </c>
      <c r="D246" s="76"/>
      <c r="E246" s="635" t="s">
        <v>186</v>
      </c>
      <c r="F246" s="368" t="str">
        <f>IF(VLOOKUP(G243,'18_1'!$A$12:$D$86,4,0)=2,"Eventual 80%","Definitivo 100%")</f>
        <v>Eventual 80%</v>
      </c>
      <c r="G246" s="76"/>
      <c r="H246" s="89"/>
    </row>
    <row r="247" spans="1:8">
      <c r="A247" s="75"/>
      <c r="B247" s="635" t="s">
        <v>187</v>
      </c>
      <c r="C247" s="375">
        <f>DSUM('18_1'!$A$12:$H$48,'18_1'!$H$12,G242:G243)</f>
        <v>4.7036800000000003</v>
      </c>
      <c r="D247" s="76"/>
      <c r="E247" s="635" t="s">
        <v>188</v>
      </c>
      <c r="F247" s="369" t="str">
        <f>+Hijuelas!$G$5</f>
        <v>fracción</v>
      </c>
      <c r="G247" s="106"/>
      <c r="H247" s="89"/>
    </row>
    <row r="248" spans="1:8" ht="15.75">
      <c r="A248" s="75"/>
      <c r="B248" s="76"/>
      <c r="C248" s="635" t="s">
        <v>189</v>
      </c>
      <c r="D248" s="107" t="e">
        <f>DMIN('18_1'!A$12:K$48,'18_1'!$K$12,G242:G243)</f>
        <v>#REF!</v>
      </c>
      <c r="E248" s="127" t="e">
        <f>IF(F248=1,"Domingo",IF(F248=2,"Lunes",IF(F248=3,"Martes",IF(F248=4,"Miercoles",IF(F248=5,"Jueves",IF(F248=6,"Viernes",IF(F248=7,"Sábado",0)))))))</f>
        <v>#REF!</v>
      </c>
      <c r="F248" s="128" t="e">
        <f>WEEKDAY(D248)</f>
        <v>#REF!</v>
      </c>
      <c r="G248" s="103"/>
      <c r="H248" s="89"/>
    </row>
    <row r="249" spans="1:8" ht="15.75">
      <c r="A249" s="75"/>
      <c r="B249" s="76"/>
      <c r="C249" s="635" t="s">
        <v>190</v>
      </c>
      <c r="D249" s="107" t="e">
        <f>DMAX('18_1'!A$12:L$48,'18_1'!$L$12,G242:G243)</f>
        <v>#REF!</v>
      </c>
      <c r="E249" s="127" t="e">
        <f>IF(F249=1,"Domingo",IF(F249=2,"Lunes",IF(F249=3,"Martes",IF(F249=4,"Miercoles",IF(F249=5,"Jueves",IF(F249=6,"Viernes",IF(F249=7,"Sábado",0)))))))</f>
        <v>#REF!</v>
      </c>
      <c r="F249" s="128" t="e">
        <f>WEEKDAY(D249)</f>
        <v>#REF!</v>
      </c>
      <c r="G249" s="103"/>
      <c r="H249" s="89"/>
    </row>
    <row r="250" spans="1:8">
      <c r="A250" s="75"/>
      <c r="B250" s="76"/>
      <c r="C250" s="76"/>
      <c r="D250" s="76"/>
      <c r="E250" s="76"/>
      <c r="F250" s="106"/>
      <c r="G250" s="106"/>
      <c r="H250" s="89"/>
    </row>
    <row r="251" spans="1:8">
      <c r="A251" s="75"/>
      <c r="B251" s="331" t="str">
        <f>+Mensajes!$B$7</f>
        <v>PARA CUALQUIER MODIFICACION EN EL CUADRO DE TURNO COMUNIQUESE CON SU TOMERO</v>
      </c>
      <c r="C251" s="279"/>
      <c r="D251" s="76"/>
      <c r="E251" s="76"/>
      <c r="F251" s="76"/>
      <c r="G251" s="76"/>
      <c r="H251" s="89"/>
    </row>
    <row r="252" spans="1:8">
      <c r="A252" s="75"/>
      <c r="B252" s="332" t="str">
        <f>+Mensajes!$B$12</f>
        <v>Recuerde que con 1 (una) cuotas vigentes impagas se restringirá el servicio.</v>
      </c>
      <c r="C252" s="280"/>
      <c r="D252" s="76"/>
      <c r="E252" s="76"/>
      <c r="F252" s="76"/>
      <c r="G252" s="76"/>
      <c r="H252" s="89"/>
    </row>
    <row r="253" spans="1:8">
      <c r="A253" s="75"/>
      <c r="B253" s="108"/>
      <c r="C253" s="76"/>
      <c r="D253" s="76"/>
      <c r="E253" s="76"/>
      <c r="F253" s="76"/>
      <c r="G253" s="76"/>
      <c r="H253" s="89"/>
    </row>
    <row r="254" spans="1:8" ht="13.5" thickBot="1">
      <c r="A254" s="101"/>
      <c r="B254" s="387" t="str">
        <f>IF(DSUM('17_1'!$A$12:$P$90,16,G242:G243)=COUNTIF('17_1'!$A$12:$A$90,G243),"","Regularice su Deuda")</f>
        <v/>
      </c>
      <c r="C254" s="77"/>
      <c r="D254" s="77"/>
      <c r="E254" s="77"/>
      <c r="F254" s="77"/>
      <c r="G254" s="77"/>
      <c r="H254" s="78"/>
    </row>
    <row r="256" spans="1:8">
      <c r="A256" s="86"/>
      <c r="B256" s="87"/>
      <c r="C256" s="87"/>
      <c r="D256" s="87"/>
      <c r="E256" s="87"/>
      <c r="F256" s="87"/>
      <c r="G256" s="87"/>
      <c r="H256" s="88"/>
    </row>
    <row r="257" spans="1:8">
      <c r="A257" s="75"/>
      <c r="B257" s="109" t="s">
        <v>82</v>
      </c>
      <c r="C257" s="76"/>
      <c r="D257" s="76"/>
      <c r="E257" s="76"/>
      <c r="F257" s="76"/>
      <c r="G257" s="76"/>
      <c r="H257" s="89"/>
    </row>
    <row r="258" spans="1:8">
      <c r="A258" s="75"/>
      <c r="B258" s="76"/>
      <c r="C258" s="76"/>
      <c r="D258" s="76"/>
      <c r="E258" s="76"/>
      <c r="F258" s="76"/>
      <c r="G258" s="76"/>
      <c r="H258" s="89"/>
    </row>
    <row r="259" spans="1:8">
      <c r="A259" s="75"/>
      <c r="B259" s="76" t="s">
        <v>182</v>
      </c>
      <c r="C259" s="76" t="str">
        <f>VLOOKUP(G260,'18_1'!$A$12:$G$48,7,0)</f>
        <v>CARBONE, LUIS ALFONSO</v>
      </c>
      <c r="D259" s="76"/>
      <c r="E259" s="76"/>
      <c r="F259" s="76"/>
      <c r="G259" s="100" t="s">
        <v>134</v>
      </c>
      <c r="H259" s="89"/>
    </row>
    <row r="260" spans="1:8">
      <c r="A260" s="75"/>
      <c r="B260" s="76" t="s">
        <v>91</v>
      </c>
      <c r="C260" s="76" t="str">
        <f>+'18_1'!$H$3</f>
        <v>Hijuela 2da. El Carmen Completa</v>
      </c>
      <c r="D260" s="76"/>
      <c r="E260" s="76"/>
      <c r="F260" s="76"/>
      <c r="G260" s="100">
        <v>16</v>
      </c>
      <c r="H260" s="89"/>
    </row>
    <row r="261" spans="1:8">
      <c r="A261" s="75"/>
      <c r="B261" s="76"/>
      <c r="C261" s="76"/>
      <c r="D261" s="76"/>
      <c r="E261" s="76"/>
      <c r="F261" s="76"/>
      <c r="G261" s="76"/>
      <c r="H261" s="89"/>
    </row>
    <row r="262" spans="1:8">
      <c r="A262" s="75"/>
      <c r="B262" s="635" t="s">
        <v>183</v>
      </c>
      <c r="C262" s="331">
        <f>VLOOKUP(G260,'18_1'!$A$13:$B$48,2,0)</f>
        <v>1252</v>
      </c>
      <c r="D262" s="76"/>
      <c r="E262" s="635" t="s">
        <v>184</v>
      </c>
      <c r="F262" s="397">
        <f>DSUM('18_1'!A$12:J$48,'18_1'!$J$12,G259:G260)</f>
        <v>0.10804077995214853</v>
      </c>
      <c r="G262" s="76"/>
      <c r="H262" s="89"/>
    </row>
    <row r="263" spans="1:8">
      <c r="A263" s="75"/>
      <c r="B263" s="635" t="s">
        <v>185</v>
      </c>
      <c r="C263" s="374">
        <v>43</v>
      </c>
      <c r="D263" s="76"/>
      <c r="E263" s="635" t="s">
        <v>186</v>
      </c>
      <c r="F263" s="368" t="str">
        <f>IF(VLOOKUP(G260,'18_1'!$A$12:$D$86,4,0)=2,"Eventual 80%","Definitivo 100%")</f>
        <v>Eventual 80%</v>
      </c>
      <c r="G263" s="76"/>
      <c r="H263" s="89"/>
    </row>
    <row r="264" spans="1:8">
      <c r="A264" s="75"/>
      <c r="B264" s="635" t="s">
        <v>187</v>
      </c>
      <c r="C264" s="375">
        <f>DSUM('18_1'!$A$12:$H$48,'18_1'!$H$12,G259:G260)</f>
        <v>6</v>
      </c>
      <c r="D264" s="76"/>
      <c r="E264" s="635" t="s">
        <v>188</v>
      </c>
      <c r="F264" s="369" t="str">
        <f>+Hijuelas!$G$5</f>
        <v>fracción</v>
      </c>
      <c r="G264" s="106"/>
      <c r="H264" s="89"/>
    </row>
    <row r="265" spans="1:8" ht="15.75">
      <c r="A265" s="75"/>
      <c r="B265" s="76"/>
      <c r="C265" s="635" t="s">
        <v>189</v>
      </c>
      <c r="D265" s="107" t="e">
        <f>DMIN('18_1'!A$12:K$48,'18_1'!$K$12,G259:G260)</f>
        <v>#REF!</v>
      </c>
      <c r="E265" s="127" t="e">
        <f>IF(F265=1,"Domingo",IF(F265=2,"Lunes",IF(F265=3,"Martes",IF(F265=4,"Miercoles",IF(F265=5,"Jueves",IF(F265=6,"Viernes",IF(F265=7,"Sábado",0)))))))</f>
        <v>#REF!</v>
      </c>
      <c r="F265" s="128" t="e">
        <f>WEEKDAY(D265)</f>
        <v>#REF!</v>
      </c>
      <c r="G265" s="103"/>
      <c r="H265" s="89"/>
    </row>
    <row r="266" spans="1:8" ht="15.75">
      <c r="A266" s="75"/>
      <c r="B266" s="76"/>
      <c r="C266" s="635" t="s">
        <v>190</v>
      </c>
      <c r="D266" s="107" t="e">
        <f>DMAX('18_1'!A$12:L$48,'18_1'!$L$12,G259:G260)</f>
        <v>#REF!</v>
      </c>
      <c r="E266" s="127" t="e">
        <f>IF(F266=1,"Domingo",IF(F266=2,"Lunes",IF(F266=3,"Martes",IF(F266=4,"Miercoles",IF(F266=5,"Jueves",IF(F266=6,"Viernes",IF(F266=7,"Sábado",0)))))))</f>
        <v>#REF!</v>
      </c>
      <c r="F266" s="128" t="e">
        <f>WEEKDAY(D266)</f>
        <v>#REF!</v>
      </c>
      <c r="G266" s="103"/>
      <c r="H266" s="89"/>
    </row>
    <row r="267" spans="1:8">
      <c r="A267" s="75"/>
      <c r="B267" s="76"/>
      <c r="C267" s="76"/>
      <c r="D267" s="76"/>
      <c r="E267" s="76"/>
      <c r="F267" s="106"/>
      <c r="G267" s="106"/>
      <c r="H267" s="89"/>
    </row>
    <row r="268" spans="1:8">
      <c r="A268" s="75"/>
      <c r="B268" s="331" t="str">
        <f>+Mensajes!$B$7</f>
        <v>PARA CUALQUIER MODIFICACION EN EL CUADRO DE TURNO COMUNIQUESE CON SU TOMERO</v>
      </c>
      <c r="C268" s="279"/>
      <c r="D268" s="76"/>
      <c r="E268" s="76"/>
      <c r="F268" s="76"/>
      <c r="G268" s="76"/>
      <c r="H268" s="89"/>
    </row>
    <row r="269" spans="1:8">
      <c r="A269" s="75"/>
      <c r="B269" s="332" t="str">
        <f>+Mensajes!$B$12</f>
        <v>Recuerde que con 1 (una) cuotas vigentes impagas se restringirá el servicio.</v>
      </c>
      <c r="C269" s="280"/>
      <c r="D269" s="76"/>
      <c r="E269" s="76"/>
      <c r="F269" s="76"/>
      <c r="G269" s="76"/>
      <c r="H269" s="89"/>
    </row>
    <row r="270" spans="1:8">
      <c r="A270" s="75"/>
      <c r="B270" s="108"/>
      <c r="C270" s="76"/>
      <c r="D270" s="76"/>
      <c r="E270" s="76"/>
      <c r="F270" s="76"/>
      <c r="G270" s="76"/>
      <c r="H270" s="89"/>
    </row>
    <row r="271" spans="1:8" ht="13.5" thickBot="1">
      <c r="A271" s="101"/>
      <c r="B271" s="387" t="str">
        <f>IF(DSUM('17_1'!$A$12:$P$90,16,G259:G260)=COUNTIF('17_1'!$A$12:$A$90,G260),"","Regularice su Deuda")</f>
        <v/>
      </c>
      <c r="C271" s="77"/>
      <c r="D271" s="77"/>
      <c r="E271" s="77"/>
      <c r="F271" s="77"/>
      <c r="G271" s="77"/>
      <c r="H271" s="78"/>
    </row>
    <row r="273" spans="1:8">
      <c r="A273" s="86"/>
      <c r="B273" s="87"/>
      <c r="C273" s="87"/>
      <c r="D273" s="87"/>
      <c r="E273" s="87"/>
      <c r="F273" s="87"/>
      <c r="G273" s="87"/>
      <c r="H273" s="88"/>
    </row>
    <row r="274" spans="1:8">
      <c r="A274" s="75"/>
      <c r="B274" s="109" t="s">
        <v>82</v>
      </c>
      <c r="C274" s="76"/>
      <c r="D274" s="76"/>
      <c r="E274" s="76"/>
      <c r="F274" s="76"/>
      <c r="G274" s="76"/>
      <c r="H274" s="89"/>
    </row>
    <row r="275" spans="1:8">
      <c r="A275" s="75"/>
      <c r="B275" s="76"/>
      <c r="C275" s="76"/>
      <c r="D275" s="76"/>
      <c r="E275" s="76"/>
      <c r="F275" s="76"/>
      <c r="G275" s="76"/>
      <c r="H275" s="89"/>
    </row>
    <row r="276" spans="1:8">
      <c r="A276" s="75"/>
      <c r="B276" s="76" t="s">
        <v>182</v>
      </c>
      <c r="C276" s="76" t="str">
        <f>VLOOKUP(G277,'18_1'!$A$12:$G$48,7,0)</f>
        <v>CARBONI, ROBERTO FRANCISCO</v>
      </c>
      <c r="D276" s="76"/>
      <c r="E276" s="76"/>
      <c r="F276" s="76"/>
      <c r="G276" s="100" t="s">
        <v>134</v>
      </c>
      <c r="H276" s="89"/>
    </row>
    <row r="277" spans="1:8">
      <c r="A277" s="75"/>
      <c r="B277" s="76" t="s">
        <v>91</v>
      </c>
      <c r="C277" s="76" t="str">
        <f>+'18_1'!$H$3</f>
        <v>Hijuela 2da. El Carmen Completa</v>
      </c>
      <c r="D277" s="76"/>
      <c r="E277" s="76"/>
      <c r="F277" s="76"/>
      <c r="G277" s="100">
        <v>17</v>
      </c>
      <c r="H277" s="89"/>
    </row>
    <row r="278" spans="1:8">
      <c r="A278" s="75"/>
      <c r="B278" s="76"/>
      <c r="C278" s="76"/>
      <c r="D278" s="76"/>
      <c r="E278" s="76"/>
      <c r="F278" s="76"/>
      <c r="G278" s="76"/>
      <c r="H278" s="89"/>
    </row>
    <row r="279" spans="1:8">
      <c r="A279" s="75"/>
      <c r="B279" s="635" t="s">
        <v>183</v>
      </c>
      <c r="C279" s="331">
        <f>VLOOKUP(G277,'18_1'!$A$13:$B$48,2,0)</f>
        <v>1252</v>
      </c>
      <c r="D279" s="76"/>
      <c r="E279" s="635" t="s">
        <v>184</v>
      </c>
      <c r="F279" s="397">
        <f>DSUM('18_1'!A$12:J$48,'18_1'!$J$12,G276:G277)</f>
        <v>6.4824467971289129E-2</v>
      </c>
      <c r="G279" s="76"/>
      <c r="H279" s="89"/>
    </row>
    <row r="280" spans="1:8">
      <c r="A280" s="75"/>
      <c r="B280" s="635" t="s">
        <v>185</v>
      </c>
      <c r="C280" s="374">
        <v>23</v>
      </c>
      <c r="D280" s="76"/>
      <c r="E280" s="635" t="s">
        <v>186</v>
      </c>
      <c r="F280" s="368" t="str">
        <f>IF(VLOOKUP(G277,'18_1'!$A$12:$D$86,4,0)=2,"Eventual 80%","Definitivo 100%")</f>
        <v>Eventual 80%</v>
      </c>
      <c r="G280" s="76"/>
      <c r="H280" s="89"/>
    </row>
    <row r="281" spans="1:8">
      <c r="A281" s="75"/>
      <c r="B281" s="635" t="s">
        <v>187</v>
      </c>
      <c r="C281" s="375">
        <f>DSUM('18_1'!$A$12:$H$48,'18_1'!$H$12,G276:G277)</f>
        <v>3.6</v>
      </c>
      <c r="D281" s="76"/>
      <c r="E281" s="635" t="s">
        <v>188</v>
      </c>
      <c r="F281" s="369" t="str">
        <f>+Hijuelas!$G$5</f>
        <v>fracción</v>
      </c>
      <c r="G281" s="106"/>
      <c r="H281" s="89"/>
    </row>
    <row r="282" spans="1:8" ht="15.75">
      <c r="A282" s="75"/>
      <c r="B282" s="76"/>
      <c r="C282" s="635" t="s">
        <v>189</v>
      </c>
      <c r="D282" s="107" t="e">
        <f>DMIN('18_1'!A$12:K$48,'18_1'!$K$12,G276:G277)</f>
        <v>#REF!</v>
      </c>
      <c r="E282" s="127" t="e">
        <f>IF(F282=1,"Domingo",IF(F282=2,"Lunes",IF(F282=3,"Martes",IF(F282=4,"Miercoles",IF(F282=5,"Jueves",IF(F282=6,"Viernes",IF(F282=7,"Sábado",0)))))))</f>
        <v>#REF!</v>
      </c>
      <c r="F282" s="128" t="e">
        <f>WEEKDAY(D282)</f>
        <v>#REF!</v>
      </c>
      <c r="G282" s="103"/>
      <c r="H282" s="89"/>
    </row>
    <row r="283" spans="1:8" ht="15.75">
      <c r="A283" s="75"/>
      <c r="B283" s="76"/>
      <c r="C283" s="635" t="s">
        <v>190</v>
      </c>
      <c r="D283" s="107" t="e">
        <f>DMAX('18_1'!A$12:L$48,'18_1'!$L$12,G276:G277)</f>
        <v>#REF!</v>
      </c>
      <c r="E283" s="127" t="e">
        <f>IF(F283=1,"Domingo",IF(F283=2,"Lunes",IF(F283=3,"Martes",IF(F283=4,"Miercoles",IF(F283=5,"Jueves",IF(F283=6,"Viernes",IF(F283=7,"Sábado",0)))))))</f>
        <v>#REF!</v>
      </c>
      <c r="F283" s="128" t="e">
        <f>WEEKDAY(D283)</f>
        <v>#REF!</v>
      </c>
      <c r="G283" s="103"/>
      <c r="H283" s="89"/>
    </row>
    <row r="284" spans="1:8">
      <c r="A284" s="75"/>
      <c r="B284" s="76"/>
      <c r="C284" s="76"/>
      <c r="D284" s="76"/>
      <c r="E284" s="76"/>
      <c r="F284" s="106"/>
      <c r="G284" s="106"/>
      <c r="H284" s="89"/>
    </row>
    <row r="285" spans="1:8">
      <c r="A285" s="75"/>
      <c r="B285" s="331" t="str">
        <f>+Mensajes!$B$7</f>
        <v>PARA CUALQUIER MODIFICACION EN EL CUADRO DE TURNO COMUNIQUESE CON SU TOMERO</v>
      </c>
      <c r="C285" s="279"/>
      <c r="D285" s="76"/>
      <c r="E285" s="76"/>
      <c r="F285" s="76"/>
      <c r="G285" s="76"/>
      <c r="H285" s="89"/>
    </row>
    <row r="286" spans="1:8">
      <c r="A286" s="75"/>
      <c r="B286" s="332" t="str">
        <f>+Mensajes!$B$12</f>
        <v>Recuerde que con 1 (una) cuotas vigentes impagas se restringirá el servicio.</v>
      </c>
      <c r="C286" s="280"/>
      <c r="D286" s="76"/>
      <c r="E286" s="76"/>
      <c r="F286" s="76"/>
      <c r="G286" s="76"/>
      <c r="H286" s="89"/>
    </row>
    <row r="287" spans="1:8">
      <c r="A287" s="75"/>
      <c r="B287" s="108"/>
      <c r="C287" s="76"/>
      <c r="D287" s="76"/>
      <c r="E287" s="76"/>
      <c r="F287" s="76"/>
      <c r="G287" s="76"/>
      <c r="H287" s="89"/>
    </row>
    <row r="288" spans="1:8" ht="13.5" thickBot="1">
      <c r="A288" s="101"/>
      <c r="B288" s="387" t="str">
        <f>IF(DSUM('17_1'!$A$12:$P$90,16,G276:G277)=COUNTIF('17_1'!$A$12:$A$90,G277),"","Regularice su Deuda")</f>
        <v/>
      </c>
      <c r="C288" s="77"/>
      <c r="D288" s="77"/>
      <c r="E288" s="77"/>
      <c r="F288" s="77"/>
      <c r="G288" s="77"/>
      <c r="H288" s="78"/>
    </row>
    <row r="290" spans="1:8">
      <c r="A290" s="86"/>
      <c r="B290" s="87"/>
      <c r="C290" s="87"/>
      <c r="D290" s="87"/>
      <c r="E290" s="87"/>
      <c r="F290" s="87"/>
      <c r="G290" s="87"/>
      <c r="H290" s="88"/>
    </row>
    <row r="291" spans="1:8">
      <c r="A291" s="75"/>
      <c r="B291" s="109" t="s">
        <v>82</v>
      </c>
      <c r="C291" s="76"/>
      <c r="D291" s="76"/>
      <c r="E291" s="76"/>
      <c r="F291" s="76"/>
      <c r="G291" s="76"/>
      <c r="H291" s="89"/>
    </row>
    <row r="292" spans="1:8">
      <c r="A292" s="75"/>
      <c r="B292" s="76"/>
      <c r="C292" s="76"/>
      <c r="D292" s="76"/>
      <c r="E292" s="76"/>
      <c r="F292" s="76"/>
      <c r="G292" s="76"/>
      <c r="H292" s="89"/>
    </row>
    <row r="293" spans="1:8">
      <c r="A293" s="75"/>
      <c r="B293" s="76" t="s">
        <v>182</v>
      </c>
      <c r="C293" s="76" t="str">
        <f>VLOOKUP(G294,'18_1'!$A$12:$G$48,7,0)</f>
        <v xml:space="preserve">MASIERO, MAURICIO AMADEO </v>
      </c>
      <c r="D293" s="76"/>
      <c r="E293" s="76"/>
      <c r="F293" s="76"/>
      <c r="G293" s="100" t="s">
        <v>134</v>
      </c>
      <c r="H293" s="89"/>
    </row>
    <row r="294" spans="1:8">
      <c r="A294" s="75"/>
      <c r="B294" s="76" t="s">
        <v>91</v>
      </c>
      <c r="C294" s="76" t="str">
        <f>+'18_1'!$H$3</f>
        <v>Hijuela 2da. El Carmen Completa</v>
      </c>
      <c r="D294" s="76"/>
      <c r="E294" s="76"/>
      <c r="F294" s="76"/>
      <c r="G294" s="100">
        <v>18</v>
      </c>
      <c r="H294" s="89"/>
    </row>
    <row r="295" spans="1:8">
      <c r="A295" s="75"/>
      <c r="B295" s="76"/>
      <c r="C295" s="76"/>
      <c r="D295" s="76"/>
      <c r="E295" s="76"/>
      <c r="F295" s="76"/>
      <c r="G295" s="76"/>
      <c r="H295" s="89"/>
    </row>
    <row r="296" spans="1:8">
      <c r="A296" s="75"/>
      <c r="B296" s="635" t="s">
        <v>183</v>
      </c>
      <c r="C296" s="331">
        <f>VLOOKUP(G294,'18_1'!$A$13:$B$48,2,0)</f>
        <v>1252</v>
      </c>
      <c r="D296" s="76"/>
      <c r="E296" s="635" t="s">
        <v>184</v>
      </c>
      <c r="F296" s="397">
        <f>DSUM('18_1'!A$12:J$48,'18_1'!$J$12,G293:G294)</f>
        <v>0</v>
      </c>
      <c r="G296" s="76"/>
      <c r="H296" s="89"/>
    </row>
    <row r="297" spans="1:8">
      <c r="A297" s="75"/>
      <c r="B297" s="635" t="s">
        <v>185</v>
      </c>
      <c r="C297" s="374">
        <v>24</v>
      </c>
      <c r="D297" s="76"/>
      <c r="E297" s="635" t="s">
        <v>186</v>
      </c>
      <c r="F297" s="368" t="str">
        <f>IF(VLOOKUP(G294,'18_1'!$A$12:$D$86,4,0)=2,"Eventual 80%","Definitivo 100%")</f>
        <v>Eventual 80%</v>
      </c>
      <c r="G297" s="76"/>
      <c r="H297" s="89"/>
    </row>
    <row r="298" spans="1:8">
      <c r="A298" s="75"/>
      <c r="B298" s="635" t="s">
        <v>187</v>
      </c>
      <c r="C298" s="375">
        <f>DSUM('18_1'!$A$12:$H$48,'18_1'!$H$12,G293:G294)</f>
        <v>0</v>
      </c>
      <c r="D298" s="76"/>
      <c r="E298" s="635" t="s">
        <v>188</v>
      </c>
      <c r="F298" s="369" t="str">
        <f>+Hijuelas!$G$5</f>
        <v>fracción</v>
      </c>
      <c r="G298" s="106"/>
      <c r="H298" s="89"/>
    </row>
    <row r="299" spans="1:8" ht="15.75">
      <c r="A299" s="75"/>
      <c r="B299" s="76"/>
      <c r="C299" s="635" t="s">
        <v>189</v>
      </c>
      <c r="D299" s="107" t="e">
        <f>DMIN('18_1'!A$12:K$48,'18_1'!$K$12,G293:G294)</f>
        <v>#REF!</v>
      </c>
      <c r="E299" s="127" t="e">
        <f>IF(F299=1,"Domingo",IF(F299=2,"Lunes",IF(F299=3,"Martes",IF(F299=4,"Miercoles",IF(F299=5,"Jueves",IF(F299=6,"Viernes",IF(F299=7,"Sábado",0)))))))</f>
        <v>#REF!</v>
      </c>
      <c r="F299" s="128" t="e">
        <f>WEEKDAY(D299)</f>
        <v>#REF!</v>
      </c>
      <c r="G299" s="103"/>
      <c r="H299" s="89"/>
    </row>
    <row r="300" spans="1:8" ht="15.75">
      <c r="A300" s="75"/>
      <c r="B300" s="76"/>
      <c r="C300" s="635" t="s">
        <v>190</v>
      </c>
      <c r="D300" s="107" t="e">
        <f>DMAX('18_1'!A$12:L$48,'18_1'!$L$12,G293:G294)</f>
        <v>#REF!</v>
      </c>
      <c r="E300" s="127" t="e">
        <f>IF(F300=1,"Domingo",IF(F300=2,"Lunes",IF(F300=3,"Martes",IF(F300=4,"Miercoles",IF(F300=5,"Jueves",IF(F300=6,"Viernes",IF(F300=7,"Sábado",0)))))))</f>
        <v>#REF!</v>
      </c>
      <c r="F300" s="128" t="e">
        <f>WEEKDAY(D300)</f>
        <v>#REF!</v>
      </c>
      <c r="G300" s="103"/>
      <c r="H300" s="89"/>
    </row>
    <row r="301" spans="1:8">
      <c r="A301" s="75"/>
      <c r="B301" s="76"/>
      <c r="C301" s="76"/>
      <c r="D301" s="76"/>
      <c r="E301" s="76"/>
      <c r="F301" s="106"/>
      <c r="G301" s="106"/>
      <c r="H301" s="89"/>
    </row>
    <row r="302" spans="1:8">
      <c r="A302" s="75"/>
      <c r="B302" s="331" t="str">
        <f>+Mensajes!$B$7</f>
        <v>PARA CUALQUIER MODIFICACION EN EL CUADRO DE TURNO COMUNIQUESE CON SU TOMERO</v>
      </c>
      <c r="C302" s="279"/>
      <c r="D302" s="76"/>
      <c r="E302" s="76"/>
      <c r="F302" s="76"/>
      <c r="G302" s="76"/>
      <c r="H302" s="89"/>
    </row>
    <row r="303" spans="1:8">
      <c r="A303" s="75"/>
      <c r="B303" s="332" t="str">
        <f>+Mensajes!$B$12</f>
        <v>Recuerde que con 1 (una) cuotas vigentes impagas se restringirá el servicio.</v>
      </c>
      <c r="C303" s="280"/>
      <c r="D303" s="76"/>
      <c r="E303" s="76"/>
      <c r="F303" s="76"/>
      <c r="G303" s="76"/>
      <c r="H303" s="89"/>
    </row>
    <row r="304" spans="1:8">
      <c r="A304" s="75"/>
      <c r="B304" s="108"/>
      <c r="C304" s="76"/>
      <c r="D304" s="76"/>
      <c r="E304" s="76"/>
      <c r="F304" s="76"/>
      <c r="G304" s="76"/>
      <c r="H304" s="89"/>
    </row>
    <row r="305" spans="1:8" ht="13.5" thickBot="1">
      <c r="A305" s="101"/>
      <c r="B305" s="387" t="str">
        <f>IF(DSUM('17_1'!$A$12:$P$90,16,G293:G294)=COUNTIF('17_1'!$A$12:$A$90,G294),"","Regularice su Deuda")</f>
        <v/>
      </c>
      <c r="C305" s="77"/>
      <c r="D305" s="77"/>
      <c r="E305" s="77"/>
      <c r="F305" s="77"/>
      <c r="G305" s="77"/>
      <c r="H305" s="78"/>
    </row>
    <row r="307" spans="1:8">
      <c r="A307" s="86"/>
      <c r="B307" s="87"/>
      <c r="C307" s="87"/>
      <c r="D307" s="87"/>
      <c r="E307" s="87"/>
      <c r="F307" s="87"/>
      <c r="G307" s="87"/>
      <c r="H307" s="88"/>
    </row>
    <row r="308" spans="1:8">
      <c r="A308" s="75"/>
      <c r="B308" s="109" t="s">
        <v>82</v>
      </c>
      <c r="C308" s="76"/>
      <c r="D308" s="76"/>
      <c r="E308" s="76"/>
      <c r="F308" s="76"/>
      <c r="G308" s="76"/>
      <c r="H308" s="89"/>
    </row>
    <row r="309" spans="1:8">
      <c r="A309" s="75"/>
      <c r="B309" s="76"/>
      <c r="C309" s="76"/>
      <c r="D309" s="76"/>
      <c r="E309" s="76"/>
      <c r="F309" s="76"/>
      <c r="G309" s="76"/>
      <c r="H309" s="89"/>
    </row>
    <row r="310" spans="1:8">
      <c r="A310" s="75"/>
      <c r="B310" s="76" t="s">
        <v>182</v>
      </c>
      <c r="C310" s="76" t="str">
        <f>VLOOKUP(G311,'18_1'!$A$12:$G$48,7,0)</f>
        <v xml:space="preserve">RODIGHIERO, JORGE </v>
      </c>
      <c r="D310" s="76"/>
      <c r="E310" s="76"/>
      <c r="F310" s="76"/>
      <c r="G310" s="100" t="s">
        <v>134</v>
      </c>
      <c r="H310" s="89"/>
    </row>
    <row r="311" spans="1:8">
      <c r="A311" s="75"/>
      <c r="B311" s="76" t="s">
        <v>91</v>
      </c>
      <c r="C311" s="76" t="str">
        <f>+'18_1'!$H$3</f>
        <v>Hijuela 2da. El Carmen Completa</v>
      </c>
      <c r="D311" s="76"/>
      <c r="E311" s="76"/>
      <c r="F311" s="76"/>
      <c r="G311" s="100">
        <v>19</v>
      </c>
      <c r="H311" s="89"/>
    </row>
    <row r="312" spans="1:8">
      <c r="A312" s="75"/>
      <c r="B312" s="76"/>
      <c r="C312" s="76"/>
      <c r="D312" s="76"/>
      <c r="E312" s="76"/>
      <c r="F312" s="76"/>
      <c r="G312" s="76"/>
      <c r="H312" s="89"/>
    </row>
    <row r="313" spans="1:8">
      <c r="A313" s="75"/>
      <c r="B313" s="635" t="s">
        <v>183</v>
      </c>
      <c r="C313" s="331">
        <f>VLOOKUP(G311,'18_1'!$A$13:$B$48,2,0)</f>
        <v>1252</v>
      </c>
      <c r="D313" s="76"/>
      <c r="E313" s="635" t="s">
        <v>184</v>
      </c>
      <c r="F313" s="397">
        <f>DSUM('18_1'!A$12:J$48,'18_1'!$J$12,G310:G311)</f>
        <v>0.36013593317382847</v>
      </c>
      <c r="G313" s="76"/>
      <c r="H313" s="89"/>
    </row>
    <row r="314" spans="1:8">
      <c r="A314" s="75"/>
      <c r="B314" s="635" t="s">
        <v>185</v>
      </c>
      <c r="C314" s="374" t="s">
        <v>584</v>
      </c>
      <c r="D314" s="76"/>
      <c r="E314" s="635" t="s">
        <v>186</v>
      </c>
      <c r="F314" s="368" t="str">
        <f>IF(VLOOKUP(G311,'18_1'!$A$12:$D$86,4,0)=2,"Eventual 80%","Definitivo 100%")</f>
        <v>Eventual 80%</v>
      </c>
      <c r="G314" s="76"/>
      <c r="H314" s="89"/>
    </row>
    <row r="315" spans="1:8">
      <c r="A315" s="75"/>
      <c r="B315" s="635" t="s">
        <v>187</v>
      </c>
      <c r="C315" s="375">
        <f>DSUM('18_1'!$A$12:$H$48,'18_1'!$H$12,G310:G311)</f>
        <v>20</v>
      </c>
      <c r="D315" s="76"/>
      <c r="E315" s="635" t="s">
        <v>188</v>
      </c>
      <c r="F315" s="369" t="str">
        <f>+Hijuelas!$G$5</f>
        <v>fracción</v>
      </c>
      <c r="G315" s="106"/>
      <c r="H315" s="89"/>
    </row>
    <row r="316" spans="1:8" ht="15.75">
      <c r="A316" s="75"/>
      <c r="B316" s="76"/>
      <c r="C316" s="635" t="s">
        <v>189</v>
      </c>
      <c r="D316" s="107" t="e">
        <f>DMIN('18_1'!A$12:K$48,'18_1'!$K$12,G310:G311)</f>
        <v>#REF!</v>
      </c>
      <c r="E316" s="127" t="e">
        <f>IF(F316=1,"Domingo",IF(F316=2,"Lunes",IF(F316=3,"Martes",IF(F316=4,"Miercoles",IF(F316=5,"Jueves",IF(F316=6,"Viernes",IF(F316=7,"Sábado",0)))))))</f>
        <v>#REF!</v>
      </c>
      <c r="F316" s="128" t="e">
        <f>WEEKDAY(D316)</f>
        <v>#REF!</v>
      </c>
      <c r="G316" s="103"/>
      <c r="H316" s="89"/>
    </row>
    <row r="317" spans="1:8" ht="15.75">
      <c r="A317" s="75"/>
      <c r="B317" s="76"/>
      <c r="C317" s="635" t="s">
        <v>190</v>
      </c>
      <c r="D317" s="107" t="e">
        <f>DMAX('18_1'!A$12:L$48,'18_1'!$L$12,G310:G311)</f>
        <v>#REF!</v>
      </c>
      <c r="E317" s="127" t="e">
        <f>IF(F317=1,"Domingo",IF(F317=2,"Lunes",IF(F317=3,"Martes",IF(F317=4,"Miercoles",IF(F317=5,"Jueves",IF(F317=6,"Viernes",IF(F317=7,"Sábado",0)))))))</f>
        <v>#REF!</v>
      </c>
      <c r="F317" s="128" t="e">
        <f>WEEKDAY(D317)</f>
        <v>#REF!</v>
      </c>
      <c r="G317" s="103"/>
      <c r="H317" s="89"/>
    </row>
    <row r="318" spans="1:8">
      <c r="A318" s="75"/>
      <c r="B318" s="76"/>
      <c r="C318" s="76"/>
      <c r="D318" s="76"/>
      <c r="E318" s="76"/>
      <c r="F318" s="106"/>
      <c r="G318" s="106"/>
      <c r="H318" s="89"/>
    </row>
    <row r="319" spans="1:8">
      <c r="A319" s="75"/>
      <c r="B319" s="331" t="str">
        <f>+Mensajes!$B$7</f>
        <v>PARA CUALQUIER MODIFICACION EN EL CUADRO DE TURNO COMUNIQUESE CON SU TOMERO</v>
      </c>
      <c r="C319" s="279"/>
      <c r="D319" s="76"/>
      <c r="E319" s="76"/>
      <c r="F319" s="76"/>
      <c r="G319" s="76"/>
      <c r="H319" s="89"/>
    </row>
    <row r="320" spans="1:8">
      <c r="A320" s="75"/>
      <c r="B320" s="332" t="str">
        <f>+Mensajes!$B$12</f>
        <v>Recuerde que con 1 (una) cuotas vigentes impagas se restringirá el servicio.</v>
      </c>
      <c r="C320" s="280"/>
      <c r="D320" s="76"/>
      <c r="E320" s="76"/>
      <c r="F320" s="76"/>
      <c r="G320" s="76"/>
      <c r="H320" s="89"/>
    </row>
    <row r="321" spans="1:8">
      <c r="A321" s="75"/>
      <c r="B321" s="108"/>
      <c r="C321" s="76"/>
      <c r="D321" s="76"/>
      <c r="E321" s="76"/>
      <c r="F321" s="76"/>
      <c r="G321" s="76"/>
      <c r="H321" s="89"/>
    </row>
    <row r="322" spans="1:8" ht="13.5" thickBot="1">
      <c r="A322" s="101"/>
      <c r="B322" s="387" t="str">
        <f>IF(DSUM('17_1'!$A$12:$P$90,16,G310:G311)=COUNTIF('17_1'!$A$12:$A$90,G311),"","Regularice su Deuda")</f>
        <v/>
      </c>
      <c r="C322" s="77"/>
      <c r="D322" s="77"/>
      <c r="E322" s="77"/>
      <c r="F322" s="77"/>
      <c r="G322" s="77"/>
      <c r="H322" s="78"/>
    </row>
    <row r="331" spans="1:8">
      <c r="C331">
        <v>20</v>
      </c>
    </row>
  </sheetData>
  <phoneticPr fontId="0" type="noConversion"/>
  <pageMargins left="0.78740157480314965" right="0.75" top="0.98425196850393704" bottom="0.98425196850393704" header="0" footer="0"/>
  <pageSetup paperSize="9" scale="75" orientation="portrait" verticalDpi="300" r:id="rId1"/>
  <headerFooter alignWithMargins="0"/>
  <rowBreaks count="4" manualBreakCount="4">
    <brk id="68" max="7" man="1"/>
    <brk id="136" max="7" man="1"/>
    <brk id="204" max="7" man="1"/>
    <brk id="272" max="7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24"/>
  <dimension ref="A1:J1461"/>
  <sheetViews>
    <sheetView workbookViewId="0" xr3:uid="{701D7CAA-229E-5CB1-96B2-8F6C91020655}"/>
  </sheetViews>
  <sheetFormatPr defaultRowHeight="12.75"/>
  <cols>
    <col min="1" max="2" width="11.42578125" customWidth="1"/>
    <col min="3" max="3" width="35.85546875" customWidth="1"/>
    <col min="4" max="4" width="46.140625" customWidth="1"/>
    <col min="5" max="256" width="11.42578125" customWidth="1"/>
  </cols>
  <sheetData>
    <row r="1" spans="1:6" ht="21" customHeight="1">
      <c r="A1" s="487"/>
      <c r="B1" s="488"/>
      <c r="C1" s="510" t="s">
        <v>585</v>
      </c>
      <c r="D1" s="88"/>
    </row>
    <row r="2" spans="1:6" ht="15" customHeight="1">
      <c r="A2" s="90"/>
      <c r="B2" s="511" t="s">
        <v>586</v>
      </c>
      <c r="C2" s="509"/>
      <c r="D2" s="486"/>
    </row>
    <row r="3" spans="1:6" ht="21.95" customHeight="1">
      <c r="A3" s="608" t="s">
        <v>587</v>
      </c>
      <c r="B3" s="91"/>
      <c r="C3" s="91"/>
      <c r="D3" s="486"/>
    </row>
    <row r="4" spans="1:6" ht="21.95" customHeight="1">
      <c r="A4" s="608" t="s">
        <v>588</v>
      </c>
      <c r="B4" s="91"/>
      <c r="C4" s="91"/>
      <c r="D4" s="486"/>
    </row>
    <row r="5" spans="1:6" ht="20.100000000000001" customHeight="1">
      <c r="A5" s="577" t="s">
        <v>589</v>
      </c>
      <c r="B5" s="10"/>
      <c r="C5" s="10"/>
      <c r="D5" s="578"/>
    </row>
    <row r="6" spans="1:6" ht="21.95" customHeight="1">
      <c r="A6" s="608" t="s">
        <v>590</v>
      </c>
      <c r="B6" s="91"/>
      <c r="C6" s="91"/>
      <c r="D6" s="486"/>
    </row>
    <row r="7" spans="1:6" ht="15" customHeight="1">
      <c r="A7" s="609"/>
      <c r="B7" s="579"/>
      <c r="C7" s="579"/>
      <c r="D7" s="580"/>
    </row>
    <row r="8" spans="1:6" s="42" customFormat="1" ht="18.95" customHeight="1">
      <c r="A8" s="512" t="s">
        <v>591</v>
      </c>
      <c r="B8" s="512" t="s">
        <v>136</v>
      </c>
      <c r="C8" s="512" t="s">
        <v>592</v>
      </c>
      <c r="D8" s="512" t="s">
        <v>146</v>
      </c>
    </row>
    <row r="9" spans="1:6" ht="24.95" customHeight="1">
      <c r="A9" s="250">
        <v>1253</v>
      </c>
      <c r="B9" s="250" t="s">
        <v>593</v>
      </c>
      <c r="C9" s="335" t="s">
        <v>594</v>
      </c>
      <c r="D9" s="5"/>
      <c r="F9" s="610"/>
    </row>
    <row r="10" spans="1:6" ht="24.95" customHeight="1">
      <c r="A10" s="250">
        <v>1253</v>
      </c>
      <c r="B10" s="250">
        <v>100.116</v>
      </c>
      <c r="C10" s="335" t="s">
        <v>198</v>
      </c>
      <c r="D10" s="5"/>
    </row>
    <row r="11" spans="1:6" ht="21.95" customHeight="1">
      <c r="A11" s="250">
        <v>1253</v>
      </c>
      <c r="B11" s="250">
        <v>1</v>
      </c>
      <c r="C11" s="335" t="s">
        <v>197</v>
      </c>
      <c r="D11" s="5"/>
    </row>
    <row r="12" spans="1:6" ht="21.95" customHeight="1">
      <c r="A12" s="250">
        <v>1253</v>
      </c>
      <c r="B12" s="250" t="s">
        <v>595</v>
      </c>
      <c r="C12" s="335" t="s">
        <v>596</v>
      </c>
      <c r="D12" s="5"/>
    </row>
    <row r="13" spans="1:6" ht="21.95" customHeight="1">
      <c r="A13" s="250">
        <v>1253</v>
      </c>
      <c r="B13" s="250">
        <v>16</v>
      </c>
      <c r="C13" s="335" t="s">
        <v>244</v>
      </c>
      <c r="D13" s="5"/>
    </row>
    <row r="14" spans="1:6" ht="21.95" customHeight="1">
      <c r="A14" s="250">
        <v>1253</v>
      </c>
      <c r="B14" s="250">
        <v>14</v>
      </c>
      <c r="C14" s="335" t="s">
        <v>597</v>
      </c>
      <c r="D14" s="5"/>
    </row>
    <row r="15" spans="1:6" ht="24.95" customHeight="1">
      <c r="A15" s="250">
        <v>1253</v>
      </c>
      <c r="B15" s="250">
        <v>20</v>
      </c>
      <c r="C15" s="335" t="s">
        <v>598</v>
      </c>
      <c r="D15" s="5"/>
    </row>
    <row r="16" spans="1:6" ht="24.95" customHeight="1">
      <c r="A16" s="250">
        <v>1253</v>
      </c>
      <c r="B16" s="250">
        <v>18</v>
      </c>
      <c r="C16" s="335" t="s">
        <v>208</v>
      </c>
      <c r="D16" s="5"/>
    </row>
    <row r="17" spans="1:4" ht="24.95" customHeight="1">
      <c r="A17" s="250">
        <v>1253</v>
      </c>
      <c r="B17" s="250">
        <v>34</v>
      </c>
      <c r="C17" s="335" t="s">
        <v>208</v>
      </c>
      <c r="D17" s="5"/>
    </row>
    <row r="18" spans="1:4" ht="24.95" customHeight="1">
      <c r="A18" s="250">
        <v>1253</v>
      </c>
      <c r="B18" s="250">
        <v>35</v>
      </c>
      <c r="C18" s="335" t="s">
        <v>216</v>
      </c>
      <c r="D18" s="5"/>
    </row>
    <row r="19" spans="1:4" ht="24.95" customHeight="1">
      <c r="A19" s="250">
        <v>1253</v>
      </c>
      <c r="B19" s="250">
        <v>119</v>
      </c>
      <c r="C19" s="335" t="s">
        <v>213</v>
      </c>
      <c r="D19" s="5"/>
    </row>
    <row r="20" spans="1:4" ht="22.5" customHeight="1">
      <c r="A20" s="250">
        <v>1253</v>
      </c>
      <c r="B20" s="250">
        <v>19</v>
      </c>
      <c r="C20" s="335" t="s">
        <v>599</v>
      </c>
      <c r="D20" s="5"/>
    </row>
    <row r="21" spans="1:4" ht="24.95" customHeight="1">
      <c r="A21" s="250">
        <v>1253</v>
      </c>
      <c r="B21" s="250">
        <v>42</v>
      </c>
      <c r="C21" s="335" t="s">
        <v>241</v>
      </c>
      <c r="D21" s="5"/>
    </row>
    <row r="22" spans="1:4" ht="24.95" customHeight="1">
      <c r="A22" s="250">
        <v>1253</v>
      </c>
      <c r="B22" s="250">
        <v>68</v>
      </c>
      <c r="C22" s="335" t="s">
        <v>239</v>
      </c>
      <c r="D22" s="5"/>
    </row>
    <row r="23" spans="1:4" ht="24.95" customHeight="1">
      <c r="A23" s="250">
        <v>1253</v>
      </c>
      <c r="B23" s="250">
        <v>52</v>
      </c>
      <c r="C23" s="335" t="s">
        <v>240</v>
      </c>
      <c r="D23" s="5"/>
    </row>
    <row r="24" spans="1:4" ht="24.95" customHeight="1">
      <c r="A24" s="250">
        <v>1253</v>
      </c>
      <c r="B24" s="250">
        <v>83</v>
      </c>
      <c r="C24" s="335" t="s">
        <v>241</v>
      </c>
      <c r="D24" s="5"/>
    </row>
    <row r="25" spans="1:4" ht="21" customHeight="1">
      <c r="A25" s="250">
        <v>1253</v>
      </c>
      <c r="B25" s="250">
        <v>40</v>
      </c>
      <c r="C25" s="335" t="s">
        <v>600</v>
      </c>
      <c r="D25" s="5"/>
    </row>
    <row r="26" spans="1:4" ht="21" customHeight="1">
      <c r="A26" s="250">
        <v>1253</v>
      </c>
      <c r="B26" s="250">
        <v>41</v>
      </c>
      <c r="C26" s="335" t="s">
        <v>237</v>
      </c>
      <c r="D26" s="5"/>
    </row>
    <row r="27" spans="1:4" ht="21" customHeight="1">
      <c r="A27" s="250">
        <v>1253</v>
      </c>
      <c r="B27" s="250">
        <v>44</v>
      </c>
      <c r="C27" s="335" t="s">
        <v>213</v>
      </c>
      <c r="D27" s="5"/>
    </row>
    <row r="28" spans="1:4" ht="21" customHeight="1">
      <c r="A28" s="250">
        <v>1253</v>
      </c>
      <c r="B28" s="250">
        <v>46</v>
      </c>
      <c r="C28" s="335" t="s">
        <v>236</v>
      </c>
      <c r="D28" s="5"/>
    </row>
    <row r="29" spans="1:4" ht="24.95" customHeight="1">
      <c r="A29" s="250">
        <v>1253</v>
      </c>
      <c r="B29" s="250">
        <v>63</v>
      </c>
      <c r="C29" s="335" t="s">
        <v>601</v>
      </c>
      <c r="D29" s="5"/>
    </row>
    <row r="30" spans="1:4" ht="24.95" customHeight="1">
      <c r="A30" s="250">
        <v>1253</v>
      </c>
      <c r="B30" s="250">
        <v>13</v>
      </c>
      <c r="C30" s="335" t="s">
        <v>233</v>
      </c>
      <c r="D30" s="5"/>
    </row>
    <row r="31" spans="1:4" ht="24.95" customHeight="1">
      <c r="A31" s="250">
        <v>1253</v>
      </c>
      <c r="B31" s="250">
        <v>110</v>
      </c>
      <c r="C31" s="335" t="s">
        <v>234</v>
      </c>
      <c r="D31" s="5"/>
    </row>
    <row r="32" spans="1:4" ht="24.95" customHeight="1">
      <c r="A32" s="250">
        <v>1253</v>
      </c>
      <c r="B32" s="250">
        <v>109</v>
      </c>
      <c r="C32" s="335" t="s">
        <v>231</v>
      </c>
      <c r="D32" s="5"/>
    </row>
    <row r="33" spans="1:4" ht="24.95" customHeight="1">
      <c r="A33" s="250">
        <v>1253</v>
      </c>
      <c r="B33" s="250">
        <v>107</v>
      </c>
      <c r="C33" s="335" t="s">
        <v>215</v>
      </c>
      <c r="D33" s="5"/>
    </row>
    <row r="34" spans="1:4" ht="24.95" customHeight="1">
      <c r="A34" s="250">
        <v>1253</v>
      </c>
      <c r="B34" s="250">
        <v>47</v>
      </c>
      <c r="C34" s="335" t="s">
        <v>229</v>
      </c>
      <c r="D34" s="5"/>
    </row>
    <row r="35" spans="1:4" s="10" customFormat="1" ht="24.95" customHeight="1">
      <c r="A35" s="451"/>
      <c r="B35" s="451"/>
      <c r="C35" s="452"/>
    </row>
    <row r="36" spans="1:4" s="10" customFormat="1" ht="24.95" customHeight="1">
      <c r="A36" s="451"/>
      <c r="B36" s="451"/>
      <c r="C36" s="452"/>
    </row>
    <row r="37" spans="1:4" s="10" customFormat="1" ht="24.95" customHeight="1">
      <c r="A37" s="487"/>
      <c r="B37" s="488"/>
      <c r="C37" s="510" t="s">
        <v>585</v>
      </c>
      <c r="D37" s="88"/>
    </row>
    <row r="38" spans="1:4" ht="24.95" customHeight="1">
      <c r="A38" s="90"/>
      <c r="B38" s="511" t="s">
        <v>586</v>
      </c>
      <c r="C38" s="509"/>
      <c r="D38" s="486"/>
    </row>
    <row r="39" spans="1:4" ht="24.95" customHeight="1">
      <c r="A39" s="608" t="s">
        <v>587</v>
      </c>
      <c r="B39" s="91"/>
      <c r="C39" s="91"/>
      <c r="D39" s="486"/>
    </row>
    <row r="40" spans="1:4" ht="24.95" customHeight="1">
      <c r="A40" s="608" t="s">
        <v>588</v>
      </c>
      <c r="B40" s="91"/>
      <c r="C40" s="91"/>
      <c r="D40" s="486"/>
    </row>
    <row r="41" spans="1:4" ht="24.95" customHeight="1">
      <c r="A41" s="577" t="s">
        <v>589</v>
      </c>
      <c r="B41" s="10"/>
      <c r="C41" s="10"/>
      <c r="D41" s="578"/>
    </row>
    <row r="42" spans="1:4" ht="24.95" customHeight="1">
      <c r="A42" s="608" t="s">
        <v>590</v>
      </c>
      <c r="B42" s="91"/>
      <c r="C42" s="91"/>
      <c r="D42" s="486"/>
    </row>
    <row r="43" spans="1:4" ht="15" customHeight="1">
      <c r="A43" s="609"/>
      <c r="B43" s="579"/>
      <c r="C43" s="579"/>
      <c r="D43" s="580"/>
    </row>
    <row r="44" spans="1:4" ht="20.100000000000001" customHeight="1">
      <c r="A44" s="512" t="s">
        <v>591</v>
      </c>
      <c r="B44" s="512" t="s">
        <v>136</v>
      </c>
      <c r="C44" s="512" t="s">
        <v>592</v>
      </c>
      <c r="D44" s="512" t="s">
        <v>146</v>
      </c>
    </row>
    <row r="45" spans="1:4" ht="20.100000000000001" customHeight="1">
      <c r="A45" s="250">
        <v>1253</v>
      </c>
      <c r="B45" s="250">
        <v>103</v>
      </c>
      <c r="C45" s="335" t="s">
        <v>228</v>
      </c>
      <c r="D45" s="5"/>
    </row>
    <row r="46" spans="1:4" ht="24.95" customHeight="1">
      <c r="A46" s="250">
        <v>1253</v>
      </c>
      <c r="B46" s="250">
        <v>117</v>
      </c>
      <c r="C46" s="335" t="s">
        <v>228</v>
      </c>
      <c r="D46" s="5"/>
    </row>
    <row r="47" spans="1:4" ht="24.95" customHeight="1">
      <c r="A47" s="250">
        <v>1253</v>
      </c>
      <c r="B47" s="250">
        <v>71</v>
      </c>
      <c r="C47" s="335" t="s">
        <v>602</v>
      </c>
      <c r="D47" s="5"/>
    </row>
    <row r="48" spans="1:4" ht="24.95" customHeight="1">
      <c r="A48" s="250">
        <v>1253</v>
      </c>
      <c r="B48" s="250">
        <v>126</v>
      </c>
      <c r="C48" s="335" t="s">
        <v>603</v>
      </c>
      <c r="D48" s="5"/>
    </row>
    <row r="49" spans="1:4" ht="24.95" customHeight="1">
      <c r="A49" s="250">
        <v>1253</v>
      </c>
      <c r="B49" s="250">
        <v>74</v>
      </c>
      <c r="C49" s="335" t="s">
        <v>225</v>
      </c>
      <c r="D49" s="5"/>
    </row>
    <row r="50" spans="1:4" ht="24.95" customHeight="1">
      <c r="A50" s="250">
        <v>1253</v>
      </c>
      <c r="B50" s="250">
        <v>43</v>
      </c>
      <c r="C50" s="335" t="s">
        <v>222</v>
      </c>
      <c r="D50" s="5"/>
    </row>
    <row r="51" spans="1:4" ht="24.95" customHeight="1">
      <c r="A51" s="250">
        <v>1253</v>
      </c>
      <c r="B51" s="250">
        <v>5</v>
      </c>
      <c r="C51" s="335" t="s">
        <v>604</v>
      </c>
      <c r="D51" s="5"/>
    </row>
    <row r="52" spans="1:4" ht="24.95" customHeight="1">
      <c r="A52" s="250">
        <v>1253</v>
      </c>
      <c r="B52" s="250">
        <v>128</v>
      </c>
      <c r="C52" s="335" t="s">
        <v>230</v>
      </c>
      <c r="D52" s="5"/>
    </row>
    <row r="53" spans="1:4" ht="24.95" customHeight="1">
      <c r="A53" s="250">
        <v>1253</v>
      </c>
      <c r="B53" s="250">
        <v>124</v>
      </c>
      <c r="C53" s="335" t="s">
        <v>605</v>
      </c>
      <c r="D53" s="5"/>
    </row>
    <row r="54" spans="1:4" ht="24.95" customHeight="1">
      <c r="A54" s="250">
        <v>1253</v>
      </c>
      <c r="B54" s="250">
        <v>49</v>
      </c>
      <c r="C54" s="335" t="s">
        <v>598</v>
      </c>
      <c r="D54" s="5"/>
    </row>
    <row r="55" spans="1:4" ht="24.95" customHeight="1">
      <c r="A55" s="250">
        <v>1253</v>
      </c>
      <c r="B55" s="250">
        <v>50</v>
      </c>
      <c r="C55" s="335" t="s">
        <v>606</v>
      </c>
      <c r="D55" s="5"/>
    </row>
    <row r="56" spans="1:4" ht="24.95" customHeight="1">
      <c r="A56" s="250">
        <v>1253</v>
      </c>
      <c r="B56" s="250">
        <v>48</v>
      </c>
      <c r="C56" s="335" t="s">
        <v>224</v>
      </c>
      <c r="D56" s="5"/>
    </row>
    <row r="57" spans="1:4" ht="24.95" customHeight="1">
      <c r="A57" s="250">
        <v>1253</v>
      </c>
      <c r="B57" s="250">
        <v>57</v>
      </c>
      <c r="C57" s="335" t="s">
        <v>216</v>
      </c>
      <c r="D57" s="5"/>
    </row>
    <row r="58" spans="1:4" ht="24.95" customHeight="1">
      <c r="A58" s="250">
        <v>1253</v>
      </c>
      <c r="B58" s="250">
        <v>59</v>
      </c>
      <c r="C58" s="335" t="s">
        <v>223</v>
      </c>
      <c r="D58" s="5"/>
    </row>
    <row r="59" spans="1:4" ht="24.95" customHeight="1">
      <c r="A59" s="250">
        <v>1253</v>
      </c>
      <c r="B59" s="250">
        <v>77</v>
      </c>
      <c r="C59" s="335" t="s">
        <v>220</v>
      </c>
      <c r="D59" s="5"/>
    </row>
    <row r="60" spans="1:4" ht="24.95" customHeight="1">
      <c r="A60" s="250">
        <v>1253</v>
      </c>
      <c r="B60" s="250">
        <v>113</v>
      </c>
      <c r="C60" s="335" t="s">
        <v>224</v>
      </c>
      <c r="D60" s="5"/>
    </row>
    <row r="61" spans="1:4" ht="24.95" customHeight="1">
      <c r="A61" s="250">
        <v>1253</v>
      </c>
      <c r="B61" s="250">
        <v>55</v>
      </c>
      <c r="C61" s="335" t="s">
        <v>221</v>
      </c>
      <c r="D61" s="5"/>
    </row>
    <row r="62" spans="1:4" ht="21" customHeight="1">
      <c r="A62" s="250">
        <v>1253</v>
      </c>
      <c r="B62" s="250">
        <v>53</v>
      </c>
      <c r="C62" s="357" t="s">
        <v>217</v>
      </c>
      <c r="D62" s="5"/>
    </row>
    <row r="63" spans="1:4" ht="21" customHeight="1">
      <c r="A63" s="250">
        <v>1253</v>
      </c>
      <c r="B63" s="250" t="s">
        <v>607</v>
      </c>
      <c r="C63" s="335" t="s">
        <v>216</v>
      </c>
      <c r="D63" s="5"/>
    </row>
    <row r="64" spans="1:4" ht="21" customHeight="1">
      <c r="A64" s="250">
        <v>1253</v>
      </c>
      <c r="B64" s="250">
        <v>39</v>
      </c>
      <c r="C64" s="335" t="s">
        <v>213</v>
      </c>
      <c r="D64" s="5"/>
    </row>
    <row r="65" spans="1:4" ht="21" customHeight="1">
      <c r="A65" s="250">
        <v>1253</v>
      </c>
      <c r="B65" s="250">
        <v>56</v>
      </c>
      <c r="C65" s="335" t="s">
        <v>205</v>
      </c>
      <c r="D65" s="5"/>
    </row>
    <row r="66" spans="1:4" ht="24.95" customHeight="1">
      <c r="A66" s="250">
        <v>1253</v>
      </c>
      <c r="B66" s="250">
        <v>102</v>
      </c>
      <c r="C66" s="335" t="s">
        <v>232</v>
      </c>
      <c r="D66" s="5"/>
    </row>
    <row r="67" spans="1:4" ht="24.95" customHeight="1">
      <c r="A67" s="250">
        <v>1253</v>
      </c>
      <c r="B67" s="250">
        <v>108</v>
      </c>
      <c r="C67" s="335" t="s">
        <v>207</v>
      </c>
      <c r="D67" s="5"/>
    </row>
    <row r="68" spans="1:4" ht="21" customHeight="1">
      <c r="A68" s="250">
        <v>1253</v>
      </c>
      <c r="B68" s="250">
        <v>79</v>
      </c>
      <c r="C68" s="335" t="s">
        <v>608</v>
      </c>
      <c r="D68" s="5"/>
    </row>
    <row r="69" spans="1:4" ht="21" customHeight="1">
      <c r="A69" s="250">
        <v>1253</v>
      </c>
      <c r="B69" s="250">
        <v>78</v>
      </c>
      <c r="C69" s="335" t="s">
        <v>210</v>
      </c>
      <c r="D69" s="5"/>
    </row>
    <row r="70" spans="1:4" ht="21" customHeight="1">
      <c r="A70" s="250">
        <v>1253</v>
      </c>
      <c r="B70" s="250">
        <v>80</v>
      </c>
      <c r="C70" s="335" t="s">
        <v>208</v>
      </c>
      <c r="D70" s="5"/>
    </row>
    <row r="71" spans="1:4" ht="24.95" customHeight="1">
      <c r="A71" s="250">
        <v>1253</v>
      </c>
      <c r="B71" s="250">
        <v>114</v>
      </c>
      <c r="C71" s="335" t="s">
        <v>609</v>
      </c>
      <c r="D71" s="5"/>
    </row>
    <row r="72" spans="1:4" ht="24.95" customHeight="1">
      <c r="A72" s="487"/>
      <c r="B72" s="488"/>
      <c r="C72" s="510" t="s">
        <v>585</v>
      </c>
      <c r="D72" s="88"/>
    </row>
    <row r="73" spans="1:4" ht="24.95" customHeight="1">
      <c r="A73" s="90"/>
      <c r="B73" s="511" t="s">
        <v>586</v>
      </c>
      <c r="C73" s="509"/>
      <c r="D73" s="486"/>
    </row>
    <row r="74" spans="1:4" ht="24.95" customHeight="1">
      <c r="A74" s="608" t="s">
        <v>587</v>
      </c>
      <c r="B74" s="91"/>
      <c r="C74" s="91"/>
      <c r="D74" s="486"/>
    </row>
    <row r="75" spans="1:4" ht="24.95" customHeight="1">
      <c r="A75" s="608" t="s">
        <v>588</v>
      </c>
      <c r="B75" s="91"/>
      <c r="C75" s="91"/>
      <c r="D75" s="486"/>
    </row>
    <row r="76" spans="1:4" ht="24.95" customHeight="1">
      <c r="A76" s="577" t="s">
        <v>589</v>
      </c>
      <c r="B76" s="10"/>
      <c r="C76" s="10"/>
      <c r="D76" s="578"/>
    </row>
    <row r="77" spans="1:4" ht="24.95" customHeight="1">
      <c r="A77" s="608" t="s">
        <v>590</v>
      </c>
      <c r="B77" s="91"/>
      <c r="C77" s="91"/>
      <c r="D77" s="486"/>
    </row>
    <row r="78" spans="1:4" ht="15" customHeight="1">
      <c r="A78" s="609"/>
      <c r="B78" s="579"/>
      <c r="C78" s="579"/>
      <c r="D78" s="580"/>
    </row>
    <row r="79" spans="1:4" ht="24.95" customHeight="1">
      <c r="A79" s="512" t="s">
        <v>591</v>
      </c>
      <c r="B79" s="512" t="s">
        <v>136</v>
      </c>
      <c r="C79" s="512" t="s">
        <v>592</v>
      </c>
      <c r="D79" s="512" t="s">
        <v>146</v>
      </c>
    </row>
    <row r="80" spans="1:4" ht="21" customHeight="1">
      <c r="A80" s="250">
        <v>1253</v>
      </c>
      <c r="B80" s="250">
        <v>11</v>
      </c>
      <c r="C80" s="38" t="s">
        <v>244</v>
      </c>
      <c r="D80" s="5"/>
    </row>
    <row r="81" spans="1:4" ht="21" customHeight="1">
      <c r="A81" s="250">
        <v>1253</v>
      </c>
      <c r="B81" s="250">
        <v>120</v>
      </c>
      <c r="C81" s="38" t="s">
        <v>213</v>
      </c>
      <c r="D81" s="5"/>
    </row>
    <row r="82" spans="1:4" ht="21" customHeight="1">
      <c r="A82" s="250">
        <v>1253</v>
      </c>
      <c r="B82" s="250">
        <v>7</v>
      </c>
      <c r="C82" s="38" t="s">
        <v>610</v>
      </c>
      <c r="D82" s="5"/>
    </row>
    <row r="83" spans="1:4" ht="21" customHeight="1">
      <c r="A83" s="250">
        <v>1253</v>
      </c>
      <c r="B83" s="250">
        <v>6</v>
      </c>
      <c r="C83" s="38" t="s">
        <v>611</v>
      </c>
      <c r="D83" s="5"/>
    </row>
    <row r="84" spans="1:4" ht="24.95" customHeight="1">
      <c r="A84" s="250">
        <v>1253</v>
      </c>
      <c r="B84" s="250">
        <v>28</v>
      </c>
      <c r="C84" s="38" t="s">
        <v>612</v>
      </c>
      <c r="D84" s="5"/>
    </row>
    <row r="85" spans="1:4" ht="24.95" customHeight="1">
      <c r="A85" s="250">
        <v>1253</v>
      </c>
      <c r="B85" s="250">
        <v>8</v>
      </c>
      <c r="C85" s="38" t="s">
        <v>537</v>
      </c>
      <c r="D85" s="5"/>
    </row>
    <row r="86" spans="1:4" ht="24.95" customHeight="1">
      <c r="A86" s="250">
        <v>1253</v>
      </c>
      <c r="B86" s="250">
        <v>21</v>
      </c>
      <c r="C86" s="38" t="s">
        <v>613</v>
      </c>
      <c r="D86" s="5"/>
    </row>
    <row r="87" spans="1:4" ht="24.95" customHeight="1">
      <c r="A87" s="250">
        <v>1253</v>
      </c>
      <c r="B87" s="250">
        <v>22</v>
      </c>
      <c r="C87" s="38" t="s">
        <v>614</v>
      </c>
      <c r="D87" s="5"/>
    </row>
    <row r="88" spans="1:4" ht="24.95" customHeight="1">
      <c r="A88" s="250">
        <v>1253</v>
      </c>
      <c r="B88" s="250">
        <v>26</v>
      </c>
      <c r="C88" s="38" t="s">
        <v>615</v>
      </c>
      <c r="D88" s="5"/>
    </row>
    <row r="89" spans="1:4" ht="24.95" customHeight="1">
      <c r="A89" s="250">
        <v>1253</v>
      </c>
      <c r="B89" s="250">
        <v>10</v>
      </c>
      <c r="C89" s="38" t="s">
        <v>616</v>
      </c>
      <c r="D89" s="5"/>
    </row>
    <row r="90" spans="1:4" ht="20.100000000000001" customHeight="1">
      <c r="A90" s="250">
        <v>1253</v>
      </c>
      <c r="B90" s="250">
        <v>84</v>
      </c>
      <c r="C90" s="38" t="s">
        <v>529</v>
      </c>
      <c r="D90" s="5"/>
    </row>
    <row r="91" spans="1:4" ht="20.100000000000001" customHeight="1">
      <c r="A91" s="250">
        <v>1253</v>
      </c>
      <c r="B91" s="250">
        <v>64</v>
      </c>
      <c r="C91" s="38" t="s">
        <v>530</v>
      </c>
      <c r="D91" s="5"/>
    </row>
    <row r="92" spans="1:4" ht="24.95" customHeight="1">
      <c r="A92" s="250">
        <v>1253</v>
      </c>
      <c r="B92" s="250">
        <v>106</v>
      </c>
      <c r="C92" s="38" t="s">
        <v>532</v>
      </c>
      <c r="D92" s="5"/>
    </row>
    <row r="93" spans="1:4" ht="24.95" customHeight="1">
      <c r="A93" s="250">
        <v>1253</v>
      </c>
      <c r="B93" s="250">
        <v>25</v>
      </c>
      <c r="C93" s="38" t="s">
        <v>537</v>
      </c>
      <c r="D93" s="5"/>
    </row>
    <row r="94" spans="1:4" ht="24.95" customHeight="1">
      <c r="A94" s="250">
        <v>1253</v>
      </c>
      <c r="B94" s="250">
        <v>29</v>
      </c>
      <c r="C94" s="270" t="s">
        <v>617</v>
      </c>
      <c r="D94" s="5"/>
    </row>
    <row r="95" spans="1:4" ht="24.95" customHeight="1">
      <c r="A95" s="250">
        <v>1253</v>
      </c>
      <c r="B95" s="250">
        <v>75</v>
      </c>
      <c r="C95" s="38" t="s">
        <v>524</v>
      </c>
      <c r="D95" s="5"/>
    </row>
    <row r="96" spans="1:4" ht="24.95" customHeight="1">
      <c r="A96" s="250">
        <v>1253</v>
      </c>
      <c r="B96" s="250">
        <v>27</v>
      </c>
      <c r="C96" s="38" t="s">
        <v>618</v>
      </c>
      <c r="D96" s="5"/>
    </row>
    <row r="97" spans="1:4" ht="24.95" customHeight="1">
      <c r="A97" s="250">
        <v>1253</v>
      </c>
      <c r="B97" s="250">
        <v>9</v>
      </c>
      <c r="C97" s="38" t="s">
        <v>619</v>
      </c>
      <c r="D97" s="5"/>
    </row>
    <row r="98" spans="1:4" ht="24.95" customHeight="1">
      <c r="A98" s="250">
        <v>1253</v>
      </c>
      <c r="B98" s="250">
        <v>51</v>
      </c>
      <c r="C98" s="38" t="s">
        <v>620</v>
      </c>
      <c r="D98" s="5"/>
    </row>
    <row r="99" spans="1:4" ht="24.95" customHeight="1">
      <c r="A99" s="250">
        <v>1253</v>
      </c>
      <c r="B99" s="250">
        <v>30</v>
      </c>
      <c r="C99" s="38" t="s">
        <v>542</v>
      </c>
      <c r="D99" s="5"/>
    </row>
    <row r="100" spans="1:4" ht="21" customHeight="1">
      <c r="A100" s="250">
        <v>1253</v>
      </c>
      <c r="B100" s="250">
        <v>33</v>
      </c>
      <c r="C100" s="38" t="s">
        <v>543</v>
      </c>
      <c r="D100" s="5"/>
    </row>
    <row r="101" spans="1:4" ht="21" customHeight="1">
      <c r="A101" s="250">
        <v>1253</v>
      </c>
      <c r="B101" s="250">
        <v>32</v>
      </c>
      <c r="C101" s="270" t="s">
        <v>621</v>
      </c>
      <c r="D101" s="5"/>
    </row>
    <row r="102" spans="1:4" ht="21" customHeight="1">
      <c r="A102" s="356">
        <v>1253</v>
      </c>
      <c r="B102" s="356">
        <v>31</v>
      </c>
      <c r="C102" s="490" t="s">
        <v>622</v>
      </c>
      <c r="D102" s="5"/>
    </row>
    <row r="103" spans="1:4" ht="21" customHeight="1">
      <c r="A103" s="250">
        <v>1253</v>
      </c>
      <c r="B103" s="250">
        <v>97</v>
      </c>
      <c r="C103" s="38" t="s">
        <v>623</v>
      </c>
      <c r="D103" s="5"/>
    </row>
    <row r="104" spans="1:4" ht="24.95" customHeight="1">
      <c r="A104" s="250">
        <v>1253</v>
      </c>
      <c r="B104" s="250">
        <v>76</v>
      </c>
      <c r="C104" s="38" t="s">
        <v>534</v>
      </c>
      <c r="D104" s="5"/>
    </row>
    <row r="105" spans="1:4" ht="24.95" customHeight="1">
      <c r="A105" s="250">
        <v>1253</v>
      </c>
      <c r="B105" s="250">
        <v>123</v>
      </c>
      <c r="C105" s="38" t="s">
        <v>214</v>
      </c>
      <c r="D105" s="5"/>
    </row>
    <row r="106" spans="1:4" ht="24.95" customHeight="1">
      <c r="A106" s="250">
        <v>1253</v>
      </c>
      <c r="B106" s="250">
        <v>92</v>
      </c>
      <c r="C106" s="38" t="s">
        <v>535</v>
      </c>
      <c r="D106" s="5"/>
    </row>
    <row r="107" spans="1:4" ht="24.95" customHeight="1">
      <c r="A107" s="487"/>
      <c r="B107" s="488"/>
      <c r="C107" s="510" t="s">
        <v>585</v>
      </c>
      <c r="D107" s="88"/>
    </row>
    <row r="108" spans="1:4" s="10" customFormat="1" ht="24.95" customHeight="1">
      <c r="A108" s="90"/>
      <c r="B108" s="511" t="s">
        <v>586</v>
      </c>
      <c r="C108" s="509"/>
      <c r="D108" s="486"/>
    </row>
    <row r="109" spans="1:4" s="10" customFormat="1" ht="24.95" customHeight="1">
      <c r="A109" s="608" t="s">
        <v>587</v>
      </c>
      <c r="B109" s="91"/>
      <c r="C109" s="91"/>
      <c r="D109" s="486"/>
    </row>
    <row r="110" spans="1:4" ht="24.95" customHeight="1">
      <c r="A110" s="608" t="s">
        <v>588</v>
      </c>
      <c r="B110" s="91"/>
      <c r="C110" s="91"/>
      <c r="D110" s="486"/>
    </row>
    <row r="111" spans="1:4" ht="24.95" customHeight="1">
      <c r="A111" s="577" t="s">
        <v>589</v>
      </c>
      <c r="B111" s="10"/>
      <c r="C111" s="10"/>
      <c r="D111" s="578"/>
    </row>
    <row r="112" spans="1:4" ht="24.95" customHeight="1">
      <c r="A112" s="608" t="s">
        <v>590</v>
      </c>
      <c r="B112" s="91"/>
      <c r="C112" s="91"/>
      <c r="D112" s="486"/>
    </row>
    <row r="113" spans="1:4" ht="15" customHeight="1">
      <c r="A113" s="609"/>
      <c r="B113" s="579"/>
      <c r="C113" s="579"/>
      <c r="D113" s="580"/>
    </row>
    <row r="114" spans="1:4" ht="18" customHeight="1">
      <c r="A114" s="512" t="s">
        <v>591</v>
      </c>
      <c r="B114" s="512" t="s">
        <v>136</v>
      </c>
      <c r="C114" s="512" t="s">
        <v>592</v>
      </c>
      <c r="D114" s="512" t="s">
        <v>146</v>
      </c>
    </row>
    <row r="115" spans="1:4" ht="24.95" customHeight="1">
      <c r="A115" s="250">
        <v>1253</v>
      </c>
      <c r="B115" s="250" t="s">
        <v>624</v>
      </c>
      <c r="C115" s="38" t="s">
        <v>536</v>
      </c>
      <c r="D115" s="5"/>
    </row>
    <row r="116" spans="1:4" ht="24.95" customHeight="1">
      <c r="A116" s="250">
        <v>1253</v>
      </c>
      <c r="B116" s="250" t="s">
        <v>625</v>
      </c>
      <c r="C116" s="38" t="s">
        <v>626</v>
      </c>
      <c r="D116" s="5"/>
    </row>
    <row r="117" spans="1:4" ht="24.95" customHeight="1">
      <c r="A117" s="250">
        <v>1253</v>
      </c>
      <c r="B117" s="250">
        <v>91</v>
      </c>
      <c r="C117" s="38" t="s">
        <v>627</v>
      </c>
      <c r="D117" s="5"/>
    </row>
    <row r="118" spans="1:4" ht="24.95" customHeight="1">
      <c r="A118" s="250">
        <v>1253</v>
      </c>
      <c r="B118" s="250">
        <v>122</v>
      </c>
      <c r="C118" s="38" t="s">
        <v>628</v>
      </c>
      <c r="D118" s="5"/>
    </row>
    <row r="119" spans="1:4" ht="24.95" customHeight="1">
      <c r="A119" s="250">
        <v>1253</v>
      </c>
      <c r="B119" s="250">
        <v>67</v>
      </c>
      <c r="C119" s="38" t="s">
        <v>552</v>
      </c>
      <c r="D119" s="5"/>
    </row>
    <row r="120" spans="1:4" ht="24.95" customHeight="1">
      <c r="A120" s="250">
        <v>1253</v>
      </c>
      <c r="B120" s="250" t="s">
        <v>629</v>
      </c>
      <c r="C120" s="38" t="s">
        <v>630</v>
      </c>
      <c r="D120" s="5"/>
    </row>
    <row r="121" spans="1:4" ht="24.95" customHeight="1">
      <c r="A121" s="250">
        <v>1253</v>
      </c>
      <c r="B121" s="250">
        <v>105</v>
      </c>
      <c r="C121" s="38" t="s">
        <v>631</v>
      </c>
      <c r="D121" s="5"/>
    </row>
    <row r="122" spans="1:4" ht="24.95" customHeight="1">
      <c r="A122" s="250">
        <v>1253</v>
      </c>
      <c r="B122" s="250">
        <v>125</v>
      </c>
      <c r="C122" s="38" t="s">
        <v>632</v>
      </c>
      <c r="D122" s="5"/>
    </row>
    <row r="123" spans="1:4" ht="24.95" customHeight="1">
      <c r="A123" s="250">
        <v>1253</v>
      </c>
      <c r="B123" s="250">
        <v>96</v>
      </c>
      <c r="C123" s="38" t="s">
        <v>632</v>
      </c>
      <c r="D123" s="5"/>
    </row>
    <row r="124" spans="1:4" ht="24.95" customHeight="1">
      <c r="A124" s="250">
        <v>1253</v>
      </c>
      <c r="B124" s="250">
        <v>62</v>
      </c>
      <c r="C124" s="38" t="s">
        <v>628</v>
      </c>
      <c r="D124" s="5"/>
    </row>
    <row r="125" spans="1:4" ht="24.95" customHeight="1">
      <c r="A125" s="250">
        <v>1253</v>
      </c>
      <c r="B125" s="250">
        <v>61</v>
      </c>
      <c r="C125" s="38" t="s">
        <v>633</v>
      </c>
      <c r="D125" s="5"/>
    </row>
    <row r="126" spans="1:4" ht="24.95" customHeight="1">
      <c r="A126" s="250">
        <v>1253</v>
      </c>
      <c r="B126" s="250">
        <v>87</v>
      </c>
      <c r="C126" s="38" t="s">
        <v>555</v>
      </c>
      <c r="D126" s="5"/>
    </row>
    <row r="127" spans="1:4" ht="24.95" customHeight="1">
      <c r="A127" s="250">
        <v>1253</v>
      </c>
      <c r="B127" s="250">
        <v>65</v>
      </c>
      <c r="C127" s="38" t="s">
        <v>634</v>
      </c>
      <c r="D127" s="5"/>
    </row>
    <row r="128" spans="1:4" ht="24.95" customHeight="1">
      <c r="A128" s="250">
        <v>1253</v>
      </c>
      <c r="B128" s="250">
        <v>131</v>
      </c>
      <c r="C128" s="38" t="s">
        <v>635</v>
      </c>
      <c r="D128" s="5"/>
    </row>
    <row r="129" spans="1:4" ht="24.95" customHeight="1">
      <c r="A129" s="250">
        <v>1253</v>
      </c>
      <c r="B129" s="250">
        <v>15</v>
      </c>
      <c r="C129" s="38" t="s">
        <v>558</v>
      </c>
      <c r="D129" s="5"/>
    </row>
    <row r="130" spans="1:4" s="10" customFormat="1"/>
    <row r="131" spans="1:4">
      <c r="A131" s="10"/>
      <c r="B131" s="10"/>
      <c r="C131" s="10"/>
      <c r="D131" s="10"/>
    </row>
    <row r="132" spans="1:4">
      <c r="A132" s="10"/>
      <c r="B132" s="10"/>
      <c r="C132" s="10"/>
      <c r="D132" s="10"/>
    </row>
    <row r="133" spans="1:4">
      <c r="A133" s="10"/>
      <c r="B133" s="10"/>
      <c r="C133" s="10"/>
      <c r="D133" s="10"/>
    </row>
    <row r="134" spans="1:4">
      <c r="A134" s="10"/>
      <c r="B134" s="10"/>
      <c r="C134" s="10"/>
      <c r="D134" s="10"/>
    </row>
    <row r="135" spans="1:4">
      <c r="A135" s="10"/>
      <c r="B135" s="10"/>
      <c r="C135" s="10"/>
      <c r="D135" s="10"/>
    </row>
    <row r="136" spans="1:4">
      <c r="A136" s="10"/>
      <c r="B136" s="10"/>
      <c r="C136" s="10"/>
      <c r="D136" s="10"/>
    </row>
    <row r="137" spans="1:4">
      <c r="A137" s="10"/>
      <c r="B137" s="10"/>
      <c r="C137" s="10"/>
      <c r="D137" s="10"/>
    </row>
    <row r="138" spans="1:4">
      <c r="A138" s="10"/>
      <c r="B138" s="10"/>
      <c r="C138" s="10"/>
      <c r="D138" s="10"/>
    </row>
    <row r="139" spans="1:4">
      <c r="A139" s="10"/>
      <c r="B139" s="10"/>
      <c r="C139" s="10"/>
      <c r="D139" s="10"/>
    </row>
    <row r="140" spans="1:4">
      <c r="A140" s="10"/>
      <c r="B140" s="10"/>
      <c r="C140" s="10"/>
      <c r="D140" s="10"/>
    </row>
    <row r="141" spans="1:4">
      <c r="A141" s="10"/>
      <c r="B141" s="10"/>
      <c r="C141" s="10"/>
      <c r="D141" s="10"/>
    </row>
    <row r="142" spans="1:4">
      <c r="A142" s="10"/>
      <c r="B142" s="10"/>
      <c r="C142" s="10"/>
      <c r="D142" s="10"/>
    </row>
    <row r="143" spans="1:4">
      <c r="A143" s="10"/>
      <c r="B143" s="10"/>
      <c r="C143" s="10"/>
      <c r="D143" s="10"/>
    </row>
    <row r="144" spans="1:4">
      <c r="A144" s="10"/>
      <c r="B144" s="10"/>
      <c r="C144" s="10"/>
      <c r="D144" s="10"/>
    </row>
    <row r="145" spans="1:4">
      <c r="A145" s="10"/>
      <c r="B145" s="10"/>
      <c r="C145" s="10"/>
      <c r="D145" s="10"/>
    </row>
    <row r="146" spans="1:4">
      <c r="A146" s="10"/>
      <c r="B146" s="10"/>
      <c r="C146" s="10"/>
      <c r="D146" s="10"/>
    </row>
    <row r="147" spans="1:4">
      <c r="A147" s="10"/>
      <c r="B147" s="10"/>
      <c r="C147" s="10"/>
      <c r="D147" s="10"/>
    </row>
    <row r="148" spans="1:4">
      <c r="A148" s="10"/>
      <c r="B148" s="10"/>
      <c r="C148" s="10"/>
      <c r="D148" s="10"/>
    </row>
    <row r="149" spans="1:4">
      <c r="A149" s="10"/>
      <c r="B149" s="10"/>
      <c r="C149" s="10"/>
      <c r="D149" s="10"/>
    </row>
    <row r="150" spans="1:4">
      <c r="A150" s="10"/>
      <c r="B150" s="10"/>
      <c r="C150" s="10"/>
      <c r="D150" s="10"/>
    </row>
    <row r="151" spans="1:4" ht="20.100000000000001" customHeight="1">
      <c r="A151" s="487"/>
      <c r="B151" s="488"/>
      <c r="C151" s="510" t="s">
        <v>585</v>
      </c>
      <c r="D151" s="88"/>
    </row>
    <row r="152" spans="1:4" ht="20.100000000000001" customHeight="1">
      <c r="A152" s="90"/>
      <c r="B152" s="511" t="s">
        <v>586</v>
      </c>
      <c r="C152" s="509"/>
      <c r="D152" s="486"/>
    </row>
    <row r="153" spans="1:4" ht="20.100000000000001" customHeight="1">
      <c r="A153" s="608" t="s">
        <v>587</v>
      </c>
      <c r="B153" s="91"/>
      <c r="C153" s="91"/>
      <c r="D153" s="486"/>
    </row>
    <row r="154" spans="1:4" ht="20.100000000000001" customHeight="1">
      <c r="A154" s="608" t="s">
        <v>588</v>
      </c>
      <c r="B154" s="91"/>
      <c r="C154" s="91"/>
      <c r="D154" s="486"/>
    </row>
    <row r="155" spans="1:4" ht="20.100000000000001" customHeight="1">
      <c r="A155" s="577" t="s">
        <v>589</v>
      </c>
      <c r="B155" s="10"/>
      <c r="C155" s="10"/>
      <c r="D155" s="578"/>
    </row>
    <row r="156" spans="1:4" ht="20.100000000000001" customHeight="1">
      <c r="A156" s="608" t="s">
        <v>590</v>
      </c>
      <c r="B156" s="91"/>
      <c r="C156" s="91"/>
      <c r="D156" s="486"/>
    </row>
    <row r="157" spans="1:4" s="10" customFormat="1" ht="15" customHeight="1">
      <c r="A157" s="609"/>
      <c r="B157" s="579"/>
      <c r="C157" s="579"/>
      <c r="D157" s="580"/>
    </row>
    <row r="158" spans="1:4" ht="24.95" customHeight="1">
      <c r="A158" s="512" t="s">
        <v>591</v>
      </c>
      <c r="B158" s="512" t="s">
        <v>136</v>
      </c>
      <c r="C158" s="512" t="s">
        <v>592</v>
      </c>
      <c r="D158" s="512" t="s">
        <v>146</v>
      </c>
    </row>
    <row r="159" spans="1:4" ht="24.95" customHeight="1">
      <c r="A159" s="5">
        <v>1247</v>
      </c>
      <c r="B159" s="251">
        <v>33</v>
      </c>
      <c r="C159" s="249" t="s">
        <v>409</v>
      </c>
      <c r="D159" s="5"/>
    </row>
    <row r="160" spans="1:4" ht="24.95" customHeight="1">
      <c r="A160" s="5">
        <v>1247</v>
      </c>
      <c r="B160" s="250">
        <v>37</v>
      </c>
      <c r="C160" s="38" t="s">
        <v>410</v>
      </c>
      <c r="D160" s="5"/>
    </row>
    <row r="161" spans="1:4" ht="24.95" customHeight="1">
      <c r="A161" s="5">
        <v>1247</v>
      </c>
      <c r="B161" s="250">
        <v>23</v>
      </c>
      <c r="C161" s="38" t="s">
        <v>411</v>
      </c>
      <c r="D161" s="5"/>
    </row>
    <row r="162" spans="1:4" ht="24.95" customHeight="1">
      <c r="A162" s="5">
        <v>1247</v>
      </c>
      <c r="B162" s="250" t="s">
        <v>636</v>
      </c>
      <c r="C162" s="38" t="s">
        <v>637</v>
      </c>
      <c r="D162" s="5"/>
    </row>
    <row r="163" spans="1:4" ht="24.95" customHeight="1">
      <c r="A163" s="5">
        <v>1247</v>
      </c>
      <c r="B163" s="250" t="s">
        <v>638</v>
      </c>
      <c r="C163" s="38" t="s">
        <v>637</v>
      </c>
      <c r="D163" s="5"/>
    </row>
    <row r="164" spans="1:4" ht="24.95" customHeight="1">
      <c r="A164" s="5">
        <v>1247</v>
      </c>
      <c r="B164" s="250" t="s">
        <v>639</v>
      </c>
      <c r="C164" s="38" t="s">
        <v>637</v>
      </c>
      <c r="D164" s="5"/>
    </row>
    <row r="165" spans="1:4" ht="24.95" customHeight="1">
      <c r="A165" s="5">
        <v>1247</v>
      </c>
      <c r="B165" s="250">
        <v>38</v>
      </c>
      <c r="C165" s="38" t="s">
        <v>640</v>
      </c>
      <c r="D165" s="5"/>
    </row>
    <row r="166" spans="1:4" ht="24.95" customHeight="1">
      <c r="A166" s="5">
        <v>1247</v>
      </c>
      <c r="B166" s="250">
        <v>22</v>
      </c>
      <c r="C166" s="38" t="s">
        <v>412</v>
      </c>
      <c r="D166" s="5"/>
    </row>
    <row r="167" spans="1:4" ht="24.95" customHeight="1">
      <c r="A167" s="5">
        <v>1247</v>
      </c>
      <c r="B167" s="250">
        <v>32</v>
      </c>
      <c r="C167" s="38" t="s">
        <v>641</v>
      </c>
      <c r="D167" s="5"/>
    </row>
    <row r="168" spans="1:4" ht="24.95" customHeight="1">
      <c r="A168" s="5">
        <v>1247</v>
      </c>
      <c r="B168" s="250">
        <v>7</v>
      </c>
      <c r="C168" s="38" t="s">
        <v>642</v>
      </c>
      <c r="D168" s="5"/>
    </row>
    <row r="169" spans="1:4" ht="24.95" customHeight="1">
      <c r="A169" s="5">
        <v>1247</v>
      </c>
      <c r="B169" s="250">
        <v>15</v>
      </c>
      <c r="C169" s="38" t="s">
        <v>643</v>
      </c>
      <c r="D169" s="5"/>
    </row>
    <row r="170" spans="1:4" ht="24.95" customHeight="1">
      <c r="A170" s="5">
        <v>1247</v>
      </c>
      <c r="B170" s="250">
        <v>19</v>
      </c>
      <c r="C170" s="38" t="s">
        <v>416</v>
      </c>
      <c r="D170" s="5"/>
    </row>
    <row r="171" spans="1:4" ht="24.95" customHeight="1">
      <c r="A171" s="5">
        <v>1247</v>
      </c>
      <c r="B171" s="250">
        <v>16</v>
      </c>
      <c r="C171" s="38" t="s">
        <v>417</v>
      </c>
      <c r="D171" s="5"/>
    </row>
    <row r="172" spans="1:4" ht="24.95" customHeight="1">
      <c r="A172" s="5">
        <v>1247</v>
      </c>
      <c r="B172" s="250">
        <v>6</v>
      </c>
      <c r="C172" s="38" t="s">
        <v>418</v>
      </c>
      <c r="D172" s="5"/>
    </row>
    <row r="173" spans="1:4" ht="24.95" customHeight="1">
      <c r="A173" s="5">
        <v>1247</v>
      </c>
      <c r="B173" s="250">
        <v>51</v>
      </c>
      <c r="C173" s="38" t="s">
        <v>418</v>
      </c>
      <c r="D173" s="5"/>
    </row>
    <row r="174" spans="1:4" ht="24.95" customHeight="1">
      <c r="A174" s="5">
        <v>1247</v>
      </c>
      <c r="B174" s="250">
        <v>46</v>
      </c>
      <c r="C174" s="38" t="s">
        <v>420</v>
      </c>
      <c r="D174" s="5"/>
    </row>
    <row r="175" spans="1:4" ht="24.95" customHeight="1">
      <c r="A175" s="5">
        <v>1247</v>
      </c>
      <c r="B175" s="251">
        <v>47</v>
      </c>
      <c r="C175" s="249" t="s">
        <v>644</v>
      </c>
      <c r="D175" s="5"/>
    </row>
    <row r="176" spans="1:4" ht="24.95" customHeight="1">
      <c r="A176" s="5">
        <v>1247</v>
      </c>
      <c r="B176" s="251">
        <v>14</v>
      </c>
      <c r="C176" s="249" t="s">
        <v>645</v>
      </c>
      <c r="D176" s="5"/>
    </row>
    <row r="177" spans="1:4" ht="24.95" customHeight="1">
      <c r="A177" s="5">
        <v>1247</v>
      </c>
      <c r="B177" s="251">
        <v>31</v>
      </c>
      <c r="C177" s="249" t="s">
        <v>646</v>
      </c>
      <c r="D177" s="5"/>
    </row>
    <row r="178" spans="1:4" ht="24.95" customHeight="1">
      <c r="A178" s="5">
        <v>1247</v>
      </c>
      <c r="B178" s="251" t="s">
        <v>647</v>
      </c>
      <c r="C178" s="249" t="s">
        <v>424</v>
      </c>
      <c r="D178" s="5"/>
    </row>
    <row r="179" spans="1:4" ht="24.95" customHeight="1">
      <c r="A179" s="5">
        <v>1247</v>
      </c>
      <c r="B179" s="179">
        <v>27</v>
      </c>
      <c r="C179" s="38" t="s">
        <v>648</v>
      </c>
      <c r="D179" s="5"/>
    </row>
    <row r="180" spans="1:4" ht="24.95" customHeight="1">
      <c r="A180" s="5">
        <v>1247</v>
      </c>
      <c r="B180" s="250">
        <v>30</v>
      </c>
      <c r="C180" s="38" t="s">
        <v>649</v>
      </c>
      <c r="D180" s="5"/>
    </row>
    <row r="181" spans="1:4" ht="24.95" customHeight="1">
      <c r="A181" s="5">
        <v>1247</v>
      </c>
      <c r="B181" s="250">
        <v>24</v>
      </c>
      <c r="C181" s="38" t="s">
        <v>650</v>
      </c>
      <c r="D181" s="5"/>
    </row>
    <row r="182" spans="1:4" ht="24.95" customHeight="1">
      <c r="A182" s="5">
        <v>1247</v>
      </c>
      <c r="B182" s="251" t="s">
        <v>651</v>
      </c>
      <c r="C182" s="249" t="s">
        <v>429</v>
      </c>
      <c r="D182" s="5"/>
    </row>
    <row r="183" spans="1:4" ht="24.95" customHeight="1">
      <c r="A183" s="5">
        <v>1247</v>
      </c>
      <c r="B183" s="250">
        <v>1</v>
      </c>
      <c r="C183" s="38" t="s">
        <v>430</v>
      </c>
      <c r="D183" s="5"/>
    </row>
    <row r="184" spans="1:4" ht="24.95" customHeight="1">
      <c r="A184" s="5">
        <v>1247</v>
      </c>
      <c r="B184" s="250" t="s">
        <v>652</v>
      </c>
      <c r="C184" s="38" t="s">
        <v>431</v>
      </c>
      <c r="D184" s="5"/>
    </row>
    <row r="185" spans="1:4" ht="24.95" customHeight="1">
      <c r="A185" s="5">
        <v>1247</v>
      </c>
      <c r="B185" s="250">
        <v>50</v>
      </c>
      <c r="C185" s="38" t="s">
        <v>431</v>
      </c>
      <c r="D185" s="5"/>
    </row>
    <row r="186" spans="1:4" ht="24.95" customHeight="1">
      <c r="A186" s="5">
        <v>1247</v>
      </c>
      <c r="B186" s="250" t="s">
        <v>653</v>
      </c>
      <c r="C186" s="38" t="s">
        <v>433</v>
      </c>
      <c r="D186" s="5"/>
    </row>
    <row r="187" spans="1:4" ht="24.95" customHeight="1">
      <c r="A187" s="5">
        <v>1247</v>
      </c>
      <c r="B187" s="250">
        <v>39</v>
      </c>
      <c r="C187" s="38" t="s">
        <v>434</v>
      </c>
      <c r="D187" s="5"/>
    </row>
    <row r="188" spans="1:4" ht="24.95" customHeight="1">
      <c r="A188" s="5">
        <v>1247</v>
      </c>
      <c r="B188" s="179">
        <v>3</v>
      </c>
      <c r="C188" s="38" t="s">
        <v>435</v>
      </c>
      <c r="D188" s="5"/>
    </row>
    <row r="189" spans="1:4" s="10" customFormat="1" ht="24.95" customHeight="1">
      <c r="A189" s="5">
        <v>1247</v>
      </c>
      <c r="B189" s="6">
        <v>52</v>
      </c>
      <c r="C189" s="5" t="s">
        <v>645</v>
      </c>
      <c r="D189" s="5"/>
    </row>
    <row r="190" spans="1:4" ht="24.95" customHeight="1"/>
    <row r="191" spans="1:4" ht="24.95" customHeight="1"/>
    <row r="192" spans="1:4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spans="1:4" ht="24.95" customHeight="1"/>
    <row r="210" spans="1:4" ht="24.95" customHeight="1"/>
    <row r="211" spans="1:4" ht="24.95" customHeight="1"/>
    <row r="212" spans="1:4" ht="24.95" customHeight="1"/>
    <row r="213" spans="1:4" ht="24.95" customHeight="1"/>
    <row r="214" spans="1:4" ht="24.95" customHeight="1"/>
    <row r="215" spans="1:4" ht="24.95" customHeight="1"/>
    <row r="216" spans="1:4" ht="24.95" customHeight="1"/>
    <row r="217" spans="1:4" ht="24.95" customHeight="1"/>
    <row r="218" spans="1:4" ht="24.95" customHeight="1"/>
    <row r="219" spans="1:4" ht="24.95" customHeight="1">
      <c r="A219" s="487"/>
      <c r="B219" s="488"/>
      <c r="C219" s="510" t="s">
        <v>585</v>
      </c>
      <c r="D219" s="88"/>
    </row>
    <row r="220" spans="1:4" ht="24.95" customHeight="1">
      <c r="A220" s="90"/>
      <c r="B220" s="511" t="s">
        <v>586</v>
      </c>
      <c r="C220" s="509"/>
      <c r="D220" s="486"/>
    </row>
    <row r="221" spans="1:4" ht="24.95" customHeight="1">
      <c r="A221" s="608" t="s">
        <v>587</v>
      </c>
      <c r="B221" s="91"/>
      <c r="C221" s="91"/>
      <c r="D221" s="486"/>
    </row>
    <row r="222" spans="1:4" ht="24.95" customHeight="1">
      <c r="A222" s="608" t="s">
        <v>588</v>
      </c>
      <c r="B222" s="91"/>
      <c r="C222" s="91"/>
      <c r="D222" s="486"/>
    </row>
    <row r="223" spans="1:4" ht="24.95" customHeight="1">
      <c r="A223" s="577" t="s">
        <v>589</v>
      </c>
      <c r="B223" s="10"/>
      <c r="C223" s="10"/>
      <c r="D223" s="578"/>
    </row>
    <row r="224" spans="1:4" ht="24.95" customHeight="1">
      <c r="A224" s="608" t="s">
        <v>590</v>
      </c>
      <c r="B224" s="91"/>
      <c r="C224" s="91"/>
      <c r="D224" s="486"/>
    </row>
    <row r="225" spans="1:4" ht="15" customHeight="1">
      <c r="A225" s="609"/>
      <c r="B225" s="579"/>
      <c r="C225" s="579"/>
      <c r="D225" s="580"/>
    </row>
    <row r="226" spans="1:4" ht="24.95" customHeight="1">
      <c r="A226" s="512" t="s">
        <v>591</v>
      </c>
      <c r="B226" s="512" t="s">
        <v>136</v>
      </c>
      <c r="C226" s="512" t="s">
        <v>592</v>
      </c>
      <c r="D226" s="512" t="s">
        <v>146</v>
      </c>
    </row>
    <row r="227" spans="1:4" ht="24.95" customHeight="1">
      <c r="A227" s="5">
        <v>1250</v>
      </c>
      <c r="B227" s="179" t="s">
        <v>654</v>
      </c>
      <c r="C227" s="392" t="s">
        <v>444</v>
      </c>
      <c r="D227" s="5"/>
    </row>
    <row r="228" spans="1:4" ht="24.95" customHeight="1">
      <c r="A228" s="5">
        <v>1250</v>
      </c>
      <c r="B228" s="179">
        <v>2</v>
      </c>
      <c r="C228" s="392" t="s">
        <v>655</v>
      </c>
      <c r="D228" s="5"/>
    </row>
    <row r="229" spans="1:4" ht="24.95" customHeight="1">
      <c r="A229" s="5">
        <v>1250</v>
      </c>
      <c r="B229" s="179">
        <v>6</v>
      </c>
      <c r="C229" s="392" t="s">
        <v>446</v>
      </c>
      <c r="D229" s="5"/>
    </row>
    <row r="230" spans="1:4" ht="24.95" customHeight="1">
      <c r="A230" s="5">
        <v>1250</v>
      </c>
      <c r="B230" s="179">
        <v>7</v>
      </c>
      <c r="C230" s="392" t="s">
        <v>447</v>
      </c>
      <c r="D230" s="5"/>
    </row>
    <row r="231" spans="1:4" ht="24.95" customHeight="1">
      <c r="A231" s="5">
        <v>1250</v>
      </c>
      <c r="B231" s="179">
        <v>14</v>
      </c>
      <c r="C231" s="392" t="s">
        <v>656</v>
      </c>
      <c r="D231" s="5"/>
    </row>
    <row r="232" spans="1:4" ht="24.95" customHeight="1">
      <c r="A232" s="5">
        <v>1250</v>
      </c>
      <c r="B232" s="179">
        <v>24</v>
      </c>
      <c r="C232" s="392" t="s">
        <v>450</v>
      </c>
      <c r="D232" s="5"/>
    </row>
    <row r="233" spans="1:4" ht="24.95" customHeight="1">
      <c r="A233" s="5">
        <v>1250</v>
      </c>
      <c r="B233" s="179">
        <v>32</v>
      </c>
      <c r="C233" s="392" t="s">
        <v>657</v>
      </c>
      <c r="D233" s="5"/>
    </row>
    <row r="234" spans="1:4" ht="24.95" customHeight="1">
      <c r="A234" s="5">
        <v>1250</v>
      </c>
      <c r="B234" s="179">
        <v>26</v>
      </c>
      <c r="C234" s="392" t="s">
        <v>658</v>
      </c>
      <c r="D234" s="5"/>
    </row>
    <row r="235" spans="1:4" ht="24.95" customHeight="1">
      <c r="A235" s="5">
        <v>1250</v>
      </c>
      <c r="B235" s="179">
        <v>25</v>
      </c>
      <c r="C235" s="392" t="s">
        <v>455</v>
      </c>
      <c r="D235" s="5"/>
    </row>
    <row r="236" spans="1:4" ht="24.95" customHeight="1">
      <c r="A236" s="5">
        <v>1250</v>
      </c>
      <c r="B236" s="179">
        <v>13</v>
      </c>
      <c r="C236" s="392" t="s">
        <v>455</v>
      </c>
      <c r="D236" s="5"/>
    </row>
    <row r="237" spans="1:4" ht="24.95" customHeight="1">
      <c r="A237" s="5">
        <v>1250</v>
      </c>
      <c r="B237" s="179">
        <v>19</v>
      </c>
      <c r="C237" s="392" t="s">
        <v>457</v>
      </c>
      <c r="D237" s="5"/>
    </row>
    <row r="238" spans="1:4" ht="24.95" customHeight="1">
      <c r="A238" s="5">
        <v>1250</v>
      </c>
      <c r="B238" s="179">
        <v>1</v>
      </c>
      <c r="C238" s="392" t="s">
        <v>454</v>
      </c>
      <c r="D238" s="5"/>
    </row>
    <row r="239" spans="1:4" ht="24.95" customHeight="1">
      <c r="A239" s="5">
        <v>1250</v>
      </c>
      <c r="B239" s="179">
        <v>8</v>
      </c>
      <c r="C239" s="392" t="s">
        <v>453</v>
      </c>
      <c r="D239" s="5"/>
    </row>
    <row r="240" spans="1:4" ht="24.95" customHeight="1">
      <c r="A240" s="5">
        <v>1250</v>
      </c>
      <c r="B240" s="179" t="s">
        <v>659</v>
      </c>
      <c r="C240" s="392" t="s">
        <v>456</v>
      </c>
      <c r="D240" s="5"/>
    </row>
    <row r="241" spans="1:4" ht="24.95" customHeight="1">
      <c r="A241" s="5">
        <v>1250</v>
      </c>
      <c r="B241" s="179" t="s">
        <v>660</v>
      </c>
      <c r="C241" s="392" t="s">
        <v>456</v>
      </c>
      <c r="D241" s="5"/>
    </row>
    <row r="242" spans="1:4" ht="24.95" customHeight="1">
      <c r="A242" s="5">
        <v>1250</v>
      </c>
      <c r="B242" s="179">
        <v>12</v>
      </c>
      <c r="C242" s="392" t="s">
        <v>458</v>
      </c>
      <c r="D242" s="5"/>
    </row>
    <row r="243" spans="1:4" ht="24.95" customHeight="1">
      <c r="A243" s="5">
        <v>1250</v>
      </c>
      <c r="B243" s="179">
        <v>9</v>
      </c>
      <c r="C243" s="392" t="s">
        <v>459</v>
      </c>
      <c r="D243" s="5"/>
    </row>
    <row r="244" spans="1:4" ht="24.95" customHeight="1">
      <c r="A244" s="5">
        <v>1250</v>
      </c>
      <c r="B244" s="179">
        <v>18</v>
      </c>
      <c r="C244" s="392" t="s">
        <v>459</v>
      </c>
      <c r="D244" s="5"/>
    </row>
    <row r="245" spans="1:4" ht="24.95" customHeight="1">
      <c r="A245" s="5">
        <v>1250</v>
      </c>
      <c r="B245" s="179">
        <v>11</v>
      </c>
      <c r="C245" s="392" t="s">
        <v>461</v>
      </c>
      <c r="D245" s="5"/>
    </row>
    <row r="246" spans="1:4" ht="24.95" customHeight="1">
      <c r="A246" s="5">
        <v>1250</v>
      </c>
      <c r="B246" s="179">
        <v>34</v>
      </c>
      <c r="C246" s="392" t="s">
        <v>462</v>
      </c>
      <c r="D246" s="5"/>
    </row>
    <row r="247" spans="1:4" s="491" customFormat="1" ht="24.95" customHeight="1">
      <c r="A247" s="5">
        <v>1250</v>
      </c>
      <c r="B247" s="179">
        <v>33</v>
      </c>
      <c r="C247" s="392" t="s">
        <v>661</v>
      </c>
      <c r="D247" s="5"/>
    </row>
    <row r="248" spans="1:4" s="10" customFormat="1" ht="24.95" customHeight="1">
      <c r="B248" s="457"/>
      <c r="C248" s="459"/>
    </row>
    <row r="249" spans="1:4" s="10" customFormat="1" ht="24.95" customHeight="1">
      <c r="B249" s="457"/>
      <c r="C249" s="459"/>
    </row>
    <row r="250" spans="1:4" s="10" customFormat="1" ht="24.95" customHeight="1">
      <c r="B250" s="457"/>
      <c r="C250" s="459"/>
    </row>
    <row r="251" spans="1:4" s="10" customFormat="1" ht="24.95" customHeight="1">
      <c r="B251" s="457"/>
      <c r="C251" s="459"/>
    </row>
    <row r="252" spans="1:4" s="10" customFormat="1" ht="24.95" customHeight="1">
      <c r="A252" s="487"/>
      <c r="B252" s="488"/>
      <c r="C252" s="510" t="s">
        <v>585</v>
      </c>
      <c r="D252" s="88"/>
    </row>
    <row r="253" spans="1:4" s="10" customFormat="1" ht="24.95" customHeight="1">
      <c r="A253" s="90"/>
      <c r="B253" s="511" t="s">
        <v>586</v>
      </c>
      <c r="C253" s="509"/>
      <c r="D253" s="486"/>
    </row>
    <row r="254" spans="1:4" s="10" customFormat="1" ht="24.95" customHeight="1">
      <c r="A254" s="608" t="s">
        <v>587</v>
      </c>
      <c r="B254" s="91"/>
      <c r="C254" s="91"/>
      <c r="D254" s="486"/>
    </row>
    <row r="255" spans="1:4" s="10" customFormat="1" ht="24.95" customHeight="1">
      <c r="A255" s="608" t="s">
        <v>588</v>
      </c>
      <c r="B255" s="91"/>
      <c r="C255" s="91"/>
      <c r="D255" s="486"/>
    </row>
    <row r="256" spans="1:4" ht="24.95" customHeight="1">
      <c r="A256" s="577" t="s">
        <v>589</v>
      </c>
      <c r="B256" s="10"/>
      <c r="C256" s="10"/>
      <c r="D256" s="578"/>
    </row>
    <row r="257" spans="1:4" ht="24.95" customHeight="1">
      <c r="A257" s="608" t="s">
        <v>590</v>
      </c>
      <c r="B257" s="91"/>
      <c r="C257" s="91"/>
      <c r="D257" s="486"/>
    </row>
    <row r="258" spans="1:4" ht="15" customHeight="1">
      <c r="A258" s="609"/>
      <c r="B258" s="579"/>
      <c r="C258" s="579"/>
      <c r="D258" s="580"/>
    </row>
    <row r="259" spans="1:4" ht="24.95" customHeight="1">
      <c r="A259" s="512" t="s">
        <v>591</v>
      </c>
      <c r="B259" s="512" t="s">
        <v>136</v>
      </c>
      <c r="C259" s="512" t="s">
        <v>592</v>
      </c>
      <c r="D259" s="512" t="s">
        <v>146</v>
      </c>
    </row>
    <row r="260" spans="1:4" ht="24.95" customHeight="1">
      <c r="A260" s="250">
        <v>1251</v>
      </c>
      <c r="B260" s="179">
        <v>12</v>
      </c>
      <c r="C260" s="275" t="s">
        <v>283</v>
      </c>
      <c r="D260" s="5"/>
    </row>
    <row r="261" spans="1:4" ht="24.95" customHeight="1">
      <c r="A261" s="250">
        <v>1251</v>
      </c>
      <c r="B261" s="179">
        <v>13</v>
      </c>
      <c r="C261" s="275" t="s">
        <v>284</v>
      </c>
      <c r="D261" s="5"/>
    </row>
    <row r="262" spans="1:4" ht="24.95" customHeight="1">
      <c r="A262" s="250">
        <v>1251</v>
      </c>
      <c r="B262" s="179">
        <v>14</v>
      </c>
      <c r="C262" s="275" t="s">
        <v>283</v>
      </c>
      <c r="D262" s="5"/>
    </row>
    <row r="263" spans="1:4" ht="24.95" customHeight="1">
      <c r="A263" s="250">
        <v>1251</v>
      </c>
      <c r="B263" s="179">
        <v>8</v>
      </c>
      <c r="C263" s="275" t="s">
        <v>283</v>
      </c>
      <c r="D263" s="5"/>
    </row>
    <row r="264" spans="1:4" ht="24.95" customHeight="1">
      <c r="A264" s="250">
        <v>1251</v>
      </c>
      <c r="B264" s="179">
        <v>11</v>
      </c>
      <c r="C264" s="275" t="s">
        <v>285</v>
      </c>
      <c r="D264" s="5"/>
    </row>
    <row r="265" spans="1:4" ht="24.95" customHeight="1">
      <c r="A265" s="250">
        <v>1251</v>
      </c>
      <c r="B265" s="179">
        <v>10</v>
      </c>
      <c r="C265" s="275" t="s">
        <v>288</v>
      </c>
      <c r="D265" s="5"/>
    </row>
    <row r="266" spans="1:4" ht="24.95" customHeight="1">
      <c r="A266" s="250">
        <v>1251</v>
      </c>
      <c r="B266" s="179">
        <v>16</v>
      </c>
      <c r="C266" s="275" t="s">
        <v>210</v>
      </c>
      <c r="D266" s="5"/>
    </row>
    <row r="267" spans="1:4" ht="24.95" customHeight="1">
      <c r="A267" s="250">
        <v>1251</v>
      </c>
      <c r="B267" s="179">
        <v>9</v>
      </c>
      <c r="C267" s="275" t="s">
        <v>290</v>
      </c>
      <c r="D267" s="5"/>
    </row>
    <row r="268" spans="1:4" ht="24.95" customHeight="1">
      <c r="A268" s="250">
        <v>1251</v>
      </c>
      <c r="B268" s="179">
        <v>3</v>
      </c>
      <c r="C268" s="275" t="s">
        <v>662</v>
      </c>
      <c r="D268" s="5"/>
    </row>
    <row r="269" spans="1:4" ht="24.95" customHeight="1">
      <c r="A269" s="250">
        <v>1251</v>
      </c>
      <c r="B269" s="179">
        <v>6</v>
      </c>
      <c r="C269" s="275" t="s">
        <v>289</v>
      </c>
      <c r="D269" s="5"/>
    </row>
    <row r="270" spans="1:4" ht="24.95" customHeight="1">
      <c r="A270" s="250">
        <v>1251</v>
      </c>
      <c r="B270" s="179">
        <v>15</v>
      </c>
      <c r="C270" s="275" t="s">
        <v>291</v>
      </c>
      <c r="D270" s="5"/>
    </row>
    <row r="271" spans="1:4" s="10" customFormat="1" ht="24.95" customHeight="1">
      <c r="A271" s="492">
        <v>1251</v>
      </c>
      <c r="B271" s="6">
        <v>17</v>
      </c>
      <c r="C271" s="5" t="s">
        <v>663</v>
      </c>
      <c r="D271" s="5"/>
    </row>
    <row r="272" spans="1:4" s="10" customFormat="1" ht="24.95" customHeight="1"/>
    <row r="273" spans="1:4" s="10" customFormat="1" ht="24.95" customHeight="1">
      <c r="A273" s="460"/>
      <c r="B273" s="460"/>
      <c r="C273" s="460"/>
      <c r="D273" s="460"/>
    </row>
    <row r="274" spans="1:4" s="10" customFormat="1" ht="24.95" customHeight="1">
      <c r="A274" s="460"/>
      <c r="B274" s="460"/>
      <c r="C274" s="460"/>
      <c r="D274" s="460"/>
    </row>
    <row r="275" spans="1:4" s="10" customFormat="1" ht="24.95" customHeight="1">
      <c r="A275" s="460"/>
      <c r="B275" s="460"/>
      <c r="C275" s="460"/>
      <c r="D275" s="460"/>
    </row>
    <row r="276" spans="1:4" s="10" customFormat="1" ht="24.95" customHeight="1">
      <c r="A276" s="460"/>
      <c r="B276" s="460"/>
      <c r="C276" s="460"/>
      <c r="D276" s="460"/>
    </row>
    <row r="277" spans="1:4" s="10" customFormat="1" ht="24.95" customHeight="1">
      <c r="A277" s="460"/>
      <c r="B277" s="460"/>
      <c r="C277" s="460"/>
      <c r="D277" s="460"/>
    </row>
    <row r="278" spans="1:4" s="10" customFormat="1" ht="24.95" customHeight="1">
      <c r="A278" s="460"/>
      <c r="B278" s="460"/>
      <c r="C278" s="460"/>
      <c r="D278" s="460"/>
    </row>
    <row r="279" spans="1:4" s="10" customFormat="1" ht="24.95" customHeight="1">
      <c r="A279" s="460"/>
      <c r="B279" s="460"/>
      <c r="C279" s="460"/>
      <c r="D279" s="460"/>
    </row>
    <row r="280" spans="1:4" s="10" customFormat="1" ht="24.95" customHeight="1">
      <c r="A280" s="460"/>
      <c r="B280" s="460"/>
      <c r="C280" s="460"/>
      <c r="D280" s="460"/>
    </row>
    <row r="281" spans="1:4" s="10" customFormat="1" ht="24.95" customHeight="1">
      <c r="A281" s="460"/>
      <c r="B281" s="460"/>
      <c r="C281" s="460"/>
      <c r="D281" s="460"/>
    </row>
    <row r="282" spans="1:4" s="10" customFormat="1" ht="24.95" customHeight="1">
      <c r="A282" s="460"/>
      <c r="B282" s="460"/>
      <c r="C282" s="460"/>
      <c r="D282" s="460"/>
    </row>
    <row r="283" spans="1:4" s="10" customFormat="1" ht="24.95" customHeight="1">
      <c r="A283" s="460"/>
      <c r="B283" s="460"/>
      <c r="C283" s="460"/>
      <c r="D283" s="460"/>
    </row>
    <row r="284" spans="1:4" s="10" customFormat="1" ht="24.95" customHeight="1">
      <c r="A284" s="460"/>
      <c r="B284" s="460"/>
      <c r="C284" s="460"/>
      <c r="D284" s="460"/>
    </row>
    <row r="285" spans="1:4" s="10" customFormat="1" ht="24.95" customHeight="1">
      <c r="A285" s="487"/>
      <c r="B285" s="488"/>
      <c r="C285" s="510" t="s">
        <v>585</v>
      </c>
      <c r="D285" s="88"/>
    </row>
    <row r="286" spans="1:4" s="10" customFormat="1" ht="24.95" customHeight="1">
      <c r="A286" s="90"/>
      <c r="B286" s="511" t="s">
        <v>586</v>
      </c>
      <c r="C286" s="509"/>
      <c r="D286" s="486"/>
    </row>
    <row r="287" spans="1:4" s="10" customFormat="1" ht="24.95" customHeight="1">
      <c r="A287" s="608" t="s">
        <v>587</v>
      </c>
      <c r="B287" s="91"/>
      <c r="C287" s="91"/>
      <c r="D287" s="486"/>
    </row>
    <row r="288" spans="1:4" s="10" customFormat="1" ht="24.95" customHeight="1">
      <c r="A288" s="608" t="s">
        <v>588</v>
      </c>
      <c r="B288" s="91"/>
      <c r="C288" s="91"/>
      <c r="D288" s="486"/>
    </row>
    <row r="289" spans="1:4" ht="24.95" customHeight="1">
      <c r="A289" s="577" t="s">
        <v>589</v>
      </c>
      <c r="B289" s="10"/>
      <c r="C289" s="10"/>
      <c r="D289" s="578"/>
    </row>
    <row r="290" spans="1:4" ht="24.95" customHeight="1">
      <c r="A290" s="608" t="s">
        <v>590</v>
      </c>
      <c r="B290" s="91"/>
      <c r="C290" s="91"/>
      <c r="D290" s="486"/>
    </row>
    <row r="291" spans="1:4" ht="15" customHeight="1">
      <c r="A291" s="609"/>
      <c r="B291" s="579"/>
      <c r="C291" s="579"/>
      <c r="D291" s="580"/>
    </row>
    <row r="292" spans="1:4" s="447" customFormat="1" ht="24.95" customHeight="1">
      <c r="A292" s="512" t="s">
        <v>591</v>
      </c>
      <c r="B292" s="512" t="s">
        <v>136</v>
      </c>
      <c r="C292" s="512" t="s">
        <v>592</v>
      </c>
      <c r="D292" s="512" t="s">
        <v>146</v>
      </c>
    </row>
    <row r="293" spans="1:4" ht="24.95" customHeight="1">
      <c r="A293" s="112">
        <v>1246</v>
      </c>
      <c r="B293" s="260" t="s">
        <v>664</v>
      </c>
      <c r="C293" s="334" t="s">
        <v>390</v>
      </c>
      <c r="D293" s="47"/>
    </row>
    <row r="294" spans="1:4" ht="24.95" customHeight="1">
      <c r="A294" s="6">
        <v>1246</v>
      </c>
      <c r="B294" s="250" t="s">
        <v>665</v>
      </c>
      <c r="C294" s="335" t="s">
        <v>391</v>
      </c>
      <c r="D294" s="5"/>
    </row>
    <row r="295" spans="1:4" ht="24.95" customHeight="1">
      <c r="A295" s="6">
        <v>1246</v>
      </c>
      <c r="B295" s="250">
        <v>18</v>
      </c>
      <c r="C295" s="335" t="s">
        <v>392</v>
      </c>
      <c r="D295" s="5"/>
    </row>
    <row r="296" spans="1:4" ht="24.95" customHeight="1">
      <c r="A296" s="6">
        <v>1246</v>
      </c>
      <c r="B296" s="250">
        <v>36</v>
      </c>
      <c r="C296" s="335" t="s">
        <v>666</v>
      </c>
      <c r="D296" s="5"/>
    </row>
    <row r="297" spans="1:4" ht="24.95" customHeight="1">
      <c r="A297" s="6">
        <v>1246</v>
      </c>
      <c r="B297" s="250">
        <v>41</v>
      </c>
      <c r="C297" s="335" t="s">
        <v>393</v>
      </c>
      <c r="D297" s="5"/>
    </row>
    <row r="298" spans="1:4" ht="24.95" customHeight="1">
      <c r="A298" s="6">
        <v>1246</v>
      </c>
      <c r="B298" s="250">
        <v>40</v>
      </c>
      <c r="C298" s="335" t="s">
        <v>394</v>
      </c>
      <c r="D298" s="5"/>
    </row>
    <row r="299" spans="1:4" ht="24.95" customHeight="1">
      <c r="A299" s="6">
        <v>1246</v>
      </c>
      <c r="B299" s="250">
        <v>38</v>
      </c>
      <c r="C299" s="335" t="s">
        <v>395</v>
      </c>
      <c r="D299" s="5"/>
    </row>
    <row r="300" spans="1:4" ht="24.95" customHeight="1">
      <c r="A300" s="6">
        <v>1246</v>
      </c>
      <c r="B300" s="250" t="s">
        <v>667</v>
      </c>
      <c r="C300" s="335" t="s">
        <v>396</v>
      </c>
      <c r="D300" s="5"/>
    </row>
    <row r="301" spans="1:4" ht="24.95" customHeight="1">
      <c r="A301" s="6">
        <v>1246</v>
      </c>
      <c r="B301" s="250">
        <v>22</v>
      </c>
      <c r="C301" s="335" t="s">
        <v>397</v>
      </c>
      <c r="D301" s="5"/>
    </row>
    <row r="302" spans="1:4" ht="24.95" customHeight="1">
      <c r="A302" s="6">
        <v>1246</v>
      </c>
      <c r="B302" s="250" t="s">
        <v>668</v>
      </c>
      <c r="C302" s="335" t="s">
        <v>398</v>
      </c>
      <c r="D302" s="5"/>
    </row>
    <row r="303" spans="1:4" ht="24.95" customHeight="1">
      <c r="A303" s="6">
        <v>1246</v>
      </c>
      <c r="B303" s="250">
        <v>23</v>
      </c>
      <c r="C303" s="335" t="s">
        <v>399</v>
      </c>
      <c r="D303" s="5"/>
    </row>
    <row r="304" spans="1:4" ht="24.95" customHeight="1">
      <c r="A304" s="6">
        <v>1246</v>
      </c>
      <c r="B304" s="250">
        <v>26</v>
      </c>
      <c r="C304" s="335" t="s">
        <v>400</v>
      </c>
      <c r="D304" s="5"/>
    </row>
    <row r="305" spans="1:4" ht="24.95" customHeight="1">
      <c r="A305" s="139">
        <v>1246</v>
      </c>
      <c r="B305" s="493">
        <v>37</v>
      </c>
      <c r="C305" s="494" t="s">
        <v>401</v>
      </c>
      <c r="D305" s="83"/>
    </row>
    <row r="306" spans="1:4" s="447" customFormat="1" ht="24.95" customHeight="1">
      <c r="A306" s="131">
        <v>1246</v>
      </c>
      <c r="B306" s="179">
        <v>1</v>
      </c>
      <c r="C306" s="392" t="s">
        <v>402</v>
      </c>
      <c r="D306" s="5"/>
    </row>
    <row r="307" spans="1:4" ht="24.95" customHeight="1">
      <c r="A307" s="10"/>
      <c r="B307" s="451"/>
      <c r="C307" s="452"/>
      <c r="D307" s="10"/>
    </row>
    <row r="308" spans="1:4" ht="24.95" customHeight="1">
      <c r="A308" s="10"/>
      <c r="B308" s="451"/>
      <c r="C308" s="452"/>
      <c r="D308" s="10"/>
    </row>
    <row r="309" spans="1:4" ht="24.95" customHeight="1">
      <c r="A309" s="10"/>
      <c r="B309" s="451"/>
      <c r="C309" s="452"/>
      <c r="D309" s="10"/>
    </row>
    <row r="310" spans="1:4" ht="24.95" customHeight="1">
      <c r="A310" s="10"/>
      <c r="B310" s="451"/>
      <c r="C310" s="452"/>
      <c r="D310" s="10"/>
    </row>
    <row r="311" spans="1:4" ht="24.95" customHeight="1">
      <c r="A311" s="10"/>
      <c r="B311" s="451"/>
      <c r="C311" s="452"/>
      <c r="D311" s="10"/>
    </row>
    <row r="312" spans="1:4" ht="24.95" customHeight="1">
      <c r="A312" s="10"/>
      <c r="B312" s="451"/>
      <c r="C312" s="452"/>
      <c r="D312" s="10"/>
    </row>
    <row r="313" spans="1:4" ht="24.95" customHeight="1">
      <c r="A313" s="10"/>
      <c r="B313" s="451"/>
      <c r="C313" s="452"/>
      <c r="D313" s="10"/>
    </row>
    <row r="314" spans="1:4" ht="24.95" customHeight="1">
      <c r="A314" s="10"/>
      <c r="B314" s="451"/>
      <c r="C314" s="452"/>
      <c r="D314" s="10"/>
    </row>
    <row r="315" spans="1:4" ht="24.95" customHeight="1">
      <c r="A315" s="10"/>
      <c r="B315" s="451"/>
      <c r="C315" s="452"/>
      <c r="D315" s="10"/>
    </row>
    <row r="316" spans="1:4" ht="24.95" customHeight="1">
      <c r="A316" s="10"/>
      <c r="B316" s="451"/>
      <c r="C316" s="452"/>
      <c r="D316" s="10"/>
    </row>
    <row r="317" spans="1:4" ht="24.95" customHeight="1">
      <c r="A317" s="10"/>
      <c r="B317" s="451"/>
      <c r="C317" s="452"/>
      <c r="D317" s="10"/>
    </row>
    <row r="318" spans="1:4" ht="24.95" customHeight="1">
      <c r="A318" s="487"/>
      <c r="B318" s="488"/>
      <c r="C318" s="510" t="s">
        <v>585</v>
      </c>
      <c r="D318" s="88"/>
    </row>
    <row r="319" spans="1:4" ht="24.95" customHeight="1">
      <c r="A319" s="90"/>
      <c r="B319" s="511" t="s">
        <v>586</v>
      </c>
      <c r="C319" s="509"/>
      <c r="D319" s="486"/>
    </row>
    <row r="320" spans="1:4" ht="24.95" customHeight="1">
      <c r="A320" s="608" t="s">
        <v>587</v>
      </c>
      <c r="B320" s="91"/>
      <c r="C320" s="91"/>
      <c r="D320" s="486"/>
    </row>
    <row r="321" spans="1:4" ht="24.95" customHeight="1">
      <c r="A321" s="608" t="s">
        <v>588</v>
      </c>
      <c r="B321" s="91"/>
      <c r="C321" s="91"/>
      <c r="D321" s="486"/>
    </row>
    <row r="322" spans="1:4" ht="24.95" customHeight="1">
      <c r="A322" s="577" t="s">
        <v>589</v>
      </c>
      <c r="B322" s="10"/>
      <c r="C322" s="10"/>
      <c r="D322" s="578"/>
    </row>
    <row r="323" spans="1:4" ht="24.95" customHeight="1">
      <c r="A323" s="608" t="s">
        <v>590</v>
      </c>
      <c r="B323" s="91"/>
      <c r="C323" s="91"/>
      <c r="D323" s="486"/>
    </row>
    <row r="324" spans="1:4" ht="15" customHeight="1">
      <c r="A324" s="609"/>
      <c r="B324" s="579"/>
      <c r="C324" s="579"/>
      <c r="D324" s="580"/>
    </row>
    <row r="325" spans="1:4" ht="24.95" customHeight="1">
      <c r="A325" s="512" t="s">
        <v>591</v>
      </c>
      <c r="B325" s="512" t="s">
        <v>136</v>
      </c>
      <c r="C325" s="512" t="s">
        <v>592</v>
      </c>
      <c r="D325" s="512" t="s">
        <v>146</v>
      </c>
    </row>
    <row r="326" spans="1:4" ht="24.95" customHeight="1">
      <c r="A326" s="131">
        <v>1242</v>
      </c>
      <c r="B326" s="179">
        <v>126</v>
      </c>
      <c r="C326" s="392" t="s">
        <v>156</v>
      </c>
      <c r="D326" s="5"/>
    </row>
    <row r="327" spans="1:4" ht="24.95" customHeight="1">
      <c r="A327" s="131">
        <v>1242</v>
      </c>
      <c r="B327" s="179">
        <v>114</v>
      </c>
      <c r="C327" s="392" t="s">
        <v>300</v>
      </c>
      <c r="D327" s="5"/>
    </row>
    <row r="328" spans="1:4" ht="24.95" customHeight="1">
      <c r="A328" s="131">
        <v>1242</v>
      </c>
      <c r="B328" s="179">
        <v>104</v>
      </c>
      <c r="C328" s="392" t="s">
        <v>301</v>
      </c>
      <c r="D328" s="5"/>
    </row>
    <row r="329" spans="1:4" ht="24.95" customHeight="1">
      <c r="A329" s="131">
        <v>1242</v>
      </c>
      <c r="B329" s="179">
        <v>103</v>
      </c>
      <c r="C329" s="392" t="s">
        <v>301</v>
      </c>
      <c r="D329" s="5"/>
    </row>
    <row r="330" spans="1:4" ht="24.95" customHeight="1">
      <c r="A330" s="131">
        <v>1242</v>
      </c>
      <c r="B330" s="179" t="s">
        <v>669</v>
      </c>
      <c r="C330" s="392" t="s">
        <v>164</v>
      </c>
      <c r="D330" s="5"/>
    </row>
    <row r="331" spans="1:4" ht="24.95" customHeight="1">
      <c r="A331" s="131">
        <v>1242</v>
      </c>
      <c r="B331" s="179">
        <v>116</v>
      </c>
      <c r="C331" s="392" t="s">
        <v>302</v>
      </c>
      <c r="D331" s="5"/>
    </row>
    <row r="332" spans="1:4" ht="24.95" customHeight="1">
      <c r="A332" s="131">
        <v>1242</v>
      </c>
      <c r="B332" s="179">
        <v>119</v>
      </c>
      <c r="C332" s="392" t="s">
        <v>670</v>
      </c>
      <c r="D332" s="5"/>
    </row>
    <row r="333" spans="1:4" ht="24.95" customHeight="1">
      <c r="A333" s="131">
        <v>1242</v>
      </c>
      <c r="B333" s="179">
        <v>29</v>
      </c>
      <c r="C333" s="392" t="s">
        <v>303</v>
      </c>
      <c r="D333" s="5"/>
    </row>
    <row r="334" spans="1:4" ht="24.95" customHeight="1">
      <c r="A334" s="131">
        <v>1242</v>
      </c>
      <c r="B334" s="179">
        <v>97</v>
      </c>
      <c r="C334" s="392" t="s">
        <v>671</v>
      </c>
      <c r="D334" s="5"/>
    </row>
    <row r="335" spans="1:4" s="491" customFormat="1" ht="24.95" customHeight="1">
      <c r="A335" s="131">
        <v>1242</v>
      </c>
      <c r="B335" s="179">
        <v>99</v>
      </c>
      <c r="C335" s="392" t="s">
        <v>304</v>
      </c>
      <c r="D335" s="5"/>
    </row>
    <row r="336" spans="1:4" s="10" customFormat="1" ht="24.95" customHeight="1">
      <c r="A336" s="13"/>
      <c r="B336" s="13"/>
    </row>
    <row r="337" spans="1:4" s="10" customFormat="1" ht="24.95" customHeight="1">
      <c r="A337" s="13"/>
      <c r="B337" s="13"/>
    </row>
    <row r="338" spans="1:4" s="10" customFormat="1" ht="24.95" customHeight="1">
      <c r="A338" s="13"/>
      <c r="B338" s="13"/>
    </row>
    <row r="339" spans="1:4" s="10" customFormat="1" ht="24.95" customHeight="1">
      <c r="A339" s="13"/>
      <c r="B339" s="13"/>
    </row>
    <row r="340" spans="1:4" s="10" customFormat="1" ht="24.95" customHeight="1">
      <c r="A340" s="495"/>
      <c r="B340" s="495"/>
      <c r="C340" s="456"/>
    </row>
    <row r="341" spans="1:4" s="10" customFormat="1" ht="24.95" customHeight="1">
      <c r="A341" s="495"/>
      <c r="B341" s="495"/>
      <c r="C341" s="456"/>
    </row>
    <row r="342" spans="1:4" s="10" customFormat="1" ht="24.95" customHeight="1"/>
    <row r="343" spans="1:4" s="10" customFormat="1" ht="24.95" customHeight="1"/>
    <row r="344" spans="1:4" s="10" customFormat="1" ht="24.95" customHeight="1"/>
    <row r="345" spans="1:4" s="10" customFormat="1" ht="24.95" customHeight="1"/>
    <row r="346" spans="1:4" s="10" customFormat="1" ht="24.95" customHeight="1"/>
    <row r="347" spans="1:4" s="10" customFormat="1" ht="24.95" customHeight="1"/>
    <row r="348" spans="1:4" s="10" customFormat="1" ht="24.95" customHeight="1"/>
    <row r="349" spans="1:4" s="10" customFormat="1" ht="24.95" customHeight="1"/>
    <row r="350" spans="1:4" s="10" customFormat="1" ht="24.95" customHeight="1"/>
    <row r="351" spans="1:4" s="10" customFormat="1" ht="24.95" customHeight="1">
      <c r="A351" s="487"/>
      <c r="B351" s="488"/>
      <c r="C351" s="510" t="s">
        <v>585</v>
      </c>
      <c r="D351" s="88"/>
    </row>
    <row r="352" spans="1:4" s="10" customFormat="1" ht="24.95" customHeight="1">
      <c r="A352" s="90"/>
      <c r="B352" s="511" t="s">
        <v>586</v>
      </c>
      <c r="C352" s="509"/>
      <c r="D352" s="486"/>
    </row>
    <row r="353" spans="1:4" s="10" customFormat="1" ht="24.95" customHeight="1">
      <c r="A353" s="608" t="s">
        <v>587</v>
      </c>
      <c r="B353" s="91"/>
      <c r="C353" s="91"/>
      <c r="D353" s="486"/>
    </row>
    <row r="354" spans="1:4" ht="24.95" customHeight="1">
      <c r="A354" s="608" t="s">
        <v>588</v>
      </c>
      <c r="B354" s="91"/>
      <c r="C354" s="91"/>
      <c r="D354" s="486"/>
    </row>
    <row r="355" spans="1:4" ht="24.95" customHeight="1">
      <c r="A355" s="577" t="s">
        <v>589</v>
      </c>
      <c r="B355" s="10"/>
      <c r="C355" s="10"/>
      <c r="D355" s="578"/>
    </row>
    <row r="356" spans="1:4" ht="24.95" customHeight="1">
      <c r="A356" s="608" t="s">
        <v>590</v>
      </c>
      <c r="B356" s="91"/>
      <c r="C356" s="91"/>
      <c r="D356" s="486"/>
    </row>
    <row r="357" spans="1:4" ht="15" customHeight="1">
      <c r="A357" s="609"/>
      <c r="B357" s="579"/>
      <c r="C357" s="579"/>
      <c r="D357" s="580"/>
    </row>
    <row r="358" spans="1:4" ht="24.95" customHeight="1">
      <c r="A358" s="512" t="s">
        <v>591</v>
      </c>
      <c r="B358" s="512" t="s">
        <v>136</v>
      </c>
      <c r="C358" s="512" t="s">
        <v>592</v>
      </c>
      <c r="D358" s="512" t="s">
        <v>146</v>
      </c>
    </row>
    <row r="359" spans="1:4" ht="24.95" customHeight="1">
      <c r="A359" s="71">
        <v>1316</v>
      </c>
      <c r="B359" s="179">
        <v>1</v>
      </c>
      <c r="C359" s="236" t="s">
        <v>672</v>
      </c>
      <c r="D359" s="5"/>
    </row>
    <row r="360" spans="1:4" ht="24.95" customHeight="1">
      <c r="A360" s="71">
        <v>1316</v>
      </c>
      <c r="B360" s="179">
        <v>2</v>
      </c>
      <c r="C360" s="236" t="s">
        <v>573</v>
      </c>
      <c r="D360" s="5"/>
    </row>
    <row r="361" spans="1:4" ht="24.95" customHeight="1">
      <c r="A361" s="71">
        <v>1316</v>
      </c>
      <c r="B361" s="179">
        <v>4</v>
      </c>
      <c r="C361" s="236" t="s">
        <v>673</v>
      </c>
      <c r="D361" s="5"/>
    </row>
    <row r="362" spans="1:4" ht="24.95" customHeight="1">
      <c r="A362" s="71">
        <v>1316</v>
      </c>
      <c r="B362" s="179">
        <v>3</v>
      </c>
      <c r="C362" s="236" t="s">
        <v>575</v>
      </c>
      <c r="D362" s="5"/>
    </row>
    <row r="363" spans="1:4" ht="24.95" customHeight="1">
      <c r="A363" s="71">
        <v>1316</v>
      </c>
      <c r="B363" s="179">
        <v>5</v>
      </c>
      <c r="C363" s="236" t="s">
        <v>576</v>
      </c>
      <c r="D363" s="5"/>
    </row>
    <row r="364" spans="1:4" ht="24.95" customHeight="1"/>
    <row r="365" spans="1:4" ht="24.95" customHeight="1"/>
    <row r="366" spans="1:4" ht="24.95" customHeight="1"/>
    <row r="367" spans="1:4" ht="24.95" customHeight="1"/>
    <row r="368" spans="1:4" ht="24.95" customHeight="1"/>
    <row r="369" spans="1:4" ht="24.95" customHeight="1"/>
    <row r="370" spans="1:4" ht="24.95" customHeight="1"/>
    <row r="371" spans="1:4" ht="24.95" customHeight="1"/>
    <row r="372" spans="1:4" ht="24.95" customHeight="1"/>
    <row r="373" spans="1:4" ht="24.95" customHeight="1"/>
    <row r="374" spans="1:4" ht="24.95" customHeight="1"/>
    <row r="375" spans="1:4" ht="24.95" customHeight="1"/>
    <row r="376" spans="1:4" ht="24.95" customHeight="1"/>
    <row r="377" spans="1:4" ht="24.95" customHeight="1"/>
    <row r="378" spans="1:4" ht="24.95" customHeight="1"/>
    <row r="379" spans="1:4" ht="24.95" customHeight="1"/>
    <row r="380" spans="1:4" ht="24.95" customHeight="1"/>
    <row r="381" spans="1:4" ht="24.95" customHeight="1"/>
    <row r="382" spans="1:4" ht="24.95" customHeight="1"/>
    <row r="383" spans="1:4" ht="24.95" customHeight="1"/>
    <row r="384" spans="1:4" ht="24.95" customHeight="1">
      <c r="A384" s="487"/>
      <c r="B384" s="488"/>
      <c r="C384" s="510" t="s">
        <v>585</v>
      </c>
      <c r="D384" s="88"/>
    </row>
    <row r="385" spans="1:4" ht="24.95" customHeight="1">
      <c r="A385" s="90"/>
      <c r="B385" s="511" t="s">
        <v>586</v>
      </c>
      <c r="C385" s="509"/>
      <c r="D385" s="486"/>
    </row>
    <row r="386" spans="1:4" ht="24.95" customHeight="1">
      <c r="A386" s="608" t="s">
        <v>587</v>
      </c>
      <c r="B386" s="91"/>
      <c r="C386" s="91"/>
      <c r="D386" s="486"/>
    </row>
    <row r="387" spans="1:4" ht="24.95" customHeight="1">
      <c r="A387" s="608" t="s">
        <v>588</v>
      </c>
      <c r="B387" s="91"/>
      <c r="C387" s="91"/>
      <c r="D387" s="486"/>
    </row>
    <row r="388" spans="1:4" ht="24.95" customHeight="1">
      <c r="A388" s="577" t="s">
        <v>589</v>
      </c>
      <c r="B388" s="10"/>
      <c r="C388" s="10"/>
      <c r="D388" s="578"/>
    </row>
    <row r="389" spans="1:4" ht="24.95" customHeight="1">
      <c r="A389" s="608" t="s">
        <v>590</v>
      </c>
      <c r="B389" s="91"/>
      <c r="C389" s="91"/>
      <c r="D389" s="486"/>
    </row>
    <row r="390" spans="1:4" ht="15" customHeight="1">
      <c r="A390" s="609"/>
      <c r="B390" s="579"/>
      <c r="C390" s="579"/>
      <c r="D390" s="580"/>
    </row>
    <row r="391" spans="1:4" ht="24.95" customHeight="1">
      <c r="A391" s="512" t="s">
        <v>591</v>
      </c>
      <c r="B391" s="512" t="s">
        <v>136</v>
      </c>
      <c r="C391" s="512" t="s">
        <v>592</v>
      </c>
      <c r="D391" s="512" t="s">
        <v>146</v>
      </c>
    </row>
    <row r="392" spans="1:4" ht="24.95" customHeight="1">
      <c r="A392" s="6">
        <v>1249</v>
      </c>
      <c r="B392" s="250">
        <v>22</v>
      </c>
      <c r="C392" s="335" t="s">
        <v>258</v>
      </c>
      <c r="D392" s="5"/>
    </row>
    <row r="393" spans="1:4" ht="24.95" customHeight="1">
      <c r="A393" s="355">
        <v>1249</v>
      </c>
      <c r="B393" s="356">
        <v>23</v>
      </c>
      <c r="C393" s="357" t="s">
        <v>260</v>
      </c>
      <c r="D393" s="5"/>
    </row>
    <row r="394" spans="1:4" ht="24.95" customHeight="1">
      <c r="A394" s="355">
        <v>1249</v>
      </c>
      <c r="B394" s="360">
        <v>5</v>
      </c>
      <c r="C394" s="362" t="s">
        <v>262</v>
      </c>
      <c r="D394" s="5"/>
    </row>
    <row r="395" spans="1:4" ht="24.95" customHeight="1">
      <c r="A395" s="355">
        <v>1249</v>
      </c>
      <c r="B395" s="356">
        <v>20</v>
      </c>
      <c r="C395" s="357" t="s">
        <v>263</v>
      </c>
      <c r="D395" s="5"/>
    </row>
    <row r="396" spans="1:4" ht="24.95" customHeight="1">
      <c r="A396" s="355">
        <v>1249</v>
      </c>
      <c r="B396" s="356">
        <v>18</v>
      </c>
      <c r="C396" s="357" t="s">
        <v>264</v>
      </c>
      <c r="D396" s="5"/>
    </row>
    <row r="397" spans="1:4" ht="24.95" customHeight="1">
      <c r="A397" s="355">
        <v>1249</v>
      </c>
      <c r="B397" s="356">
        <v>16</v>
      </c>
      <c r="C397" s="362" t="s">
        <v>234</v>
      </c>
      <c r="D397" s="5"/>
    </row>
    <row r="398" spans="1:4" ht="24.95" customHeight="1">
      <c r="A398" s="355">
        <v>1249</v>
      </c>
      <c r="B398" s="356">
        <v>19</v>
      </c>
      <c r="C398" s="357" t="s">
        <v>674</v>
      </c>
      <c r="D398" s="5"/>
    </row>
    <row r="399" spans="1:4" ht="24.95" customHeight="1">
      <c r="A399" s="355">
        <v>1249</v>
      </c>
      <c r="B399" s="360" t="s">
        <v>675</v>
      </c>
      <c r="C399" s="362" t="s">
        <v>234</v>
      </c>
      <c r="D399" s="5"/>
    </row>
    <row r="400" spans="1:4" ht="24.95" customHeight="1">
      <c r="A400" s="355">
        <v>1249</v>
      </c>
      <c r="B400" s="363">
        <v>17</v>
      </c>
      <c r="C400" s="362" t="s">
        <v>265</v>
      </c>
      <c r="D400" s="5"/>
    </row>
    <row r="401" spans="1:4" ht="24.95" customHeight="1">
      <c r="A401" s="355">
        <v>1249</v>
      </c>
      <c r="B401" s="360">
        <v>21</v>
      </c>
      <c r="C401" s="362" t="s">
        <v>266</v>
      </c>
      <c r="D401" s="5"/>
    </row>
    <row r="402" spans="1:4" ht="24.95" customHeight="1">
      <c r="A402" s="355">
        <v>1249</v>
      </c>
      <c r="B402" s="363">
        <v>24</v>
      </c>
      <c r="C402" s="362" t="s">
        <v>234</v>
      </c>
      <c r="D402" s="5"/>
    </row>
    <row r="403" spans="1:4" ht="24.95" customHeight="1">
      <c r="A403" s="355">
        <v>1249</v>
      </c>
      <c r="B403" s="360">
        <v>25</v>
      </c>
      <c r="C403" s="362" t="s">
        <v>234</v>
      </c>
      <c r="D403" s="5"/>
    </row>
    <row r="404" spans="1:4" ht="24.95" customHeight="1">
      <c r="A404" s="355">
        <v>1249</v>
      </c>
      <c r="B404" s="360" t="s">
        <v>676</v>
      </c>
      <c r="C404" s="362" t="s">
        <v>677</v>
      </c>
      <c r="D404" s="5"/>
    </row>
    <row r="405" spans="1:4" ht="24.95" customHeight="1">
      <c r="A405" s="355">
        <v>1249</v>
      </c>
      <c r="B405" s="356">
        <v>70</v>
      </c>
      <c r="C405" s="357" t="s">
        <v>268</v>
      </c>
      <c r="D405" s="5"/>
    </row>
    <row r="406" spans="1:4" ht="24.95" customHeight="1">
      <c r="A406" s="355">
        <v>1249</v>
      </c>
      <c r="B406" s="356" t="s">
        <v>678</v>
      </c>
      <c r="C406" s="357" t="s">
        <v>679</v>
      </c>
      <c r="D406" s="5"/>
    </row>
    <row r="407" spans="1:4" ht="24.95" customHeight="1">
      <c r="A407" s="355">
        <v>1249</v>
      </c>
      <c r="B407" s="356" t="s">
        <v>680</v>
      </c>
      <c r="C407" s="357" t="s">
        <v>270</v>
      </c>
      <c r="D407" s="5"/>
    </row>
    <row r="408" spans="1:4" ht="24.95" customHeight="1">
      <c r="A408" s="355">
        <v>1249</v>
      </c>
      <c r="B408" s="356">
        <v>26</v>
      </c>
      <c r="C408" s="357" t="s">
        <v>270</v>
      </c>
      <c r="D408" s="5"/>
    </row>
    <row r="409" spans="1:4" ht="24.95" customHeight="1">
      <c r="A409" s="355">
        <v>1249</v>
      </c>
      <c r="B409" s="356" t="s">
        <v>681</v>
      </c>
      <c r="C409" s="357" t="s">
        <v>270</v>
      </c>
      <c r="D409" s="5"/>
    </row>
    <row r="410" spans="1:4" ht="24.95" customHeight="1">
      <c r="A410" s="355">
        <v>1249</v>
      </c>
      <c r="B410" s="356">
        <v>51</v>
      </c>
      <c r="C410" s="357" t="s">
        <v>270</v>
      </c>
      <c r="D410" s="5"/>
    </row>
    <row r="411" spans="1:4" ht="24.95" customHeight="1">
      <c r="A411" s="355">
        <v>1249</v>
      </c>
      <c r="B411" s="356" t="s">
        <v>682</v>
      </c>
      <c r="C411" s="357" t="s">
        <v>271</v>
      </c>
      <c r="D411" s="5"/>
    </row>
    <row r="412" spans="1:4" ht="24.95" customHeight="1">
      <c r="A412" s="355">
        <v>1249</v>
      </c>
      <c r="B412" s="356" t="s">
        <v>683</v>
      </c>
      <c r="C412" s="357" t="s">
        <v>271</v>
      </c>
      <c r="D412" s="5"/>
    </row>
    <row r="413" spans="1:4" ht="24.95" customHeight="1">
      <c r="A413" s="355">
        <v>1249</v>
      </c>
      <c r="B413" s="356" t="s">
        <v>684</v>
      </c>
      <c r="C413" s="357" t="s">
        <v>271</v>
      </c>
      <c r="D413" s="5"/>
    </row>
    <row r="414" spans="1:4" ht="24.95" customHeight="1">
      <c r="A414" s="355">
        <v>1249</v>
      </c>
      <c r="B414" s="356" t="s">
        <v>685</v>
      </c>
      <c r="C414" s="357" t="s">
        <v>272</v>
      </c>
      <c r="D414" s="5"/>
    </row>
    <row r="415" spans="1:4" ht="24.95" customHeight="1">
      <c r="A415" s="355">
        <v>1249</v>
      </c>
      <c r="B415" s="356" t="s">
        <v>686</v>
      </c>
      <c r="C415" s="357" t="s">
        <v>272</v>
      </c>
      <c r="D415" s="5"/>
    </row>
    <row r="416" spans="1:4" ht="24.95" customHeight="1">
      <c r="A416" s="355">
        <v>1249</v>
      </c>
      <c r="B416" s="356" t="s">
        <v>687</v>
      </c>
      <c r="C416" s="357" t="s">
        <v>272</v>
      </c>
      <c r="D416" s="5"/>
    </row>
    <row r="417" spans="1:4" ht="24.95" customHeight="1">
      <c r="A417" s="355">
        <v>1249</v>
      </c>
      <c r="B417" s="356" t="s">
        <v>688</v>
      </c>
      <c r="C417" s="357" t="s">
        <v>272</v>
      </c>
      <c r="D417" s="5"/>
    </row>
    <row r="418" spans="1:4" ht="24.95" customHeight="1">
      <c r="A418" s="355">
        <v>1249</v>
      </c>
      <c r="B418" s="356" t="s">
        <v>689</v>
      </c>
      <c r="C418" s="357" t="s">
        <v>272</v>
      </c>
      <c r="D418" s="5"/>
    </row>
    <row r="419" spans="1:4" ht="24.95" customHeight="1">
      <c r="A419" s="355">
        <v>1249</v>
      </c>
      <c r="B419" s="356" t="s">
        <v>690</v>
      </c>
      <c r="C419" s="357" t="s">
        <v>272</v>
      </c>
      <c r="D419" s="5"/>
    </row>
    <row r="420" spans="1:4" ht="24.95" customHeight="1">
      <c r="A420" s="355">
        <v>1249</v>
      </c>
      <c r="B420" s="356" t="s">
        <v>691</v>
      </c>
      <c r="C420" s="357" t="s">
        <v>272</v>
      </c>
      <c r="D420" s="5"/>
    </row>
    <row r="421" spans="1:4" ht="24.95" customHeight="1">
      <c r="A421" s="355">
        <v>1249</v>
      </c>
      <c r="B421" s="356" t="s">
        <v>692</v>
      </c>
      <c r="C421" s="357" t="s">
        <v>272</v>
      </c>
      <c r="D421" s="5"/>
    </row>
    <row r="422" spans="1:4" ht="24.95" customHeight="1">
      <c r="A422" s="355">
        <v>1249</v>
      </c>
      <c r="B422" s="356" t="s">
        <v>693</v>
      </c>
      <c r="C422" s="357" t="s">
        <v>272</v>
      </c>
      <c r="D422" s="5"/>
    </row>
    <row r="423" spans="1:4" ht="24.95" customHeight="1">
      <c r="A423" s="355">
        <v>1249</v>
      </c>
      <c r="B423" s="356" t="s">
        <v>694</v>
      </c>
      <c r="C423" s="357" t="s">
        <v>273</v>
      </c>
      <c r="D423" s="5"/>
    </row>
    <row r="424" spans="1:4" ht="24.95" customHeight="1"/>
    <row r="425" spans="1:4" ht="24.95" customHeight="1"/>
    <row r="426" spans="1:4" ht="24.95" customHeight="1"/>
    <row r="427" spans="1:4" ht="24.95" customHeight="1"/>
    <row r="428" spans="1:4" ht="24.95" customHeight="1"/>
    <row r="429" spans="1:4" ht="24.95" customHeight="1"/>
    <row r="430" spans="1:4" ht="24.95" customHeight="1"/>
    <row r="431" spans="1:4" ht="24.95" customHeight="1"/>
    <row r="432" spans="1:4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spans="1:4" ht="24.95" customHeight="1"/>
    <row r="450" spans="1:4" ht="24.95" customHeight="1">
      <c r="A450" s="487"/>
      <c r="B450" s="488"/>
      <c r="C450" s="510" t="s">
        <v>585</v>
      </c>
      <c r="D450" s="88"/>
    </row>
    <row r="451" spans="1:4" ht="24.95" customHeight="1">
      <c r="A451" s="90"/>
      <c r="B451" s="511" t="s">
        <v>586</v>
      </c>
      <c r="C451" s="509"/>
      <c r="D451" s="486"/>
    </row>
    <row r="452" spans="1:4" ht="24.95" customHeight="1">
      <c r="A452" s="608" t="s">
        <v>587</v>
      </c>
      <c r="B452" s="91"/>
      <c r="C452" s="91"/>
      <c r="D452" s="486"/>
    </row>
    <row r="453" spans="1:4" ht="24.95" customHeight="1">
      <c r="A453" s="608" t="s">
        <v>588</v>
      </c>
      <c r="B453" s="91"/>
      <c r="C453" s="91"/>
      <c r="D453" s="486"/>
    </row>
    <row r="454" spans="1:4" ht="24.95" customHeight="1">
      <c r="A454" s="577" t="s">
        <v>589</v>
      </c>
      <c r="B454" s="10"/>
      <c r="C454" s="10"/>
      <c r="D454" s="578"/>
    </row>
    <row r="455" spans="1:4" ht="24.95" customHeight="1">
      <c r="A455" s="608" t="s">
        <v>590</v>
      </c>
      <c r="B455" s="91"/>
      <c r="C455" s="91"/>
      <c r="D455" s="486"/>
    </row>
    <row r="456" spans="1:4" ht="15" customHeight="1">
      <c r="A456" s="609"/>
      <c r="B456" s="579"/>
      <c r="C456" s="579"/>
      <c r="D456" s="580"/>
    </row>
    <row r="457" spans="1:4" ht="24.95" customHeight="1">
      <c r="A457" s="512" t="s">
        <v>591</v>
      </c>
      <c r="B457" s="512" t="s">
        <v>136</v>
      </c>
      <c r="C457" s="512" t="s">
        <v>592</v>
      </c>
      <c r="D457" s="512" t="s">
        <v>146</v>
      </c>
    </row>
    <row r="458" spans="1:4" ht="24.95" customHeight="1">
      <c r="A458" s="5">
        <v>1245</v>
      </c>
      <c r="B458" s="250">
        <v>14</v>
      </c>
      <c r="C458" s="335" t="s">
        <v>356</v>
      </c>
      <c r="D458" s="5"/>
    </row>
    <row r="459" spans="1:4" ht="24.95" customHeight="1">
      <c r="A459" s="5">
        <v>1245</v>
      </c>
      <c r="B459" s="250">
        <v>10</v>
      </c>
      <c r="C459" s="335" t="s">
        <v>695</v>
      </c>
      <c r="D459" s="5"/>
    </row>
    <row r="460" spans="1:4" ht="24.95" customHeight="1">
      <c r="A460" s="5">
        <v>1245</v>
      </c>
      <c r="B460" s="179">
        <v>13</v>
      </c>
      <c r="C460" s="335" t="s">
        <v>358</v>
      </c>
      <c r="D460" s="5"/>
    </row>
    <row r="461" spans="1:4" ht="24.95" customHeight="1">
      <c r="A461" s="5">
        <v>1245</v>
      </c>
      <c r="B461" s="179">
        <v>38</v>
      </c>
      <c r="C461" s="335" t="s">
        <v>358</v>
      </c>
      <c r="D461" s="5"/>
    </row>
    <row r="462" spans="1:4" ht="24.95" customHeight="1">
      <c r="A462" s="5">
        <v>1245</v>
      </c>
      <c r="B462" s="179">
        <v>11</v>
      </c>
      <c r="C462" s="335" t="s">
        <v>358</v>
      </c>
      <c r="D462" s="5"/>
    </row>
    <row r="463" spans="1:4" ht="24.95" customHeight="1">
      <c r="A463" s="5">
        <v>1245</v>
      </c>
      <c r="B463" s="250">
        <v>9</v>
      </c>
      <c r="C463" s="335" t="s">
        <v>359</v>
      </c>
      <c r="D463" s="5"/>
    </row>
    <row r="464" spans="1:4" ht="24.95" customHeight="1">
      <c r="A464" s="5">
        <v>1245</v>
      </c>
      <c r="B464" s="251">
        <v>51</v>
      </c>
      <c r="C464" s="335" t="s">
        <v>361</v>
      </c>
      <c r="D464" s="5"/>
    </row>
    <row r="465" spans="1:4" ht="24.95" customHeight="1">
      <c r="A465" s="5">
        <v>1245</v>
      </c>
      <c r="B465" s="250">
        <v>52</v>
      </c>
      <c r="C465" s="335" t="s">
        <v>361</v>
      </c>
      <c r="D465" s="5"/>
    </row>
    <row r="466" spans="1:4" ht="24.95" customHeight="1">
      <c r="A466" s="5">
        <v>1245</v>
      </c>
      <c r="B466" s="250">
        <v>53</v>
      </c>
      <c r="C466" s="335" t="s">
        <v>361</v>
      </c>
      <c r="D466" s="5"/>
    </row>
    <row r="467" spans="1:4" ht="24.95" customHeight="1">
      <c r="A467" s="5">
        <v>1245</v>
      </c>
      <c r="B467" s="250">
        <v>25</v>
      </c>
      <c r="C467" s="336" t="s">
        <v>360</v>
      </c>
      <c r="D467" s="5"/>
    </row>
    <row r="468" spans="1:4" ht="24.95" customHeight="1">
      <c r="A468" s="5">
        <v>1245</v>
      </c>
      <c r="B468" s="250">
        <v>2</v>
      </c>
      <c r="C468" s="335" t="s">
        <v>361</v>
      </c>
      <c r="D468" s="5"/>
    </row>
    <row r="469" spans="1:4" ht="24.95" customHeight="1">
      <c r="A469" s="5">
        <v>1245</v>
      </c>
      <c r="B469" s="179">
        <v>39</v>
      </c>
      <c r="C469" s="335" t="s">
        <v>696</v>
      </c>
      <c r="D469" s="5"/>
    </row>
    <row r="470" spans="1:4" ht="24.95" customHeight="1">
      <c r="A470" s="5">
        <v>1245</v>
      </c>
      <c r="B470" s="250">
        <v>15</v>
      </c>
      <c r="C470" s="335" t="s">
        <v>363</v>
      </c>
      <c r="D470" s="5"/>
    </row>
    <row r="471" spans="1:4" ht="24.95" customHeight="1">
      <c r="A471" s="5">
        <v>1245</v>
      </c>
      <c r="B471" s="250">
        <v>30</v>
      </c>
      <c r="C471" s="335" t="s">
        <v>363</v>
      </c>
      <c r="D471" s="5"/>
    </row>
    <row r="472" spans="1:4" ht="24.95" customHeight="1">
      <c r="A472" s="5">
        <v>1245</v>
      </c>
      <c r="B472" s="250">
        <v>36</v>
      </c>
      <c r="C472" s="392" t="s">
        <v>697</v>
      </c>
      <c r="D472" s="5"/>
    </row>
    <row r="473" spans="1:4" ht="24.95" customHeight="1">
      <c r="A473" s="5">
        <v>1245</v>
      </c>
      <c r="B473" s="250">
        <v>3</v>
      </c>
      <c r="C473" s="335" t="s">
        <v>697</v>
      </c>
      <c r="D473" s="5"/>
    </row>
    <row r="474" spans="1:4" ht="24.95" customHeight="1">
      <c r="A474" s="5">
        <v>1245</v>
      </c>
      <c r="B474" s="250">
        <v>42</v>
      </c>
      <c r="C474" s="335" t="s">
        <v>366</v>
      </c>
      <c r="D474" s="5"/>
    </row>
    <row r="475" spans="1:4" ht="24.95" customHeight="1">
      <c r="A475" s="5">
        <v>1245</v>
      </c>
      <c r="B475" s="179">
        <v>26</v>
      </c>
      <c r="C475" s="335" t="s">
        <v>368</v>
      </c>
      <c r="D475" s="5"/>
    </row>
    <row r="476" spans="1:4" ht="24.95" customHeight="1">
      <c r="A476" s="5">
        <v>1245</v>
      </c>
      <c r="B476" s="179">
        <v>19</v>
      </c>
      <c r="C476" s="335" t="s">
        <v>698</v>
      </c>
      <c r="D476" s="5"/>
    </row>
    <row r="477" spans="1:4" ht="24.95" customHeight="1">
      <c r="A477" s="5">
        <v>1245</v>
      </c>
      <c r="B477" s="250">
        <v>31</v>
      </c>
      <c r="C477" s="335" t="s">
        <v>699</v>
      </c>
      <c r="D477" s="5"/>
    </row>
    <row r="478" spans="1:4" ht="24.95" customHeight="1">
      <c r="A478" s="5">
        <v>1245</v>
      </c>
      <c r="B478" s="250">
        <v>48</v>
      </c>
      <c r="C478" s="335" t="s">
        <v>370</v>
      </c>
      <c r="D478" s="5"/>
    </row>
    <row r="479" spans="1:4" ht="24.95" customHeight="1">
      <c r="A479" s="5">
        <v>1245</v>
      </c>
      <c r="B479" s="250">
        <v>33</v>
      </c>
      <c r="C479" s="335" t="s">
        <v>700</v>
      </c>
      <c r="D479" s="5"/>
    </row>
    <row r="480" spans="1:4" ht="24.95" customHeight="1">
      <c r="A480" s="5">
        <v>1245</v>
      </c>
      <c r="B480" s="250">
        <v>32</v>
      </c>
      <c r="C480" s="335" t="s">
        <v>701</v>
      </c>
      <c r="D480" s="5"/>
    </row>
    <row r="481" spans="1:4" ht="24.95" customHeight="1">
      <c r="A481" s="5">
        <v>1245</v>
      </c>
      <c r="B481" s="250">
        <v>35</v>
      </c>
      <c r="C481" s="335" t="s">
        <v>702</v>
      </c>
      <c r="D481" s="5"/>
    </row>
    <row r="482" spans="1:4" ht="24.95" customHeight="1">
      <c r="A482" s="5">
        <v>1245</v>
      </c>
      <c r="B482" s="250">
        <v>34</v>
      </c>
      <c r="C482" s="335" t="s">
        <v>703</v>
      </c>
      <c r="D482" s="5"/>
    </row>
    <row r="483" spans="1:4" ht="24.95" customHeight="1">
      <c r="A483" s="5">
        <v>1245</v>
      </c>
      <c r="B483" s="250">
        <v>16</v>
      </c>
      <c r="C483" s="335" t="s">
        <v>373</v>
      </c>
      <c r="D483" s="5"/>
    </row>
    <row r="484" spans="1:4" ht="24.95" customHeight="1">
      <c r="A484" s="5">
        <v>1245</v>
      </c>
      <c r="B484" s="179">
        <v>22</v>
      </c>
      <c r="C484" s="335" t="s">
        <v>704</v>
      </c>
      <c r="D484" s="5"/>
    </row>
    <row r="485" spans="1:4" ht="24.95" customHeight="1">
      <c r="A485" s="5">
        <v>1245</v>
      </c>
      <c r="B485" s="250">
        <v>28</v>
      </c>
      <c r="C485" s="335" t="s">
        <v>376</v>
      </c>
      <c r="D485" s="5"/>
    </row>
    <row r="486" spans="1:4" ht="24.95" customHeight="1">
      <c r="A486" s="5">
        <v>1245</v>
      </c>
      <c r="B486" s="250">
        <v>41</v>
      </c>
      <c r="C486" s="335" t="s">
        <v>367</v>
      </c>
      <c r="D486" s="5"/>
    </row>
    <row r="487" spans="1:4" ht="24.95" customHeight="1">
      <c r="A487" s="5">
        <v>1245</v>
      </c>
      <c r="B487" s="250">
        <v>40</v>
      </c>
      <c r="C487" s="335" t="s">
        <v>367</v>
      </c>
      <c r="D487" s="5"/>
    </row>
    <row r="488" spans="1:4" ht="24.95" customHeight="1">
      <c r="A488" s="5">
        <v>1245</v>
      </c>
      <c r="B488" s="250" t="s">
        <v>705</v>
      </c>
      <c r="C488" s="392" t="s">
        <v>377</v>
      </c>
      <c r="D488" s="5"/>
    </row>
    <row r="489" spans="1:4" ht="24.95" customHeight="1">
      <c r="A489" s="5">
        <v>1245</v>
      </c>
      <c r="B489" s="250">
        <v>29</v>
      </c>
      <c r="C489" s="335" t="s">
        <v>370</v>
      </c>
      <c r="D489" s="5"/>
    </row>
    <row r="490" spans="1:4" ht="24.95" customHeight="1">
      <c r="A490" s="5">
        <v>1245</v>
      </c>
      <c r="B490" s="250">
        <v>45</v>
      </c>
      <c r="C490" s="335" t="s">
        <v>370</v>
      </c>
      <c r="D490" s="5"/>
    </row>
    <row r="491" spans="1:4" ht="24.95" customHeight="1">
      <c r="A491" s="5">
        <v>1245</v>
      </c>
      <c r="B491" s="250">
        <v>44</v>
      </c>
      <c r="C491" s="335" t="s">
        <v>378</v>
      </c>
      <c r="D491" s="5"/>
    </row>
    <row r="492" spans="1:4" ht="24.95" customHeight="1">
      <c r="A492" s="5">
        <v>1245</v>
      </c>
      <c r="B492" s="250">
        <v>43</v>
      </c>
      <c r="C492" s="335" t="s">
        <v>378</v>
      </c>
      <c r="D492" s="5"/>
    </row>
    <row r="493" spans="1:4" ht="24.95" customHeight="1">
      <c r="A493" s="402">
        <v>1245</v>
      </c>
      <c r="B493" s="496">
        <v>72</v>
      </c>
      <c r="C493" s="497" t="s">
        <v>706</v>
      </c>
      <c r="D493" s="402"/>
    </row>
    <row r="494" spans="1:4" ht="24.95" customHeight="1">
      <c r="A494" s="460"/>
      <c r="B494" s="460"/>
      <c r="C494" s="460"/>
      <c r="D494" s="460"/>
    </row>
    <row r="495" spans="1:4" ht="24.95" customHeight="1">
      <c r="A495" s="460"/>
      <c r="B495" s="460"/>
      <c r="C495" s="460"/>
      <c r="D495" s="460"/>
    </row>
    <row r="496" spans="1:4" ht="24.95" customHeight="1">
      <c r="A496" s="460"/>
      <c r="B496" s="460"/>
      <c r="C496" s="460"/>
      <c r="D496" s="460"/>
    </row>
    <row r="497" spans="1:4" ht="24.95" customHeight="1">
      <c r="A497" s="460"/>
      <c r="B497" s="460"/>
      <c r="C497" s="460"/>
      <c r="D497" s="460"/>
    </row>
    <row r="498" spans="1:4" ht="24.95" customHeight="1">
      <c r="A498" s="460"/>
      <c r="B498" s="460"/>
      <c r="C498" s="460"/>
      <c r="D498" s="460"/>
    </row>
    <row r="499" spans="1:4" ht="24.95" customHeight="1">
      <c r="A499" s="460"/>
      <c r="B499" s="460"/>
      <c r="C499" s="460"/>
      <c r="D499" s="460"/>
    </row>
    <row r="500" spans="1:4" ht="24.95" customHeight="1">
      <c r="A500" s="460"/>
      <c r="B500" s="460"/>
      <c r="C500" s="460"/>
      <c r="D500" s="460"/>
    </row>
    <row r="501" spans="1:4" s="10" customFormat="1" ht="24.95" customHeight="1">
      <c r="A501" s="460"/>
      <c r="B501" s="460"/>
      <c r="C501" s="460"/>
      <c r="D501" s="460"/>
    </row>
    <row r="502" spans="1:4" s="10" customFormat="1" ht="24.95" customHeight="1">
      <c r="A502" s="460"/>
      <c r="B502" s="460"/>
      <c r="C502" s="460"/>
      <c r="D502" s="460"/>
    </row>
    <row r="503" spans="1:4" s="10" customFormat="1" ht="24.95" customHeight="1">
      <c r="A503" s="460"/>
      <c r="B503" s="460"/>
      <c r="C503" s="460"/>
      <c r="D503" s="460"/>
    </row>
    <row r="504" spans="1:4" s="10" customFormat="1" ht="24.95" customHeight="1">
      <c r="A504" s="460"/>
      <c r="B504" s="460"/>
      <c r="C504" s="460"/>
      <c r="D504" s="460"/>
    </row>
    <row r="505" spans="1:4" s="10" customFormat="1" ht="24.95" customHeight="1">
      <c r="A505" s="460"/>
      <c r="B505" s="460"/>
      <c r="C505" s="460"/>
      <c r="D505" s="460"/>
    </row>
    <row r="506" spans="1:4" s="10" customFormat="1" ht="24.95" customHeight="1">
      <c r="A506" s="460"/>
      <c r="B506" s="460"/>
      <c r="C506" s="460"/>
      <c r="D506" s="460"/>
    </row>
    <row r="507" spans="1:4" s="10" customFormat="1" ht="24.95" customHeight="1">
      <c r="A507" s="460"/>
      <c r="B507" s="460"/>
      <c r="C507" s="460"/>
      <c r="D507" s="460"/>
    </row>
    <row r="508" spans="1:4" s="10" customFormat="1" ht="24.95" customHeight="1">
      <c r="A508" s="460"/>
      <c r="B508" s="460"/>
      <c r="C508" s="460"/>
      <c r="D508" s="460"/>
    </row>
    <row r="509" spans="1:4" s="10" customFormat="1" ht="24.95" customHeight="1">
      <c r="A509" s="460"/>
      <c r="B509" s="460"/>
      <c r="C509" s="460"/>
      <c r="D509" s="460"/>
    </row>
    <row r="510" spans="1:4" s="10" customFormat="1" ht="24.95" customHeight="1">
      <c r="A510" s="460"/>
      <c r="B510" s="460"/>
      <c r="C510" s="460"/>
      <c r="D510" s="460"/>
    </row>
    <row r="511" spans="1:4" s="10" customFormat="1" ht="24.95" customHeight="1">
      <c r="A511" s="460"/>
      <c r="B511" s="460"/>
      <c r="C511" s="460"/>
      <c r="D511" s="460"/>
    </row>
    <row r="512" spans="1:4" s="10" customFormat="1" ht="24.95" customHeight="1">
      <c r="A512" s="460"/>
      <c r="B512" s="460"/>
      <c r="C512" s="460"/>
      <c r="D512" s="460"/>
    </row>
    <row r="513" spans="1:4" s="10" customFormat="1" ht="24.95" customHeight="1">
      <c r="A513" s="460"/>
      <c r="B513" s="460"/>
      <c r="C513" s="460"/>
      <c r="D513" s="460"/>
    </row>
    <row r="514" spans="1:4" s="10" customFormat="1" ht="24.95" customHeight="1">
      <c r="A514" s="460"/>
      <c r="B514" s="460"/>
      <c r="C514" s="460"/>
      <c r="D514" s="460"/>
    </row>
    <row r="515" spans="1:4" s="10" customFormat="1" ht="24.95" customHeight="1">
      <c r="A515" s="460"/>
      <c r="B515" s="460"/>
      <c r="C515" s="460"/>
      <c r="D515" s="460"/>
    </row>
    <row r="516" spans="1:4" s="10" customFormat="1" ht="24.95" customHeight="1">
      <c r="A516" s="487"/>
      <c r="B516" s="488"/>
      <c r="C516" s="510" t="s">
        <v>585</v>
      </c>
      <c r="D516" s="88"/>
    </row>
    <row r="517" spans="1:4" ht="24.95" customHeight="1">
      <c r="A517" s="90"/>
      <c r="B517" s="511" t="s">
        <v>586</v>
      </c>
      <c r="C517" s="509"/>
      <c r="D517" s="486"/>
    </row>
    <row r="518" spans="1:4" ht="24.95" customHeight="1">
      <c r="A518" s="608" t="s">
        <v>587</v>
      </c>
      <c r="B518" s="91"/>
      <c r="C518" s="91"/>
      <c r="D518" s="486"/>
    </row>
    <row r="519" spans="1:4" ht="24.95" customHeight="1">
      <c r="A519" s="608" t="s">
        <v>588</v>
      </c>
      <c r="B519" s="91"/>
      <c r="C519" s="91"/>
      <c r="D519" s="486"/>
    </row>
    <row r="520" spans="1:4" ht="24.95" customHeight="1">
      <c r="A520" s="577" t="s">
        <v>589</v>
      </c>
      <c r="B520" s="10"/>
      <c r="C520" s="10"/>
      <c r="D520" s="578"/>
    </row>
    <row r="521" spans="1:4" ht="24.95" customHeight="1">
      <c r="A521" s="608" t="s">
        <v>590</v>
      </c>
      <c r="B521" s="91"/>
      <c r="C521" s="91"/>
      <c r="D521" s="486"/>
    </row>
    <row r="522" spans="1:4" ht="15" customHeight="1">
      <c r="A522" s="609"/>
      <c r="B522" s="579"/>
      <c r="C522" s="579"/>
      <c r="D522" s="580"/>
    </row>
    <row r="523" spans="1:4" ht="24.95" customHeight="1">
      <c r="A523" s="512" t="s">
        <v>591</v>
      </c>
      <c r="B523" s="512" t="s">
        <v>136</v>
      </c>
      <c r="C523" s="512" t="s">
        <v>592</v>
      </c>
      <c r="D523" s="512" t="s">
        <v>146</v>
      </c>
    </row>
    <row r="524" spans="1:4" ht="24.95" customHeight="1">
      <c r="A524" s="5">
        <v>1252</v>
      </c>
      <c r="B524" s="251" t="s">
        <v>707</v>
      </c>
      <c r="C524" s="336" t="s">
        <v>708</v>
      </c>
      <c r="D524" s="5"/>
    </row>
    <row r="525" spans="1:4" ht="24.95" customHeight="1">
      <c r="A525" s="5">
        <v>1252</v>
      </c>
      <c r="B525" s="250">
        <v>25</v>
      </c>
      <c r="C525" s="270" t="s">
        <v>515</v>
      </c>
      <c r="D525" s="5"/>
    </row>
    <row r="526" spans="1:4" ht="24.95" customHeight="1">
      <c r="A526" s="5">
        <v>1252</v>
      </c>
      <c r="B526" s="250">
        <v>38</v>
      </c>
      <c r="C526" s="270" t="s">
        <v>515</v>
      </c>
      <c r="D526" s="5"/>
    </row>
    <row r="527" spans="1:4" ht="24.95" customHeight="1">
      <c r="A527" s="5">
        <v>1252</v>
      </c>
      <c r="B527" s="250">
        <v>47</v>
      </c>
      <c r="C527" s="270" t="s">
        <v>515</v>
      </c>
      <c r="D527" s="5"/>
    </row>
    <row r="528" spans="1:4" ht="24.95" customHeight="1">
      <c r="A528" s="5">
        <v>1252</v>
      </c>
      <c r="B528" s="251">
        <v>21</v>
      </c>
      <c r="C528" s="271" t="s">
        <v>516</v>
      </c>
      <c r="D528" s="5"/>
    </row>
    <row r="529" spans="1:4" ht="24.95" customHeight="1">
      <c r="A529" s="5">
        <v>1252</v>
      </c>
      <c r="B529" s="250">
        <v>43</v>
      </c>
      <c r="C529" s="270" t="s">
        <v>517</v>
      </c>
      <c r="D529" s="5"/>
    </row>
    <row r="530" spans="1:4" ht="24.95" customHeight="1">
      <c r="A530" s="5">
        <v>1252</v>
      </c>
      <c r="B530" s="250">
        <v>23</v>
      </c>
      <c r="C530" s="270" t="s">
        <v>518</v>
      </c>
      <c r="D530" s="5"/>
    </row>
    <row r="531" spans="1:4" ht="24.95" customHeight="1">
      <c r="A531" s="5">
        <v>1252</v>
      </c>
      <c r="B531" s="250">
        <v>24</v>
      </c>
      <c r="C531" s="270" t="s">
        <v>519</v>
      </c>
      <c r="D531" s="5"/>
    </row>
    <row r="532" spans="1:4" ht="24.95" customHeight="1">
      <c r="A532" s="5">
        <v>1252</v>
      </c>
      <c r="B532" s="250" t="s">
        <v>709</v>
      </c>
      <c r="C532" s="270" t="s">
        <v>710</v>
      </c>
      <c r="D532" s="5"/>
    </row>
    <row r="533" spans="1:4" ht="24.95" customHeight="1">
      <c r="A533" s="5">
        <v>1252</v>
      </c>
      <c r="B533" s="250">
        <v>20</v>
      </c>
      <c r="C533" s="270" t="s">
        <v>521</v>
      </c>
      <c r="D533" s="5"/>
    </row>
    <row r="534" spans="1:4" ht="24.95" customHeight="1">
      <c r="A534" s="5">
        <v>1252</v>
      </c>
      <c r="B534" s="250">
        <v>34</v>
      </c>
      <c r="C534" s="335" t="s">
        <v>311</v>
      </c>
      <c r="D534" s="5"/>
    </row>
    <row r="535" spans="1:4" ht="24.95" customHeight="1">
      <c r="A535" s="5">
        <v>1252</v>
      </c>
      <c r="B535" s="250">
        <v>61</v>
      </c>
      <c r="C535" s="335" t="s">
        <v>311</v>
      </c>
      <c r="D535" s="5"/>
    </row>
    <row r="536" spans="1:4" ht="24.95" customHeight="1">
      <c r="A536" s="5">
        <v>1252</v>
      </c>
      <c r="B536" s="179">
        <v>1</v>
      </c>
      <c r="C536" s="392" t="s">
        <v>312</v>
      </c>
      <c r="D536" s="5"/>
    </row>
    <row r="537" spans="1:4" ht="24.95" customHeight="1">
      <c r="A537" s="5">
        <v>1252</v>
      </c>
      <c r="B537" s="250">
        <v>8</v>
      </c>
      <c r="C537" s="335" t="s">
        <v>313</v>
      </c>
      <c r="D537" s="5"/>
    </row>
    <row r="538" spans="1:4" ht="24.95" customHeight="1">
      <c r="A538" s="5">
        <v>1252</v>
      </c>
      <c r="B538" s="250">
        <v>13</v>
      </c>
      <c r="C538" s="335" t="s">
        <v>314</v>
      </c>
      <c r="D538" s="5"/>
    </row>
    <row r="539" spans="1:4" ht="24.95" customHeight="1">
      <c r="A539" s="5">
        <v>1252</v>
      </c>
      <c r="B539" s="250">
        <v>67</v>
      </c>
      <c r="C539" s="335" t="s">
        <v>312</v>
      </c>
      <c r="D539" s="5"/>
    </row>
    <row r="540" spans="1:4" ht="24.95" customHeight="1">
      <c r="A540" s="5">
        <v>1252</v>
      </c>
      <c r="B540" s="250">
        <v>68</v>
      </c>
      <c r="C540" s="335" t="s">
        <v>312</v>
      </c>
      <c r="D540" s="5"/>
    </row>
    <row r="541" spans="1:4" ht="24.95" customHeight="1">
      <c r="A541" s="5">
        <v>1252</v>
      </c>
      <c r="B541" s="250">
        <v>22</v>
      </c>
      <c r="C541" s="335" t="s">
        <v>315</v>
      </c>
      <c r="D541" s="5"/>
    </row>
    <row r="542" spans="1:4" ht="24.95" customHeight="1">
      <c r="A542" s="5">
        <v>1252</v>
      </c>
      <c r="B542" s="251">
        <v>33</v>
      </c>
      <c r="C542" s="336" t="s">
        <v>316</v>
      </c>
      <c r="D542" s="5"/>
    </row>
    <row r="543" spans="1:4" ht="24.95" customHeight="1">
      <c r="A543" s="5">
        <v>1252</v>
      </c>
      <c r="B543" s="250">
        <v>74</v>
      </c>
      <c r="C543" s="335" t="s">
        <v>317</v>
      </c>
      <c r="D543" s="5"/>
    </row>
    <row r="544" spans="1:4" ht="24.95" customHeight="1">
      <c r="A544" s="5">
        <v>1252</v>
      </c>
      <c r="B544" s="250">
        <v>72</v>
      </c>
      <c r="C544" s="335" t="s">
        <v>319</v>
      </c>
      <c r="D544" s="5"/>
    </row>
    <row r="545" spans="1:4" ht="24.95" customHeight="1">
      <c r="A545" s="71">
        <v>1252</v>
      </c>
      <c r="B545" s="179">
        <v>80</v>
      </c>
      <c r="C545" s="392" t="s">
        <v>711</v>
      </c>
      <c r="D545" s="5"/>
    </row>
    <row r="546" spans="1:4" ht="24.95" customHeight="1">
      <c r="A546" s="5">
        <v>1252</v>
      </c>
      <c r="B546" s="250">
        <v>75</v>
      </c>
      <c r="C546" s="335" t="s">
        <v>320</v>
      </c>
      <c r="D546" s="5"/>
    </row>
    <row r="547" spans="1:4" ht="24.95" customHeight="1">
      <c r="A547" s="5">
        <v>1252</v>
      </c>
      <c r="B547" s="251">
        <v>41</v>
      </c>
      <c r="C547" s="336" t="s">
        <v>321</v>
      </c>
      <c r="D547" s="5"/>
    </row>
    <row r="548" spans="1:4" ht="24.95" customHeight="1">
      <c r="A548" s="5">
        <v>1252</v>
      </c>
      <c r="B548" s="250">
        <v>62</v>
      </c>
      <c r="C548" s="335" t="s">
        <v>327</v>
      </c>
      <c r="D548" s="5"/>
    </row>
    <row r="549" spans="1:4" ht="24.95" customHeight="1">
      <c r="A549" s="5">
        <v>1252</v>
      </c>
      <c r="B549" s="250">
        <v>65</v>
      </c>
      <c r="C549" s="335" t="s">
        <v>327</v>
      </c>
      <c r="D549" s="5"/>
    </row>
    <row r="550" spans="1:4" ht="24.95" customHeight="1">
      <c r="A550" s="5">
        <v>1252</v>
      </c>
      <c r="B550" s="250">
        <v>66</v>
      </c>
      <c r="C550" s="335" t="s">
        <v>327</v>
      </c>
      <c r="D550" s="5"/>
    </row>
    <row r="551" spans="1:4" ht="24.95" customHeight="1">
      <c r="A551" s="5">
        <v>1252</v>
      </c>
      <c r="B551" s="250" t="s">
        <v>712</v>
      </c>
      <c r="C551" s="335" t="s">
        <v>326</v>
      </c>
      <c r="D551" s="5"/>
    </row>
    <row r="552" spans="1:4" ht="24.95" customHeight="1">
      <c r="A552" s="5">
        <v>1252</v>
      </c>
      <c r="B552" s="250">
        <v>63</v>
      </c>
      <c r="C552" s="335" t="s">
        <v>713</v>
      </c>
      <c r="D552" s="5"/>
    </row>
    <row r="553" spans="1:4" ht="24.95" customHeight="1">
      <c r="A553" s="5">
        <v>1252</v>
      </c>
      <c r="B553" s="250">
        <v>64</v>
      </c>
      <c r="C553" s="335" t="s">
        <v>713</v>
      </c>
      <c r="D553" s="5"/>
    </row>
    <row r="554" spans="1:4" ht="24.95" customHeight="1">
      <c r="A554" s="5">
        <v>1252</v>
      </c>
      <c r="B554" s="250">
        <v>36</v>
      </c>
      <c r="C554" s="335" t="s">
        <v>325</v>
      </c>
      <c r="D554" s="5"/>
    </row>
    <row r="555" spans="1:4" ht="24.95" customHeight="1">
      <c r="A555" s="5">
        <v>1252</v>
      </c>
      <c r="B555" s="250">
        <v>77</v>
      </c>
      <c r="C555" s="335" t="s">
        <v>328</v>
      </c>
      <c r="D555" s="5"/>
    </row>
    <row r="556" spans="1:4" ht="24.95" customHeight="1">
      <c r="A556" s="5">
        <v>1252</v>
      </c>
      <c r="B556" s="251">
        <v>28</v>
      </c>
      <c r="C556" s="336" t="s">
        <v>330</v>
      </c>
      <c r="D556" s="5"/>
    </row>
    <row r="557" spans="1:4" ht="24.95" customHeight="1">
      <c r="A557" s="5">
        <v>1252</v>
      </c>
      <c r="B557" s="251" t="s">
        <v>707</v>
      </c>
      <c r="C557" s="336" t="s">
        <v>708</v>
      </c>
      <c r="D557" s="5"/>
    </row>
    <row r="558" spans="1:4" ht="24.95" customHeight="1">
      <c r="A558" s="5">
        <v>1252</v>
      </c>
      <c r="B558" s="251">
        <v>78</v>
      </c>
      <c r="C558" s="271" t="s">
        <v>714</v>
      </c>
      <c r="D558" s="5"/>
    </row>
    <row r="559" spans="1:4" ht="24.95" customHeight="1">
      <c r="A559" s="5">
        <v>1252</v>
      </c>
      <c r="B559" s="6">
        <v>79</v>
      </c>
      <c r="C559" s="5" t="s">
        <v>578</v>
      </c>
      <c r="D559" s="5"/>
    </row>
    <row r="560" spans="1:4" ht="24.95" customHeight="1">
      <c r="A560" s="10"/>
      <c r="B560" s="10"/>
      <c r="C560" s="10"/>
      <c r="D560" s="10"/>
    </row>
    <row r="561" spans="1:4" ht="24.95" customHeight="1">
      <c r="A561" s="10"/>
      <c r="B561" s="10"/>
      <c r="C561" s="10"/>
      <c r="D561" s="10"/>
    </row>
    <row r="562" spans="1:4" ht="24.95" customHeight="1">
      <c r="A562" s="10"/>
      <c r="B562" s="10"/>
      <c r="C562" s="10"/>
      <c r="D562" s="10"/>
    </row>
    <row r="563" spans="1:4" ht="24.95" customHeight="1">
      <c r="A563" s="10"/>
      <c r="B563" s="10"/>
      <c r="C563" s="10"/>
      <c r="D563" s="10"/>
    </row>
    <row r="564" spans="1:4" ht="24.95" customHeight="1">
      <c r="A564" s="10"/>
      <c r="B564" s="10"/>
      <c r="C564" s="10"/>
      <c r="D564" s="10"/>
    </row>
    <row r="565" spans="1:4" ht="24.95" customHeight="1">
      <c r="A565" s="10"/>
      <c r="B565" s="10"/>
      <c r="C565" s="10"/>
      <c r="D565" s="10"/>
    </row>
    <row r="566" spans="1:4" ht="24.95" customHeight="1">
      <c r="A566" s="10"/>
      <c r="B566" s="10"/>
      <c r="C566" s="10"/>
      <c r="D566" s="10"/>
    </row>
    <row r="567" spans="1:4" ht="24.95" customHeight="1">
      <c r="A567" s="10"/>
      <c r="B567" s="10"/>
      <c r="C567" s="10"/>
      <c r="D567" s="10"/>
    </row>
    <row r="568" spans="1:4" ht="24.95" customHeight="1">
      <c r="A568" s="10"/>
      <c r="B568" s="10"/>
      <c r="C568" s="10"/>
      <c r="D568" s="10"/>
    </row>
    <row r="569" spans="1:4" ht="24.95" customHeight="1">
      <c r="A569" s="10"/>
      <c r="B569" s="10"/>
      <c r="C569" s="10"/>
      <c r="D569" s="10"/>
    </row>
    <row r="570" spans="1:4" ht="24.95" customHeight="1">
      <c r="A570" s="10"/>
      <c r="B570" s="10"/>
      <c r="C570" s="10"/>
      <c r="D570" s="10"/>
    </row>
    <row r="571" spans="1:4" ht="24.95" customHeight="1">
      <c r="A571" s="10"/>
      <c r="B571" s="10"/>
      <c r="C571" s="10"/>
      <c r="D571" s="10"/>
    </row>
    <row r="572" spans="1:4" ht="24.95" customHeight="1">
      <c r="A572" s="10"/>
      <c r="B572" s="10"/>
      <c r="C572" s="10"/>
      <c r="D572" s="10"/>
    </row>
    <row r="573" spans="1:4" ht="24.95" customHeight="1">
      <c r="A573" s="10"/>
      <c r="B573" s="10"/>
      <c r="C573" s="10"/>
      <c r="D573" s="10"/>
    </row>
    <row r="574" spans="1:4" ht="24.95" customHeight="1">
      <c r="A574" s="10"/>
      <c r="B574" s="10"/>
      <c r="C574" s="10"/>
      <c r="D574" s="10"/>
    </row>
    <row r="575" spans="1:4" ht="24.95" customHeight="1">
      <c r="A575" s="10"/>
      <c r="B575" s="10"/>
      <c r="C575" s="10"/>
      <c r="D575" s="10"/>
    </row>
    <row r="576" spans="1:4" ht="24.95" customHeight="1">
      <c r="A576" s="10"/>
      <c r="B576" s="10"/>
      <c r="C576" s="10"/>
      <c r="D576" s="10"/>
    </row>
    <row r="577" spans="1:4" ht="24.95" customHeight="1">
      <c r="A577" s="10"/>
      <c r="B577" s="10"/>
      <c r="C577" s="10"/>
      <c r="D577" s="10"/>
    </row>
    <row r="578" spans="1:4" ht="24.95" customHeight="1">
      <c r="A578" s="10"/>
      <c r="B578" s="10"/>
      <c r="C578" s="10"/>
      <c r="D578" s="10"/>
    </row>
    <row r="579" spans="1:4" ht="24.95" customHeight="1">
      <c r="A579" s="10"/>
      <c r="B579" s="10"/>
      <c r="C579" s="10"/>
      <c r="D579" s="10"/>
    </row>
    <row r="580" spans="1:4" ht="24.95" customHeight="1">
      <c r="A580" s="10"/>
      <c r="B580" s="10"/>
      <c r="C580" s="10"/>
      <c r="D580" s="10"/>
    </row>
    <row r="581" spans="1:4" ht="24.95" customHeight="1">
      <c r="A581" s="10"/>
      <c r="B581" s="10"/>
      <c r="C581" s="10"/>
      <c r="D581" s="10"/>
    </row>
    <row r="582" spans="1:4" ht="24.95" customHeight="1">
      <c r="A582" s="487"/>
      <c r="B582" s="488"/>
      <c r="C582" s="510" t="s">
        <v>585</v>
      </c>
      <c r="D582" s="88"/>
    </row>
    <row r="583" spans="1:4" ht="24.95" customHeight="1">
      <c r="A583" s="90"/>
      <c r="B583" s="511" t="s">
        <v>586</v>
      </c>
      <c r="C583" s="509"/>
      <c r="D583" s="486"/>
    </row>
    <row r="584" spans="1:4" ht="24.95" customHeight="1">
      <c r="A584" s="608" t="s">
        <v>587</v>
      </c>
      <c r="B584" s="91"/>
      <c r="C584" s="91"/>
      <c r="D584" s="486"/>
    </row>
    <row r="585" spans="1:4" ht="24.95" customHeight="1">
      <c r="A585" s="608" t="s">
        <v>588</v>
      </c>
      <c r="B585" s="91"/>
      <c r="C585" s="91"/>
      <c r="D585" s="486"/>
    </row>
    <row r="586" spans="1:4" ht="24.95" customHeight="1">
      <c r="A586" s="577" t="s">
        <v>589</v>
      </c>
      <c r="B586" s="10"/>
      <c r="C586" s="10"/>
      <c r="D586" s="578"/>
    </row>
    <row r="587" spans="1:4" ht="24.95" customHeight="1">
      <c r="A587" s="608" t="s">
        <v>590</v>
      </c>
      <c r="B587" s="91"/>
      <c r="C587" s="91"/>
      <c r="D587" s="486"/>
    </row>
    <row r="588" spans="1:4" ht="15" customHeight="1">
      <c r="A588" s="609"/>
      <c r="B588" s="579"/>
      <c r="C588" s="579"/>
      <c r="D588" s="580"/>
    </row>
    <row r="589" spans="1:4" ht="18.95" customHeight="1">
      <c r="A589" s="512" t="s">
        <v>591</v>
      </c>
      <c r="B589" s="512" t="s">
        <v>136</v>
      </c>
      <c r="C589" s="512" t="s">
        <v>592</v>
      </c>
      <c r="D589" s="512" t="s">
        <v>146</v>
      </c>
    </row>
    <row r="590" spans="1:4" ht="24.95" customHeight="1">
      <c r="A590" s="5">
        <v>1243</v>
      </c>
      <c r="B590" s="179">
        <v>23</v>
      </c>
      <c r="C590" s="392" t="s">
        <v>154</v>
      </c>
      <c r="D590" s="5"/>
    </row>
    <row r="591" spans="1:4" ht="24.95" customHeight="1">
      <c r="A591" s="5">
        <v>1243</v>
      </c>
      <c r="B591" s="179">
        <v>48</v>
      </c>
      <c r="C591" s="392" t="s">
        <v>155</v>
      </c>
      <c r="D591" s="5"/>
    </row>
    <row r="592" spans="1:4" ht="24.95" customHeight="1">
      <c r="A592" s="5">
        <v>1243</v>
      </c>
      <c r="B592" s="179">
        <v>52</v>
      </c>
      <c r="C592" s="392" t="s">
        <v>715</v>
      </c>
      <c r="D592" s="5"/>
    </row>
    <row r="593" spans="1:4" ht="24.95" customHeight="1">
      <c r="A593" s="5">
        <v>1243</v>
      </c>
      <c r="B593" s="179">
        <v>36</v>
      </c>
      <c r="C593" s="392" t="s">
        <v>155</v>
      </c>
      <c r="D593" s="5"/>
    </row>
    <row r="594" spans="1:4" ht="24.95" customHeight="1">
      <c r="A594" s="5">
        <v>1243</v>
      </c>
      <c r="B594" s="179">
        <v>39</v>
      </c>
      <c r="C594" s="392" t="s">
        <v>489</v>
      </c>
      <c r="D594" s="5"/>
    </row>
    <row r="595" spans="1:4" ht="21" customHeight="1">
      <c r="A595" s="5">
        <v>1243</v>
      </c>
      <c r="B595" s="179">
        <v>34</v>
      </c>
      <c r="C595" s="392" t="s">
        <v>157</v>
      </c>
      <c r="D595" s="5"/>
    </row>
    <row r="596" spans="1:4" ht="21" customHeight="1">
      <c r="A596" s="5">
        <v>1243</v>
      </c>
      <c r="B596" s="179">
        <v>33</v>
      </c>
      <c r="C596" s="392" t="s">
        <v>346</v>
      </c>
      <c r="D596" s="5"/>
    </row>
    <row r="597" spans="1:4" ht="21" customHeight="1">
      <c r="A597" s="5">
        <v>1243</v>
      </c>
      <c r="B597" s="179">
        <v>1</v>
      </c>
      <c r="C597" s="392" t="s">
        <v>716</v>
      </c>
      <c r="D597" s="5"/>
    </row>
    <row r="598" spans="1:4" ht="24.95" customHeight="1">
      <c r="A598" s="5">
        <v>1243</v>
      </c>
      <c r="B598" s="179">
        <v>40</v>
      </c>
      <c r="C598" s="392" t="s">
        <v>717</v>
      </c>
      <c r="D598" s="5"/>
    </row>
    <row r="599" spans="1:4" ht="24.95" customHeight="1">
      <c r="A599" s="5">
        <v>1243</v>
      </c>
      <c r="B599" s="179">
        <v>46</v>
      </c>
      <c r="C599" s="392" t="s">
        <v>161</v>
      </c>
      <c r="D599" s="5"/>
    </row>
    <row r="600" spans="1:4" ht="24.95" customHeight="1">
      <c r="A600" s="5">
        <v>1243</v>
      </c>
      <c r="B600" s="179" t="s">
        <v>718</v>
      </c>
      <c r="C600" s="392" t="s">
        <v>510</v>
      </c>
      <c r="D600" s="5"/>
    </row>
    <row r="601" spans="1:4" ht="24.95" customHeight="1">
      <c r="A601" s="5">
        <v>1243</v>
      </c>
      <c r="B601" s="179">
        <v>18</v>
      </c>
      <c r="C601" s="392" t="s">
        <v>347</v>
      </c>
      <c r="D601" s="5"/>
    </row>
    <row r="602" spans="1:4" ht="24.95" customHeight="1">
      <c r="A602" s="5">
        <v>1243</v>
      </c>
      <c r="B602" s="179">
        <v>45</v>
      </c>
      <c r="C602" s="392" t="s">
        <v>164</v>
      </c>
      <c r="D602" s="5"/>
    </row>
    <row r="603" spans="1:4" ht="21.95" customHeight="1">
      <c r="A603" s="5">
        <v>1243</v>
      </c>
      <c r="B603" s="179">
        <v>13</v>
      </c>
      <c r="C603" s="392" t="s">
        <v>165</v>
      </c>
      <c r="D603" s="5"/>
    </row>
    <row r="604" spans="1:4" ht="21.95" customHeight="1">
      <c r="A604" s="5">
        <v>1243</v>
      </c>
      <c r="B604" s="179">
        <v>12</v>
      </c>
      <c r="C604" s="392" t="s">
        <v>166</v>
      </c>
      <c r="D604" s="5"/>
    </row>
    <row r="605" spans="1:4" ht="21.95" customHeight="1">
      <c r="A605" s="489">
        <v>1243</v>
      </c>
      <c r="B605" s="250">
        <v>14</v>
      </c>
      <c r="C605" s="335" t="s">
        <v>167</v>
      </c>
      <c r="D605" s="5"/>
    </row>
    <row r="606" spans="1:4" ht="21.95" customHeight="1">
      <c r="A606" s="489">
        <v>1243</v>
      </c>
      <c r="B606" s="250">
        <v>50</v>
      </c>
      <c r="C606" s="335" t="s">
        <v>168</v>
      </c>
      <c r="D606" s="5"/>
    </row>
    <row r="607" spans="1:4" ht="21.95" customHeight="1">
      <c r="A607" s="489">
        <v>1243</v>
      </c>
      <c r="B607" s="250">
        <v>42</v>
      </c>
      <c r="C607" s="335" t="s">
        <v>508</v>
      </c>
      <c r="D607" s="5"/>
    </row>
    <row r="608" spans="1:4" ht="21.95" customHeight="1">
      <c r="A608" s="489">
        <v>1243</v>
      </c>
      <c r="B608" s="250">
        <v>3</v>
      </c>
      <c r="C608" s="335" t="s">
        <v>719</v>
      </c>
      <c r="D608" s="5"/>
    </row>
    <row r="609" spans="1:4" ht="21" customHeight="1">
      <c r="A609" s="489">
        <v>1243</v>
      </c>
      <c r="B609" s="250">
        <v>38</v>
      </c>
      <c r="C609" s="335" t="s">
        <v>171</v>
      </c>
      <c r="D609" s="5"/>
    </row>
    <row r="610" spans="1:4" ht="21" customHeight="1">
      <c r="A610" s="489">
        <v>1243</v>
      </c>
      <c r="B610" s="250" t="s">
        <v>720</v>
      </c>
      <c r="C610" s="335" t="s">
        <v>172</v>
      </c>
      <c r="D610" s="5"/>
    </row>
    <row r="611" spans="1:4" ht="21" customHeight="1">
      <c r="A611" s="489">
        <v>1243</v>
      </c>
      <c r="B611" s="250" t="s">
        <v>680</v>
      </c>
      <c r="C611" s="335" t="s">
        <v>721</v>
      </c>
      <c r="D611" s="5"/>
    </row>
    <row r="612" spans="1:4" ht="21" customHeight="1">
      <c r="A612" s="489">
        <v>1243</v>
      </c>
      <c r="B612" s="251">
        <v>21</v>
      </c>
      <c r="C612" s="336" t="s">
        <v>174</v>
      </c>
      <c r="D612" s="5"/>
    </row>
    <row r="613" spans="1:4" ht="21" customHeight="1">
      <c r="A613" s="489">
        <v>1243</v>
      </c>
      <c r="B613" s="250">
        <v>10</v>
      </c>
      <c r="C613" s="335" t="s">
        <v>175</v>
      </c>
      <c r="D613" s="5"/>
    </row>
    <row r="614" spans="1:4" ht="21" customHeight="1">
      <c r="A614" s="489">
        <v>1243</v>
      </c>
      <c r="B614" s="250">
        <v>11</v>
      </c>
      <c r="C614" s="335" t="s">
        <v>523</v>
      </c>
      <c r="D614" s="5"/>
    </row>
    <row r="615" spans="1:4" s="10" customFormat="1" ht="21" customHeight="1">
      <c r="A615" s="489">
        <v>1243</v>
      </c>
      <c r="B615" s="250">
        <v>49</v>
      </c>
      <c r="C615" s="335" t="s">
        <v>178</v>
      </c>
      <c r="D615" s="5"/>
    </row>
    <row r="616" spans="1:4" s="10" customFormat="1" ht="20.100000000000001" customHeight="1">
      <c r="A616" s="513"/>
      <c r="B616" s="451"/>
      <c r="C616" s="452"/>
    </row>
    <row r="617" spans="1:4" s="10" customFormat="1" ht="20.100000000000001" customHeight="1">
      <c r="A617" s="513"/>
      <c r="B617" s="451"/>
      <c r="C617" s="452"/>
    </row>
    <row r="618" spans="1:4" s="10" customFormat="1" ht="20.100000000000001" customHeight="1">
      <c r="A618" s="513"/>
      <c r="B618" s="451"/>
      <c r="C618" s="452"/>
    </row>
    <row r="619" spans="1:4" s="10" customFormat="1" ht="20.100000000000001" customHeight="1">
      <c r="A619" s="487"/>
      <c r="B619" s="488"/>
      <c r="C619" s="510" t="s">
        <v>585</v>
      </c>
      <c r="D619" s="88"/>
    </row>
    <row r="620" spans="1:4" ht="24.95" customHeight="1">
      <c r="A620" s="90"/>
      <c r="B620" s="511" t="s">
        <v>586</v>
      </c>
      <c r="C620" s="509"/>
      <c r="D620" s="486"/>
    </row>
    <row r="621" spans="1:4" ht="24.95" customHeight="1">
      <c r="A621" s="608" t="s">
        <v>587</v>
      </c>
      <c r="B621" s="91"/>
      <c r="C621" s="91"/>
      <c r="D621" s="486"/>
    </row>
    <row r="622" spans="1:4" ht="24.95" customHeight="1">
      <c r="A622" s="608" t="s">
        <v>588</v>
      </c>
      <c r="B622" s="91"/>
      <c r="C622" s="91"/>
      <c r="D622" s="486"/>
    </row>
    <row r="623" spans="1:4" ht="24.95" customHeight="1">
      <c r="A623" s="577" t="s">
        <v>589</v>
      </c>
      <c r="B623" s="10"/>
      <c r="C623" s="10"/>
      <c r="D623" s="578"/>
    </row>
    <row r="624" spans="1:4" ht="24.95" customHeight="1">
      <c r="A624" s="608" t="s">
        <v>590</v>
      </c>
      <c r="B624" s="91"/>
      <c r="C624" s="91"/>
      <c r="D624" s="486"/>
    </row>
    <row r="625" spans="1:4" ht="15" customHeight="1">
      <c r="A625" s="609"/>
      <c r="B625" s="579"/>
      <c r="C625" s="579"/>
      <c r="D625" s="580"/>
    </row>
    <row r="626" spans="1:4" ht="24.95" customHeight="1">
      <c r="A626" s="512" t="s">
        <v>591</v>
      </c>
      <c r="B626" s="512" t="s">
        <v>136</v>
      </c>
      <c r="C626" s="512" t="s">
        <v>592</v>
      </c>
      <c r="D626" s="512" t="s">
        <v>146</v>
      </c>
    </row>
    <row r="627" spans="1:4" ht="24.95" customHeight="1">
      <c r="A627" s="5">
        <v>1248</v>
      </c>
      <c r="B627" s="179">
        <v>20</v>
      </c>
      <c r="C627" s="392" t="s">
        <v>481</v>
      </c>
      <c r="D627" s="5"/>
    </row>
    <row r="628" spans="1:4" ht="24.95" customHeight="1">
      <c r="A628" s="5">
        <v>1248</v>
      </c>
      <c r="B628" s="179">
        <v>38</v>
      </c>
      <c r="C628" s="392" t="s">
        <v>483</v>
      </c>
      <c r="D628" s="5"/>
    </row>
    <row r="629" spans="1:4" ht="24.95" customHeight="1">
      <c r="A629" s="5">
        <v>1248</v>
      </c>
      <c r="B629" s="179">
        <v>46</v>
      </c>
      <c r="C629" s="392" t="s">
        <v>484</v>
      </c>
      <c r="D629" s="5"/>
    </row>
    <row r="630" spans="1:4" ht="24.95" customHeight="1">
      <c r="A630" s="5">
        <v>1248</v>
      </c>
      <c r="B630" s="179">
        <v>48</v>
      </c>
      <c r="C630" s="392" t="s">
        <v>486</v>
      </c>
      <c r="D630" s="5"/>
    </row>
    <row r="631" spans="1:4" ht="24.95" customHeight="1">
      <c r="A631" s="5">
        <v>1248</v>
      </c>
      <c r="B631" s="179">
        <v>49</v>
      </c>
      <c r="C631" s="392" t="s">
        <v>722</v>
      </c>
      <c r="D631" s="5"/>
    </row>
    <row r="632" spans="1:4" ht="24.95" customHeight="1">
      <c r="A632" s="5">
        <v>1248</v>
      </c>
      <c r="B632" s="179">
        <v>24</v>
      </c>
      <c r="C632" s="392" t="s">
        <v>489</v>
      </c>
      <c r="D632" s="5"/>
    </row>
    <row r="633" spans="1:4" ht="24.95" customHeight="1">
      <c r="A633" s="5">
        <v>1248</v>
      </c>
      <c r="B633" s="179">
        <v>29</v>
      </c>
      <c r="C633" s="392" t="s">
        <v>485</v>
      </c>
      <c r="D633" s="5"/>
    </row>
    <row r="634" spans="1:4" ht="24.95" customHeight="1">
      <c r="A634" s="394">
        <v>1255</v>
      </c>
      <c r="B634" s="363">
        <v>121</v>
      </c>
      <c r="C634" s="399" t="s">
        <v>490</v>
      </c>
      <c r="D634" s="5"/>
    </row>
    <row r="635" spans="1:4" ht="24.95" customHeight="1">
      <c r="A635" s="5">
        <v>1248</v>
      </c>
      <c r="B635" s="179">
        <v>45</v>
      </c>
      <c r="C635" s="392" t="s">
        <v>491</v>
      </c>
      <c r="D635" s="5"/>
    </row>
    <row r="636" spans="1:4" ht="24.95" customHeight="1">
      <c r="A636" s="5">
        <v>1248</v>
      </c>
      <c r="B636" s="179">
        <v>23</v>
      </c>
      <c r="C636" s="392" t="s">
        <v>491</v>
      </c>
      <c r="D636" s="5"/>
    </row>
    <row r="637" spans="1:4" ht="24.95" customHeight="1">
      <c r="A637" s="5">
        <v>1248</v>
      </c>
      <c r="B637" s="179">
        <v>30</v>
      </c>
      <c r="C637" s="392" t="s">
        <v>492</v>
      </c>
      <c r="D637" s="5"/>
    </row>
    <row r="638" spans="1:4" ht="24.95" customHeight="1">
      <c r="A638" s="5">
        <v>1248</v>
      </c>
      <c r="B638" s="179">
        <v>32</v>
      </c>
      <c r="C638" s="392" t="s">
        <v>493</v>
      </c>
      <c r="D638" s="5"/>
    </row>
    <row r="639" spans="1:4" ht="24.95" customHeight="1">
      <c r="A639" s="5">
        <v>1248</v>
      </c>
      <c r="B639" s="179">
        <v>33</v>
      </c>
      <c r="C639" s="392" t="s">
        <v>482</v>
      </c>
      <c r="D639" s="5"/>
    </row>
    <row r="640" spans="1:4" ht="24.95" customHeight="1">
      <c r="A640" s="5">
        <v>1248</v>
      </c>
      <c r="B640" s="179">
        <v>34</v>
      </c>
      <c r="C640" s="392" t="s">
        <v>482</v>
      </c>
      <c r="D640" s="5"/>
    </row>
    <row r="641" spans="1:10" ht="21" customHeight="1">
      <c r="A641" s="5">
        <v>1248</v>
      </c>
      <c r="B641" s="179">
        <v>3</v>
      </c>
      <c r="C641" s="392" t="s">
        <v>494</v>
      </c>
      <c r="D641" s="5"/>
    </row>
    <row r="642" spans="1:10" ht="21" customHeight="1">
      <c r="A642" s="5">
        <v>1248</v>
      </c>
      <c r="B642" s="179">
        <v>5</v>
      </c>
      <c r="C642" s="392" t="s">
        <v>494</v>
      </c>
      <c r="D642" s="5"/>
    </row>
    <row r="643" spans="1:10" ht="21" customHeight="1">
      <c r="A643" s="5">
        <v>1248</v>
      </c>
      <c r="B643" s="179">
        <v>14</v>
      </c>
      <c r="C643" s="392" t="s">
        <v>497</v>
      </c>
      <c r="D643" s="5"/>
    </row>
    <row r="644" spans="1:10" ht="21" customHeight="1">
      <c r="A644" s="5">
        <v>1248</v>
      </c>
      <c r="B644" s="179" t="s">
        <v>723</v>
      </c>
      <c r="C644" s="392" t="s">
        <v>495</v>
      </c>
      <c r="D644" s="5"/>
    </row>
    <row r="645" spans="1:10" ht="24.95" customHeight="1">
      <c r="A645" s="5">
        <v>1248</v>
      </c>
      <c r="B645" s="179">
        <v>15</v>
      </c>
      <c r="C645" s="392" t="s">
        <v>724</v>
      </c>
      <c r="D645" s="5"/>
    </row>
    <row r="646" spans="1:10" ht="24.95" customHeight="1">
      <c r="A646" s="5">
        <v>1248</v>
      </c>
      <c r="B646" s="179">
        <v>16</v>
      </c>
      <c r="C646" s="392" t="s">
        <v>496</v>
      </c>
      <c r="D646" s="5"/>
    </row>
    <row r="647" spans="1:10" ht="24.95" customHeight="1">
      <c r="A647" s="5">
        <v>1248</v>
      </c>
      <c r="B647" s="179">
        <v>21</v>
      </c>
      <c r="C647" s="392" t="s">
        <v>498</v>
      </c>
      <c r="D647" s="5"/>
    </row>
    <row r="648" spans="1:10" s="5" customFormat="1" ht="24.95" customHeight="1">
      <c r="A648" s="71">
        <v>1248</v>
      </c>
      <c r="B648" s="179">
        <v>50</v>
      </c>
      <c r="C648" s="392" t="s">
        <v>725</v>
      </c>
      <c r="E648" s="10"/>
      <c r="F648" s="10"/>
      <c r="G648" s="10"/>
      <c r="H648" s="10"/>
      <c r="I648" s="10"/>
      <c r="J648" s="10"/>
    </row>
    <row r="649" spans="1:10" s="10" customFormat="1" ht="24.95" customHeight="1">
      <c r="A649" s="71">
        <v>1248</v>
      </c>
      <c r="B649" s="6">
        <v>51</v>
      </c>
      <c r="C649" s="5" t="s">
        <v>726</v>
      </c>
      <c r="D649" s="5"/>
    </row>
    <row r="650" spans="1:10" ht="24.95" customHeight="1">
      <c r="A650" s="5">
        <v>1248</v>
      </c>
      <c r="B650" s="6" t="s">
        <v>727</v>
      </c>
      <c r="C650" s="5" t="s">
        <v>728</v>
      </c>
      <c r="D650" s="5"/>
    </row>
    <row r="651" spans="1:10" ht="24.95" customHeight="1"/>
    <row r="652" spans="1:10" ht="24.95" customHeight="1"/>
    <row r="653" spans="1:10" ht="24.95" customHeight="1"/>
    <row r="654" spans="1:10" ht="24.95" customHeight="1"/>
    <row r="655" spans="1:10" ht="24.95" customHeight="1"/>
    <row r="656" spans="1:10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  <row r="784" ht="24.95" customHeight="1"/>
    <row r="785" ht="24.95" customHeight="1"/>
    <row r="786" ht="24.95" customHeight="1"/>
    <row r="787" ht="24.95" customHeight="1"/>
    <row r="788" ht="24.95" customHeight="1"/>
    <row r="789" ht="24.95" customHeight="1"/>
    <row r="790" ht="24.95" customHeight="1"/>
    <row r="791" ht="24.95" customHeight="1"/>
    <row r="792" ht="24.95" customHeight="1"/>
    <row r="793" ht="24.95" customHeight="1"/>
    <row r="794" ht="24.95" customHeight="1"/>
    <row r="795" ht="24.95" customHeight="1"/>
    <row r="796" ht="24.95" customHeight="1"/>
    <row r="797" ht="24.95" customHeight="1"/>
    <row r="798" ht="24.95" customHeight="1"/>
    <row r="799" ht="24.95" customHeight="1"/>
    <row r="800" ht="24.95" customHeight="1"/>
    <row r="801" ht="24.95" customHeight="1"/>
    <row r="802" ht="24.95" customHeight="1"/>
    <row r="803" ht="24.95" customHeight="1"/>
    <row r="804" ht="24.95" customHeight="1"/>
    <row r="805" ht="24.95" customHeight="1"/>
    <row r="806" ht="24.95" customHeight="1"/>
    <row r="807" ht="24.95" customHeight="1"/>
    <row r="808" ht="24.95" customHeight="1"/>
    <row r="809" ht="24.95" customHeight="1"/>
    <row r="810" ht="24.95" customHeight="1"/>
    <row r="811" ht="24.95" customHeight="1"/>
    <row r="812" ht="24.95" customHeight="1"/>
    <row r="813" ht="24.95" customHeight="1"/>
    <row r="814" ht="24.95" customHeight="1"/>
    <row r="815" ht="24.95" customHeight="1"/>
    <row r="816" ht="24.95" customHeight="1"/>
    <row r="817" ht="24.95" customHeight="1"/>
    <row r="818" ht="24.95" customHeight="1"/>
    <row r="819" ht="24.95" customHeight="1"/>
    <row r="820" ht="24.95" customHeight="1"/>
    <row r="821" ht="24.95" customHeight="1"/>
    <row r="822" ht="24.95" customHeight="1"/>
    <row r="823" ht="24.95" customHeight="1"/>
    <row r="824" ht="24.95" customHeight="1"/>
    <row r="825" ht="24.95" customHeight="1"/>
    <row r="826" ht="24.95" customHeight="1"/>
    <row r="827" ht="24.95" customHeight="1"/>
    <row r="828" ht="24.95" customHeight="1"/>
    <row r="829" ht="24.95" customHeight="1"/>
    <row r="830" ht="24.95" customHeight="1"/>
    <row r="831" ht="24.95" customHeight="1"/>
    <row r="832" ht="24.95" customHeight="1"/>
    <row r="833" ht="24.95" customHeight="1"/>
    <row r="834" ht="24.95" customHeight="1"/>
    <row r="835" ht="24.95" customHeight="1"/>
    <row r="836" ht="24.95" customHeight="1"/>
    <row r="837" ht="24.95" customHeight="1"/>
    <row r="838" ht="24.95" customHeight="1"/>
    <row r="839" ht="24.95" customHeight="1"/>
    <row r="840" ht="24.95" customHeight="1"/>
    <row r="841" ht="24.95" customHeight="1"/>
    <row r="842" ht="24.95" customHeight="1"/>
    <row r="843" ht="24.95" customHeight="1"/>
    <row r="844" ht="24.95" customHeight="1"/>
    <row r="845" ht="24.95" customHeight="1"/>
    <row r="846" ht="24.95" customHeight="1"/>
    <row r="847" ht="24.95" customHeight="1"/>
    <row r="848" ht="24.95" customHeight="1"/>
    <row r="849" ht="24.95" customHeight="1"/>
    <row r="850" ht="24.95" customHeight="1"/>
    <row r="851" ht="24.95" customHeight="1"/>
    <row r="852" ht="24.95" customHeight="1"/>
    <row r="853" ht="24.95" customHeight="1"/>
    <row r="854" ht="24.95" customHeight="1"/>
    <row r="855" ht="24.95" customHeight="1"/>
    <row r="856" ht="24.95" customHeight="1"/>
    <row r="857" ht="24.95" customHeight="1"/>
    <row r="858" ht="24.95" customHeight="1"/>
    <row r="859" ht="24.95" customHeight="1"/>
    <row r="860" ht="24.95" customHeight="1"/>
    <row r="861" ht="24.95" customHeight="1"/>
    <row r="862" ht="24.95" customHeight="1"/>
    <row r="863" ht="24.95" customHeight="1"/>
    <row r="864" ht="24.95" customHeight="1"/>
    <row r="865" ht="24.95" customHeight="1"/>
    <row r="866" ht="24.95" customHeight="1"/>
    <row r="867" ht="24.95" customHeight="1"/>
    <row r="868" ht="24.95" customHeight="1"/>
    <row r="869" ht="24.95" customHeight="1"/>
    <row r="870" ht="24.95" customHeight="1"/>
    <row r="871" ht="24.95" customHeight="1"/>
    <row r="872" ht="24.95" customHeight="1"/>
    <row r="873" ht="24.95" customHeight="1"/>
    <row r="874" ht="24.95" customHeight="1"/>
    <row r="875" ht="24.95" customHeight="1"/>
    <row r="876" ht="24.95" customHeight="1"/>
    <row r="877" ht="24.95" customHeight="1"/>
    <row r="878" ht="24.95" customHeight="1"/>
    <row r="879" ht="24.95" customHeight="1"/>
    <row r="880" ht="24.95" customHeight="1"/>
    <row r="881" ht="24.95" customHeight="1"/>
    <row r="882" ht="24.95" customHeight="1"/>
    <row r="883" ht="24.95" customHeight="1"/>
    <row r="884" ht="24.95" customHeight="1"/>
    <row r="885" ht="24.95" customHeight="1"/>
    <row r="886" ht="24.95" customHeight="1"/>
    <row r="887" ht="24.95" customHeight="1"/>
    <row r="888" ht="24.95" customHeight="1"/>
    <row r="889" ht="24.95" customHeight="1"/>
    <row r="890" ht="24.95" customHeight="1"/>
    <row r="891" ht="24.95" customHeight="1"/>
    <row r="892" ht="24.95" customHeight="1"/>
    <row r="893" ht="24.95" customHeight="1"/>
    <row r="894" ht="24.95" customHeight="1"/>
    <row r="895" ht="24.95" customHeight="1"/>
    <row r="896" ht="24.95" customHeight="1"/>
    <row r="897" ht="24.95" customHeight="1"/>
    <row r="898" ht="24.95" customHeight="1"/>
    <row r="899" ht="24.95" customHeight="1"/>
    <row r="900" ht="24.95" customHeight="1"/>
    <row r="901" ht="24.95" customHeight="1"/>
    <row r="902" ht="24.95" customHeight="1"/>
    <row r="903" ht="24.95" customHeight="1"/>
    <row r="904" ht="24.95" customHeight="1"/>
    <row r="905" ht="24.95" customHeight="1"/>
    <row r="906" ht="24.95" customHeight="1"/>
    <row r="907" ht="24.95" customHeight="1"/>
    <row r="908" ht="24.95" customHeight="1"/>
    <row r="909" ht="24.95" customHeight="1"/>
    <row r="910" ht="24.95" customHeight="1"/>
    <row r="911" ht="24.95" customHeight="1"/>
    <row r="912" ht="24.95" customHeight="1"/>
    <row r="913" ht="24.95" customHeight="1"/>
    <row r="914" ht="24.95" customHeight="1"/>
    <row r="915" ht="24.95" customHeight="1"/>
    <row r="916" ht="24.95" customHeight="1"/>
    <row r="917" ht="24.95" customHeight="1"/>
    <row r="918" ht="24.95" customHeight="1"/>
    <row r="919" ht="24.95" customHeight="1"/>
    <row r="920" ht="24.95" customHeight="1"/>
    <row r="921" ht="24.95" customHeight="1"/>
    <row r="922" ht="24.95" customHeight="1"/>
    <row r="923" ht="24.95" customHeight="1"/>
    <row r="924" ht="24.95" customHeight="1"/>
    <row r="925" ht="24.95" customHeight="1"/>
    <row r="926" ht="24.95" customHeight="1"/>
    <row r="927" ht="24.95" customHeight="1"/>
    <row r="928" ht="24.95" customHeight="1"/>
    <row r="929" ht="24.95" customHeight="1"/>
    <row r="930" ht="24.95" customHeight="1"/>
    <row r="931" ht="24.95" customHeight="1"/>
    <row r="932" ht="24.95" customHeight="1"/>
    <row r="933" ht="24.95" customHeight="1"/>
    <row r="934" ht="24.95" customHeight="1"/>
    <row r="935" ht="24.95" customHeight="1"/>
    <row r="936" ht="24.95" customHeight="1"/>
    <row r="937" ht="24.95" customHeight="1"/>
    <row r="938" ht="24.95" customHeight="1"/>
    <row r="939" ht="24.95" customHeight="1"/>
    <row r="940" ht="24.95" customHeight="1"/>
    <row r="941" ht="24.95" customHeight="1"/>
    <row r="942" ht="24.95" customHeight="1"/>
    <row r="943" ht="24.95" customHeight="1"/>
    <row r="944" ht="24.95" customHeight="1"/>
    <row r="945" ht="24.95" customHeight="1"/>
    <row r="946" ht="24.95" customHeight="1"/>
    <row r="947" ht="24.95" customHeight="1"/>
    <row r="948" ht="24.95" customHeight="1"/>
    <row r="949" ht="24.95" customHeight="1"/>
    <row r="950" ht="24.95" customHeight="1"/>
    <row r="951" ht="24.95" customHeight="1"/>
    <row r="952" ht="24.95" customHeight="1"/>
    <row r="953" ht="24.95" customHeight="1"/>
    <row r="954" ht="24.95" customHeight="1"/>
    <row r="955" ht="24.95" customHeight="1"/>
    <row r="956" ht="24.95" customHeight="1"/>
    <row r="957" ht="24.95" customHeight="1"/>
    <row r="958" ht="24.95" customHeight="1"/>
    <row r="959" ht="24.95" customHeight="1"/>
    <row r="960" ht="24.95" customHeight="1"/>
    <row r="961" ht="24.95" customHeight="1"/>
    <row r="962" ht="24.95" customHeight="1"/>
    <row r="963" ht="24.95" customHeight="1"/>
    <row r="964" ht="24.95" customHeight="1"/>
    <row r="965" ht="24.95" customHeight="1"/>
    <row r="966" ht="24.95" customHeight="1"/>
    <row r="967" ht="24.95" customHeight="1"/>
    <row r="968" ht="24.95" customHeight="1"/>
    <row r="969" ht="24.95" customHeight="1"/>
    <row r="970" ht="24.95" customHeight="1"/>
    <row r="971" ht="24.95" customHeight="1"/>
    <row r="972" ht="24.95" customHeight="1"/>
    <row r="973" ht="24.95" customHeight="1"/>
    <row r="974" ht="24.95" customHeight="1"/>
    <row r="975" ht="24.95" customHeight="1"/>
    <row r="976" ht="24.95" customHeight="1"/>
    <row r="977" ht="24.95" customHeight="1"/>
    <row r="978" ht="24.95" customHeight="1"/>
    <row r="979" ht="24.95" customHeight="1"/>
    <row r="980" ht="24.95" customHeight="1"/>
    <row r="981" ht="24.95" customHeight="1"/>
    <row r="982" ht="24.95" customHeight="1"/>
    <row r="983" ht="24.95" customHeight="1"/>
    <row r="984" ht="24.95" customHeight="1"/>
    <row r="985" ht="24.95" customHeight="1"/>
    <row r="986" ht="24.95" customHeight="1"/>
    <row r="987" ht="24.95" customHeight="1"/>
    <row r="988" ht="24.95" customHeight="1"/>
    <row r="989" ht="24.95" customHeight="1"/>
    <row r="990" ht="24.95" customHeight="1"/>
    <row r="991" ht="24.95" customHeight="1"/>
    <row r="992" ht="24.95" customHeight="1"/>
    <row r="993" ht="24.95" customHeight="1"/>
    <row r="994" ht="24.95" customHeight="1"/>
    <row r="995" ht="24.95" customHeight="1"/>
    <row r="996" ht="24.95" customHeight="1"/>
    <row r="997" ht="24.95" customHeight="1"/>
    <row r="998" ht="24.95" customHeight="1"/>
    <row r="999" ht="24.95" customHeight="1"/>
    <row r="1000" ht="24.95" customHeight="1"/>
    <row r="1001" ht="24.95" customHeight="1"/>
    <row r="1002" ht="24.95" customHeight="1"/>
    <row r="1003" ht="24.95" customHeight="1"/>
    <row r="1004" ht="24.95" customHeight="1"/>
    <row r="1005" ht="24.95" customHeight="1"/>
    <row r="1006" ht="24.95" customHeight="1"/>
    <row r="1007" ht="24.95" customHeight="1"/>
    <row r="1008" ht="24.95" customHeight="1"/>
    <row r="1009" ht="24.95" customHeight="1"/>
    <row r="1010" ht="24.95" customHeight="1"/>
    <row r="1011" ht="24.95" customHeight="1"/>
    <row r="1012" ht="24.95" customHeight="1"/>
    <row r="1013" ht="24.95" customHeight="1"/>
    <row r="1014" ht="24.95" customHeight="1"/>
    <row r="1015" ht="24.95" customHeight="1"/>
    <row r="1016" ht="24.95" customHeight="1"/>
    <row r="1017" ht="24.95" customHeight="1"/>
    <row r="1018" ht="24.95" customHeight="1"/>
    <row r="1019" ht="24.95" customHeight="1"/>
    <row r="1020" ht="24.95" customHeight="1"/>
    <row r="1021" ht="24.95" customHeight="1"/>
    <row r="1022" ht="24.95" customHeight="1"/>
    <row r="1023" ht="24.95" customHeight="1"/>
    <row r="1024" ht="24.95" customHeight="1"/>
    <row r="1025" ht="24.95" customHeight="1"/>
    <row r="1026" ht="24.95" customHeight="1"/>
    <row r="1027" ht="24.95" customHeight="1"/>
    <row r="1028" ht="24.95" customHeight="1"/>
    <row r="1029" ht="24.95" customHeight="1"/>
    <row r="1030" ht="24.95" customHeight="1"/>
    <row r="1031" ht="24.95" customHeight="1"/>
    <row r="1032" ht="24.95" customHeight="1"/>
    <row r="1033" ht="24.95" customHeight="1"/>
    <row r="1034" ht="24.95" customHeight="1"/>
    <row r="1035" ht="24.95" customHeight="1"/>
    <row r="1036" ht="24.95" customHeight="1"/>
    <row r="1037" ht="24.95" customHeight="1"/>
    <row r="1038" ht="24.95" customHeight="1"/>
    <row r="1039" ht="24.95" customHeight="1"/>
    <row r="1040" ht="24.95" customHeight="1"/>
    <row r="1041" ht="24.95" customHeight="1"/>
    <row r="1042" ht="24.95" customHeight="1"/>
    <row r="1043" ht="24.95" customHeight="1"/>
    <row r="1044" ht="24.95" customHeight="1"/>
    <row r="1045" ht="24.95" customHeight="1"/>
    <row r="1046" ht="24.95" customHeight="1"/>
    <row r="1047" ht="24.95" customHeight="1"/>
    <row r="1048" ht="24.95" customHeight="1"/>
    <row r="1049" ht="24.95" customHeight="1"/>
    <row r="1050" ht="24.95" customHeight="1"/>
    <row r="1051" ht="24.95" customHeight="1"/>
    <row r="1052" ht="24.95" customHeight="1"/>
    <row r="1053" ht="24.95" customHeight="1"/>
    <row r="1054" ht="24.95" customHeight="1"/>
    <row r="1055" ht="24.95" customHeight="1"/>
    <row r="1056" ht="24.95" customHeight="1"/>
    <row r="1057" ht="24.95" customHeight="1"/>
    <row r="1058" ht="24.95" customHeight="1"/>
    <row r="1059" ht="24.95" customHeight="1"/>
    <row r="1060" ht="24.95" customHeight="1"/>
    <row r="1061" ht="24.95" customHeight="1"/>
    <row r="1062" ht="24.95" customHeight="1"/>
    <row r="1063" ht="24.95" customHeight="1"/>
    <row r="1064" ht="24.95" customHeight="1"/>
    <row r="1065" ht="24.95" customHeight="1"/>
    <row r="1066" ht="24.95" customHeight="1"/>
    <row r="1067" ht="24.95" customHeight="1"/>
    <row r="1068" ht="24.95" customHeight="1"/>
    <row r="1069" ht="24.95" customHeight="1"/>
    <row r="1070" ht="24.95" customHeight="1"/>
    <row r="1071" ht="24.95" customHeight="1"/>
    <row r="1072" ht="24.95" customHeight="1"/>
    <row r="1073" ht="24.95" customHeight="1"/>
    <row r="1074" ht="24.95" customHeight="1"/>
    <row r="1075" ht="24.95" customHeight="1"/>
    <row r="1076" ht="24.95" customHeight="1"/>
    <row r="1077" ht="24.95" customHeight="1"/>
    <row r="1078" ht="24.95" customHeight="1"/>
    <row r="1079" ht="24.95" customHeight="1"/>
    <row r="1080" ht="24.95" customHeight="1"/>
    <row r="1081" ht="24.95" customHeight="1"/>
    <row r="1082" ht="24.95" customHeight="1"/>
    <row r="1083" ht="24.95" customHeight="1"/>
    <row r="1084" ht="24.95" customHeight="1"/>
    <row r="1085" ht="24.95" customHeight="1"/>
    <row r="1086" ht="24.95" customHeight="1"/>
    <row r="1087" ht="24.95" customHeight="1"/>
    <row r="1088" ht="24.95" customHeight="1"/>
    <row r="1089" ht="24.95" customHeight="1"/>
    <row r="1090" ht="24.95" customHeight="1"/>
    <row r="1091" ht="24.95" customHeight="1"/>
    <row r="1092" ht="24.95" customHeight="1"/>
    <row r="1093" ht="24.95" customHeight="1"/>
    <row r="1094" ht="24.95" customHeight="1"/>
    <row r="1095" ht="24.95" customHeight="1"/>
    <row r="1096" ht="24.95" customHeight="1"/>
    <row r="1097" ht="24.95" customHeight="1"/>
    <row r="1098" ht="24.95" customHeight="1"/>
    <row r="1099" ht="24.95" customHeight="1"/>
    <row r="1100" ht="24.95" customHeight="1"/>
    <row r="1101" ht="24.95" customHeight="1"/>
    <row r="1102" ht="24.95" customHeight="1"/>
    <row r="1103" ht="24.95" customHeight="1"/>
    <row r="1104" ht="24.95" customHeight="1"/>
    <row r="1105" ht="24.95" customHeight="1"/>
    <row r="1106" ht="24.95" customHeight="1"/>
    <row r="1107" ht="24.95" customHeight="1"/>
    <row r="1108" ht="24.95" customHeight="1"/>
    <row r="1109" ht="24.95" customHeight="1"/>
    <row r="1110" ht="24.95" customHeight="1"/>
    <row r="1111" ht="24.95" customHeight="1"/>
    <row r="1112" ht="24.95" customHeight="1"/>
    <row r="1113" ht="24.95" customHeight="1"/>
    <row r="1114" ht="24.95" customHeight="1"/>
    <row r="1115" ht="24.95" customHeight="1"/>
    <row r="1116" ht="24.95" customHeight="1"/>
    <row r="1117" ht="24.95" customHeight="1"/>
    <row r="1118" ht="24.95" customHeight="1"/>
    <row r="1119" ht="24.95" customHeight="1"/>
    <row r="1120" ht="24.95" customHeight="1"/>
    <row r="1121" ht="24.95" customHeight="1"/>
    <row r="1122" ht="24.95" customHeight="1"/>
    <row r="1123" ht="24.95" customHeight="1"/>
    <row r="1124" ht="24.95" customHeight="1"/>
    <row r="1125" ht="24.95" customHeight="1"/>
    <row r="1126" ht="24.95" customHeight="1"/>
    <row r="1127" ht="24.95" customHeight="1"/>
    <row r="1128" ht="24.95" customHeight="1"/>
    <row r="1129" ht="24.95" customHeight="1"/>
    <row r="1130" ht="24.95" customHeight="1"/>
    <row r="1131" ht="24.95" customHeight="1"/>
    <row r="1132" ht="24.95" customHeight="1"/>
    <row r="1133" ht="24.95" customHeight="1"/>
    <row r="1134" ht="24.95" customHeight="1"/>
    <row r="1135" ht="24.95" customHeight="1"/>
    <row r="1136" ht="24.95" customHeight="1"/>
    <row r="1137" ht="24.95" customHeight="1"/>
    <row r="1138" ht="24.95" customHeight="1"/>
    <row r="1139" ht="24.95" customHeight="1"/>
    <row r="1140" ht="24.95" customHeight="1"/>
    <row r="1141" ht="24.95" customHeight="1"/>
    <row r="1142" ht="24.95" customHeight="1"/>
    <row r="1143" ht="24.95" customHeight="1"/>
    <row r="1144" ht="24.95" customHeight="1"/>
    <row r="1145" ht="24.95" customHeight="1"/>
    <row r="1146" ht="24.95" customHeight="1"/>
    <row r="1147" ht="24.95" customHeight="1"/>
    <row r="1148" ht="24.95" customHeight="1"/>
    <row r="1149" ht="24.95" customHeight="1"/>
    <row r="1150" ht="24.95" customHeight="1"/>
    <row r="1151" ht="24.95" customHeight="1"/>
    <row r="1152" ht="24.95" customHeight="1"/>
    <row r="1153" ht="24.95" customHeight="1"/>
    <row r="1154" ht="24.95" customHeight="1"/>
    <row r="1155" ht="24.95" customHeight="1"/>
    <row r="1156" ht="24.95" customHeight="1"/>
    <row r="1157" ht="24.95" customHeight="1"/>
    <row r="1158" ht="24.95" customHeight="1"/>
    <row r="1159" ht="24.95" customHeight="1"/>
    <row r="1160" ht="24.95" customHeight="1"/>
    <row r="1161" ht="24.95" customHeight="1"/>
    <row r="1162" ht="24.95" customHeight="1"/>
    <row r="1163" ht="24.95" customHeight="1"/>
    <row r="1164" ht="24.95" customHeight="1"/>
    <row r="1165" ht="24.95" customHeight="1"/>
    <row r="1166" ht="24.95" customHeight="1"/>
    <row r="1167" ht="24.95" customHeight="1"/>
    <row r="1168" ht="24.95" customHeight="1"/>
    <row r="1169" ht="24.95" customHeight="1"/>
    <row r="1170" ht="24.95" customHeight="1"/>
    <row r="1171" ht="24.95" customHeight="1"/>
    <row r="1172" ht="24.95" customHeight="1"/>
    <row r="1173" ht="24.95" customHeight="1"/>
    <row r="1174" ht="24.95" customHeight="1"/>
    <row r="1175" ht="24.95" customHeight="1"/>
    <row r="1176" ht="24.95" customHeight="1"/>
    <row r="1177" ht="24.95" customHeight="1"/>
    <row r="1178" ht="24.95" customHeight="1"/>
    <row r="1179" ht="24.95" customHeight="1"/>
    <row r="1180" ht="24.95" customHeight="1"/>
    <row r="1181" ht="24.95" customHeight="1"/>
    <row r="1182" ht="24.95" customHeight="1"/>
    <row r="1183" ht="24.95" customHeight="1"/>
    <row r="1184" ht="24.95" customHeight="1"/>
    <row r="1185" ht="24.95" customHeight="1"/>
    <row r="1186" ht="24.95" customHeight="1"/>
    <row r="1187" ht="24.95" customHeight="1"/>
    <row r="1188" ht="24.95" customHeight="1"/>
    <row r="1189" ht="24.95" customHeight="1"/>
    <row r="1190" ht="24.95" customHeight="1"/>
    <row r="1191" ht="24.95" customHeight="1"/>
    <row r="1192" ht="24.95" customHeight="1"/>
    <row r="1193" ht="24.95" customHeight="1"/>
    <row r="1194" ht="24.95" customHeight="1"/>
    <row r="1195" ht="24.95" customHeight="1"/>
    <row r="1196" ht="24.95" customHeight="1"/>
    <row r="1197" ht="24.95" customHeight="1"/>
    <row r="1198" ht="24.95" customHeight="1"/>
    <row r="1199" ht="24.95" customHeight="1"/>
    <row r="1200" ht="24.95" customHeight="1"/>
    <row r="1201" ht="24.95" customHeight="1"/>
    <row r="1202" ht="24.95" customHeight="1"/>
    <row r="1203" ht="24.95" customHeight="1"/>
    <row r="1204" ht="24.95" customHeight="1"/>
    <row r="1205" ht="24.95" customHeight="1"/>
    <row r="1206" ht="24.95" customHeight="1"/>
    <row r="1207" ht="24.95" customHeight="1"/>
    <row r="1208" ht="24.95" customHeight="1"/>
    <row r="1209" ht="24.95" customHeight="1"/>
    <row r="1210" ht="24.95" customHeight="1"/>
    <row r="1211" ht="24.95" customHeight="1"/>
    <row r="1212" ht="24.95" customHeight="1"/>
    <row r="1213" ht="24.95" customHeight="1"/>
    <row r="1214" ht="24.95" customHeight="1"/>
    <row r="1215" ht="24.95" customHeight="1"/>
    <row r="1216" ht="24.95" customHeight="1"/>
    <row r="1217" ht="24.95" customHeight="1"/>
    <row r="1218" ht="24.95" customHeight="1"/>
    <row r="1219" ht="24.95" customHeight="1"/>
    <row r="1220" ht="24.95" customHeight="1"/>
    <row r="1221" ht="24.95" customHeight="1"/>
    <row r="1222" ht="24.95" customHeight="1"/>
    <row r="1223" ht="24.95" customHeight="1"/>
    <row r="1224" ht="24.95" customHeight="1"/>
    <row r="1225" ht="24.95" customHeight="1"/>
    <row r="1226" ht="24.95" customHeight="1"/>
    <row r="1227" ht="24.95" customHeight="1"/>
    <row r="1228" ht="24.95" customHeight="1"/>
    <row r="1229" ht="24.95" customHeight="1"/>
    <row r="1230" ht="24.95" customHeight="1"/>
    <row r="1231" ht="24.95" customHeight="1"/>
    <row r="1232" ht="24.95" customHeight="1"/>
    <row r="1233" ht="24.95" customHeight="1"/>
    <row r="1234" ht="24.95" customHeight="1"/>
    <row r="1235" ht="24.95" customHeight="1"/>
    <row r="1236" ht="24.95" customHeight="1"/>
    <row r="1237" ht="24.95" customHeight="1"/>
    <row r="1238" ht="24.95" customHeight="1"/>
    <row r="1239" ht="24.95" customHeight="1"/>
    <row r="1240" ht="24.95" customHeight="1"/>
    <row r="1241" ht="24.95" customHeight="1"/>
    <row r="1242" ht="24.95" customHeight="1"/>
    <row r="1243" ht="24.95" customHeight="1"/>
    <row r="1244" ht="24.95" customHeight="1"/>
    <row r="1245" ht="24.95" customHeight="1"/>
    <row r="1246" ht="24.95" customHeight="1"/>
    <row r="1247" ht="24.95" customHeight="1"/>
    <row r="1248" ht="24.95" customHeight="1"/>
    <row r="1249" ht="24.95" customHeight="1"/>
    <row r="1250" ht="24.95" customHeight="1"/>
    <row r="1251" ht="24.95" customHeight="1"/>
    <row r="1252" ht="24.95" customHeight="1"/>
    <row r="1253" ht="24.95" customHeight="1"/>
    <row r="1254" ht="24.95" customHeight="1"/>
    <row r="1255" ht="24.95" customHeight="1"/>
    <row r="1256" ht="24.95" customHeight="1"/>
    <row r="1257" ht="24.95" customHeight="1"/>
    <row r="1258" ht="24.95" customHeight="1"/>
    <row r="1259" ht="24.95" customHeight="1"/>
    <row r="1260" ht="24.95" customHeight="1"/>
    <row r="1261" ht="24.95" customHeight="1"/>
    <row r="1262" ht="24.95" customHeight="1"/>
    <row r="1263" ht="24.95" customHeight="1"/>
    <row r="1264" ht="24.95" customHeight="1"/>
    <row r="1265" ht="24.95" customHeight="1"/>
    <row r="1266" ht="24.95" customHeight="1"/>
    <row r="1267" ht="24.95" customHeight="1"/>
    <row r="1268" ht="24.95" customHeight="1"/>
    <row r="1269" ht="24.95" customHeight="1"/>
    <row r="1270" ht="24.95" customHeight="1"/>
    <row r="1271" ht="24.95" customHeight="1"/>
    <row r="1272" ht="24.95" customHeight="1"/>
    <row r="1273" ht="24.95" customHeight="1"/>
    <row r="1274" ht="24.95" customHeight="1"/>
    <row r="1275" ht="24.95" customHeight="1"/>
    <row r="1276" ht="24.95" customHeight="1"/>
    <row r="1277" ht="24.95" customHeight="1"/>
    <row r="1278" ht="24.95" customHeight="1"/>
    <row r="1279" ht="24.95" customHeight="1"/>
    <row r="1280" ht="24.95" customHeight="1"/>
    <row r="1281" ht="24.95" customHeight="1"/>
    <row r="1282" ht="24.95" customHeight="1"/>
    <row r="1283" ht="24.95" customHeight="1"/>
    <row r="1284" ht="24.95" customHeight="1"/>
    <row r="1285" ht="24.95" customHeight="1"/>
    <row r="1286" ht="24.95" customHeight="1"/>
    <row r="1287" ht="24.95" customHeight="1"/>
    <row r="1288" ht="24.95" customHeight="1"/>
    <row r="1289" ht="24.95" customHeight="1"/>
    <row r="1290" ht="24.95" customHeight="1"/>
    <row r="1291" ht="24.95" customHeight="1"/>
    <row r="1292" ht="24.95" customHeight="1"/>
    <row r="1293" ht="24.95" customHeight="1"/>
    <row r="1294" ht="24.95" customHeight="1"/>
    <row r="1295" ht="24.95" customHeight="1"/>
    <row r="1296" ht="24.95" customHeight="1"/>
    <row r="1297" ht="24.95" customHeight="1"/>
    <row r="1298" ht="24.95" customHeight="1"/>
    <row r="1299" ht="24.95" customHeight="1"/>
    <row r="1300" ht="24.95" customHeight="1"/>
    <row r="1301" ht="24.95" customHeight="1"/>
    <row r="1302" ht="24.95" customHeight="1"/>
    <row r="1303" ht="24.95" customHeight="1"/>
    <row r="1304" ht="24.95" customHeight="1"/>
    <row r="1305" ht="24.95" customHeight="1"/>
    <row r="1306" ht="24.95" customHeight="1"/>
    <row r="1307" ht="24.95" customHeight="1"/>
    <row r="1308" ht="24.95" customHeight="1"/>
    <row r="1309" ht="24.95" customHeight="1"/>
    <row r="1310" ht="24.95" customHeight="1"/>
    <row r="1311" ht="24.95" customHeight="1"/>
    <row r="1312" ht="24.95" customHeight="1"/>
    <row r="1313" ht="24.95" customHeight="1"/>
    <row r="1314" ht="24.95" customHeight="1"/>
    <row r="1315" ht="24.95" customHeight="1"/>
    <row r="1316" ht="24.95" customHeight="1"/>
    <row r="1317" ht="24.95" customHeight="1"/>
    <row r="1318" ht="24.95" customHeight="1"/>
    <row r="1319" ht="24.95" customHeight="1"/>
    <row r="1320" ht="24.95" customHeight="1"/>
    <row r="1321" ht="24.95" customHeight="1"/>
    <row r="1322" ht="24.95" customHeight="1"/>
    <row r="1323" ht="24.95" customHeight="1"/>
    <row r="1324" ht="24.95" customHeight="1"/>
    <row r="1325" ht="24.95" customHeight="1"/>
    <row r="1326" ht="24.95" customHeight="1"/>
    <row r="1327" ht="24.95" customHeight="1"/>
    <row r="1328" ht="24.95" customHeight="1"/>
    <row r="1329" ht="24.95" customHeight="1"/>
    <row r="1330" ht="24.95" customHeight="1"/>
    <row r="1331" ht="24.95" customHeight="1"/>
    <row r="1332" ht="24.95" customHeight="1"/>
    <row r="1333" ht="24.95" customHeight="1"/>
    <row r="1334" ht="24.95" customHeight="1"/>
    <row r="1335" ht="24.95" customHeight="1"/>
    <row r="1336" ht="24.95" customHeight="1"/>
    <row r="1337" ht="24.95" customHeight="1"/>
    <row r="1338" ht="24.95" customHeight="1"/>
    <row r="1339" ht="24.95" customHeight="1"/>
    <row r="1340" ht="24.95" customHeight="1"/>
    <row r="1341" ht="24.95" customHeight="1"/>
    <row r="1342" ht="24.95" customHeight="1"/>
    <row r="1343" ht="24.95" customHeight="1"/>
    <row r="1344" ht="24.95" customHeight="1"/>
    <row r="1345" ht="24.95" customHeight="1"/>
    <row r="1346" ht="24.95" customHeight="1"/>
    <row r="1347" ht="24.95" customHeight="1"/>
    <row r="1348" ht="24.95" customHeight="1"/>
    <row r="1349" ht="24.95" customHeight="1"/>
    <row r="1350" ht="24.95" customHeight="1"/>
    <row r="1351" ht="24.95" customHeight="1"/>
    <row r="1352" ht="24.95" customHeight="1"/>
    <row r="1353" ht="24.95" customHeight="1"/>
    <row r="1354" ht="24.95" customHeight="1"/>
    <row r="1355" ht="24.95" customHeight="1"/>
    <row r="1356" ht="24.95" customHeight="1"/>
    <row r="1357" ht="24.95" customHeight="1"/>
    <row r="1358" ht="24.95" customHeight="1"/>
    <row r="1359" ht="24.95" customHeight="1"/>
    <row r="1360" ht="24.95" customHeight="1"/>
    <row r="1361" ht="24.95" customHeight="1"/>
    <row r="1362" ht="24.95" customHeight="1"/>
    <row r="1363" ht="24.95" customHeight="1"/>
    <row r="1364" ht="24.95" customHeight="1"/>
    <row r="1365" ht="24.95" customHeight="1"/>
    <row r="1366" ht="24.95" customHeight="1"/>
    <row r="1367" ht="24.95" customHeight="1"/>
    <row r="1368" ht="24.95" customHeight="1"/>
    <row r="1369" ht="24.95" customHeight="1"/>
    <row r="1370" ht="24.95" customHeight="1"/>
    <row r="1371" ht="24.95" customHeight="1"/>
    <row r="1372" ht="24.95" customHeight="1"/>
    <row r="1373" ht="24.95" customHeight="1"/>
    <row r="1374" ht="24.95" customHeight="1"/>
    <row r="1375" ht="24.95" customHeight="1"/>
    <row r="1376" ht="24.95" customHeight="1"/>
    <row r="1377" ht="24.95" customHeight="1"/>
    <row r="1378" ht="24.95" customHeight="1"/>
    <row r="1379" ht="24.95" customHeight="1"/>
    <row r="1380" ht="24.95" customHeight="1"/>
    <row r="1381" ht="24.95" customHeight="1"/>
    <row r="1382" ht="24.95" customHeight="1"/>
    <row r="1383" ht="24.95" customHeight="1"/>
    <row r="1384" ht="24.95" customHeight="1"/>
    <row r="1385" ht="24.95" customHeight="1"/>
    <row r="1386" ht="24.95" customHeight="1"/>
    <row r="1387" ht="24.95" customHeight="1"/>
    <row r="1388" ht="24.95" customHeight="1"/>
    <row r="1389" ht="24.95" customHeight="1"/>
    <row r="1390" ht="24.95" customHeight="1"/>
    <row r="1391" ht="24.95" customHeight="1"/>
    <row r="1392" ht="24.95" customHeight="1"/>
    <row r="1393" ht="24.95" customHeight="1"/>
    <row r="1394" ht="24.95" customHeight="1"/>
    <row r="1395" ht="24.95" customHeight="1"/>
    <row r="1396" ht="24.95" customHeight="1"/>
    <row r="1397" ht="24.95" customHeight="1"/>
    <row r="1398" ht="24.95" customHeight="1"/>
    <row r="1399" ht="24.95" customHeight="1"/>
    <row r="1400" ht="24.95" customHeight="1"/>
    <row r="1401" ht="24.95" customHeight="1"/>
    <row r="1402" ht="24.95" customHeight="1"/>
    <row r="1403" ht="24.95" customHeight="1"/>
    <row r="1404" ht="24.95" customHeight="1"/>
    <row r="1405" ht="24.95" customHeight="1"/>
    <row r="1406" ht="24.95" customHeight="1"/>
    <row r="1407" ht="24.95" customHeight="1"/>
    <row r="1408" ht="24.95" customHeight="1"/>
    <row r="1409" ht="24.95" customHeight="1"/>
    <row r="1410" ht="24.95" customHeight="1"/>
    <row r="1411" ht="24.95" customHeight="1"/>
    <row r="1412" ht="24.95" customHeight="1"/>
    <row r="1413" ht="24.95" customHeight="1"/>
    <row r="1414" ht="24.95" customHeight="1"/>
    <row r="1415" ht="24.95" customHeight="1"/>
    <row r="1416" ht="24.95" customHeight="1"/>
    <row r="1417" ht="24.95" customHeight="1"/>
    <row r="1418" ht="24.95" customHeight="1"/>
    <row r="1419" ht="24.95" customHeight="1"/>
    <row r="1420" ht="24.95" customHeight="1"/>
    <row r="1421" ht="24.95" customHeight="1"/>
    <row r="1422" ht="24.95" customHeight="1"/>
    <row r="1423" ht="24.95" customHeight="1"/>
    <row r="1424" ht="24.95" customHeight="1"/>
    <row r="1425" ht="24.95" customHeight="1"/>
    <row r="1426" ht="24.95" customHeight="1"/>
    <row r="1427" ht="24.95" customHeight="1"/>
    <row r="1428" ht="24.95" customHeight="1"/>
    <row r="1429" ht="24.95" customHeight="1"/>
    <row r="1430" ht="24.95" customHeight="1"/>
    <row r="1431" ht="24.95" customHeight="1"/>
    <row r="1432" ht="24.95" customHeight="1"/>
    <row r="1433" ht="24.95" customHeight="1"/>
    <row r="1434" ht="24.95" customHeight="1"/>
    <row r="1435" ht="24.95" customHeight="1"/>
    <row r="1436" ht="24.95" customHeight="1"/>
    <row r="1437" ht="24.95" customHeight="1"/>
    <row r="1438" ht="24.95" customHeight="1"/>
    <row r="1439" ht="24.95" customHeight="1"/>
    <row r="1440" ht="24.95" customHeight="1"/>
    <row r="1441" ht="24.95" customHeight="1"/>
    <row r="1442" ht="24.95" customHeight="1"/>
    <row r="1443" ht="24.95" customHeight="1"/>
    <row r="1444" ht="24.95" customHeight="1"/>
    <row r="1445" ht="24.95" customHeight="1"/>
    <row r="1446" ht="24.95" customHeight="1"/>
    <row r="1447" ht="24.95" customHeight="1"/>
    <row r="1448" ht="24.95" customHeight="1"/>
    <row r="1449" ht="24.95" customHeight="1"/>
    <row r="1450" ht="24.95" customHeight="1"/>
    <row r="1451" ht="24.95" customHeight="1"/>
    <row r="1452" ht="24.95" customHeight="1"/>
    <row r="1453" ht="24.95" customHeight="1"/>
    <row r="1454" ht="24.95" customHeight="1"/>
    <row r="1455" ht="24.95" customHeight="1"/>
    <row r="1456" ht="24.95" customHeight="1"/>
    <row r="1457" ht="24.95" customHeight="1"/>
    <row r="1458" ht="24.95" customHeight="1"/>
    <row r="1459" ht="24.95" customHeight="1"/>
    <row r="1460" ht="24.95" customHeight="1"/>
    <row r="1461" ht="24.95" customHeight="1"/>
  </sheetData>
  <phoneticPr fontId="0" type="noConversion"/>
  <pageMargins left="0.39370078740157483" right="0" top="0.78740157480314965" bottom="0.78740157480314965" header="0" footer="0"/>
  <pageSetup paperSize="9" scale="9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25"/>
  <dimension ref="A2:I332"/>
  <sheetViews>
    <sheetView workbookViewId="0" xr3:uid="{762215AB-03FA-5155-B868-AA11ECFE6524}">
      <selection activeCell="D5" sqref="D5"/>
    </sheetView>
  </sheetViews>
  <sheetFormatPr defaultRowHeight="12.75"/>
  <cols>
    <col min="1" max="1" width="5.140625" customWidth="1"/>
    <col min="2" max="2" width="6.7109375" customWidth="1"/>
    <col min="3" max="3" width="11.42578125" customWidth="1"/>
    <col min="4" max="4" width="9.85546875" customWidth="1"/>
    <col min="5" max="5" width="11.42578125" customWidth="1"/>
    <col min="6" max="6" width="17.5703125" customWidth="1"/>
    <col min="7" max="7" width="9.140625" customWidth="1"/>
    <col min="8" max="8" width="11.5703125" bestFit="1" customWidth="1"/>
    <col min="9" max="256" width="11.42578125" customWidth="1"/>
  </cols>
  <sheetData>
    <row r="2" spans="1:8">
      <c r="C2" s="1" t="s">
        <v>729</v>
      </c>
    </row>
    <row r="5" spans="1:8">
      <c r="B5" s="12"/>
      <c r="C5" t="s">
        <v>730</v>
      </c>
      <c r="D5">
        <v>3013</v>
      </c>
      <c r="E5" t="s">
        <v>731</v>
      </c>
      <c r="F5" s="12">
        <f>D43</f>
        <v>117.05329999999999</v>
      </c>
      <c r="G5" s="92" t="s">
        <v>732</v>
      </c>
      <c r="H5" s="14">
        <f>D5/F5</f>
        <v>25.740410565101541</v>
      </c>
    </row>
    <row r="7" spans="1:8" ht="13.5" thickBot="1">
      <c r="A7" s="42" t="s">
        <v>733</v>
      </c>
    </row>
    <row r="8" spans="1:8" s="53" customFormat="1" ht="25.5" customHeight="1">
      <c r="A8" s="50" t="s">
        <v>734</v>
      </c>
      <c r="B8" s="50" t="s">
        <v>135</v>
      </c>
      <c r="C8" s="50" t="s">
        <v>136</v>
      </c>
      <c r="D8" s="50" t="s">
        <v>138</v>
      </c>
      <c r="E8" s="51" t="s">
        <v>140</v>
      </c>
      <c r="F8" s="52"/>
      <c r="G8" s="50" t="s">
        <v>735</v>
      </c>
    </row>
    <row r="9" spans="1:8">
      <c r="A9" s="5">
        <v>1</v>
      </c>
      <c r="B9" s="5">
        <v>1213</v>
      </c>
      <c r="C9" s="5">
        <v>1</v>
      </c>
      <c r="D9" s="21">
        <v>10.5</v>
      </c>
      <c r="E9" s="5" t="s">
        <v>736</v>
      </c>
      <c r="F9" s="43"/>
      <c r="G9" s="38">
        <f t="shared" ref="G9:G42" si="0">D9*$H$5</f>
        <v>270.2743109335662</v>
      </c>
    </row>
    <row r="10" spans="1:8">
      <c r="A10" s="5">
        <v>1</v>
      </c>
      <c r="B10" s="5">
        <v>1213</v>
      </c>
      <c r="C10" s="5">
        <v>2</v>
      </c>
      <c r="D10" s="21">
        <v>11.535600000000001</v>
      </c>
      <c r="E10" s="5" t="s">
        <v>736</v>
      </c>
      <c r="F10" s="43"/>
      <c r="G10" s="38">
        <f t="shared" si="0"/>
        <v>296.93108011478535</v>
      </c>
    </row>
    <row r="11" spans="1:8">
      <c r="A11" s="5">
        <v>1</v>
      </c>
      <c r="B11" s="5">
        <v>1213</v>
      </c>
      <c r="C11" s="5">
        <v>3</v>
      </c>
      <c r="D11" s="21">
        <v>6.6398999999999999</v>
      </c>
      <c r="E11" s="5" t="s">
        <v>736</v>
      </c>
      <c r="F11" s="43"/>
      <c r="G11" s="38">
        <f t="shared" si="0"/>
        <v>170.91375211121772</v>
      </c>
    </row>
    <row r="12" spans="1:8">
      <c r="A12" s="5">
        <v>2</v>
      </c>
      <c r="B12" s="5">
        <v>1213</v>
      </c>
      <c r="C12" s="5">
        <v>140</v>
      </c>
      <c r="D12" s="21">
        <v>0.14330000000000001</v>
      </c>
      <c r="E12" s="5" t="s">
        <v>491</v>
      </c>
      <c r="F12" s="43"/>
      <c r="G12" s="38">
        <f t="shared" si="0"/>
        <v>3.6886008339790513</v>
      </c>
    </row>
    <row r="13" spans="1:8">
      <c r="A13" s="5">
        <v>2</v>
      </c>
      <c r="B13" s="5">
        <v>1213</v>
      </c>
      <c r="C13" s="5">
        <v>184</v>
      </c>
      <c r="D13" s="21">
        <v>0.79900000000000004</v>
      </c>
      <c r="E13" s="5" t="s">
        <v>491</v>
      </c>
      <c r="F13" s="43"/>
      <c r="G13" s="38">
        <f t="shared" si="0"/>
        <v>20.566588041516134</v>
      </c>
    </row>
    <row r="14" spans="1:8">
      <c r="A14" s="5">
        <v>4</v>
      </c>
      <c r="B14" s="5">
        <v>1213</v>
      </c>
      <c r="C14" s="5">
        <v>141</v>
      </c>
      <c r="D14" s="21">
        <v>1.0466</v>
      </c>
      <c r="E14" s="5" t="s">
        <v>737</v>
      </c>
      <c r="F14" s="43"/>
      <c r="G14" s="38">
        <f t="shared" si="0"/>
        <v>26.939913697435273</v>
      </c>
    </row>
    <row r="15" spans="1:8">
      <c r="A15" s="5">
        <v>5</v>
      </c>
      <c r="B15" s="5">
        <v>1213</v>
      </c>
      <c r="C15" s="5">
        <v>143</v>
      </c>
      <c r="D15" s="21">
        <v>0.05</v>
      </c>
      <c r="E15" s="5" t="s">
        <v>738</v>
      </c>
      <c r="F15" s="43"/>
      <c r="G15" s="38">
        <f t="shared" si="0"/>
        <v>1.2870205282550771</v>
      </c>
    </row>
    <row r="16" spans="1:8">
      <c r="A16" s="5">
        <v>6</v>
      </c>
      <c r="B16" s="5">
        <v>1213</v>
      </c>
      <c r="C16" s="5">
        <v>151</v>
      </c>
      <c r="D16" s="21">
        <v>0.92059999999999997</v>
      </c>
      <c r="E16" s="5" t="s">
        <v>739</v>
      </c>
      <c r="F16" s="43"/>
      <c r="G16" s="38">
        <f t="shared" si="0"/>
        <v>23.696621966232478</v>
      </c>
    </row>
    <row r="17" spans="1:7">
      <c r="A17" s="5">
        <v>8</v>
      </c>
      <c r="B17" s="5">
        <v>1213</v>
      </c>
      <c r="C17" s="5">
        <v>305</v>
      </c>
      <c r="D17" s="21">
        <v>32.580100000000002</v>
      </c>
      <c r="E17" s="5" t="s">
        <v>740</v>
      </c>
      <c r="F17" s="43"/>
      <c r="G17" s="38">
        <f t="shared" si="0"/>
        <v>838.62515025206471</v>
      </c>
    </row>
    <row r="18" spans="1:7">
      <c r="A18" s="5">
        <v>10</v>
      </c>
      <c r="B18" s="5">
        <v>1213</v>
      </c>
      <c r="C18" s="5">
        <v>304</v>
      </c>
      <c r="D18" s="21">
        <v>9.5116999999999994</v>
      </c>
      <c r="E18" s="5" t="s">
        <v>156</v>
      </c>
      <c r="F18" s="43"/>
      <c r="G18" s="38">
        <f t="shared" si="0"/>
        <v>244.8350631720763</v>
      </c>
    </row>
    <row r="19" spans="1:7">
      <c r="A19" s="5">
        <v>11</v>
      </c>
      <c r="B19" s="5">
        <v>1213</v>
      </c>
      <c r="C19" s="5">
        <v>194</v>
      </c>
      <c r="D19" s="21">
        <v>6.1170999999999998</v>
      </c>
      <c r="E19" s="5" t="s">
        <v>741</v>
      </c>
      <c r="F19" s="43"/>
      <c r="G19" s="38">
        <f t="shared" si="0"/>
        <v>157.45666546778264</v>
      </c>
    </row>
    <row r="20" spans="1:7">
      <c r="A20" s="5">
        <v>12</v>
      </c>
      <c r="B20" s="5">
        <v>1213</v>
      </c>
      <c r="C20" s="5">
        <v>259</v>
      </c>
      <c r="D20" s="21">
        <v>0.80359999999999998</v>
      </c>
      <c r="E20" s="5" t="s">
        <v>742</v>
      </c>
      <c r="F20" s="43"/>
      <c r="G20" s="38">
        <f t="shared" si="0"/>
        <v>20.684993930115599</v>
      </c>
    </row>
    <row r="21" spans="1:7">
      <c r="A21" s="5">
        <v>13</v>
      </c>
      <c r="B21" s="5">
        <v>1213</v>
      </c>
      <c r="C21" s="5">
        <v>260</v>
      </c>
      <c r="D21" s="21">
        <v>0.69989999999999997</v>
      </c>
      <c r="E21" s="5" t="s">
        <v>743</v>
      </c>
      <c r="F21" s="43"/>
      <c r="G21" s="38">
        <f t="shared" si="0"/>
        <v>18.015713354514567</v>
      </c>
    </row>
    <row r="22" spans="1:7">
      <c r="A22" s="5">
        <v>14</v>
      </c>
      <c r="B22" s="5">
        <v>1213</v>
      </c>
      <c r="C22" s="5">
        <v>261</v>
      </c>
      <c r="D22" s="21">
        <v>0.68989999999999996</v>
      </c>
      <c r="E22" s="5" t="s">
        <v>744</v>
      </c>
      <c r="F22" s="43"/>
      <c r="G22" s="38">
        <f t="shared" si="0"/>
        <v>17.758309248863551</v>
      </c>
    </row>
    <row r="23" spans="1:7">
      <c r="A23" s="5">
        <v>15</v>
      </c>
      <c r="B23" s="5">
        <v>1213</v>
      </c>
      <c r="C23" s="5">
        <v>262</v>
      </c>
      <c r="D23" s="21">
        <v>0.67989999999999995</v>
      </c>
      <c r="E23" s="5" t="s">
        <v>745</v>
      </c>
      <c r="F23" s="43"/>
      <c r="G23" s="38">
        <f t="shared" si="0"/>
        <v>17.500905143212538</v>
      </c>
    </row>
    <row r="24" spans="1:7">
      <c r="A24" s="5">
        <v>16</v>
      </c>
      <c r="B24" s="5">
        <v>1213</v>
      </c>
      <c r="C24" s="5">
        <v>17</v>
      </c>
      <c r="D24" s="21">
        <v>0.35780000000000001</v>
      </c>
      <c r="E24" s="5" t="s">
        <v>746</v>
      </c>
      <c r="F24" s="43"/>
      <c r="G24" s="38">
        <f t="shared" si="0"/>
        <v>9.2099189001933315</v>
      </c>
    </row>
    <row r="25" spans="1:7">
      <c r="A25" s="5">
        <v>17</v>
      </c>
      <c r="B25" s="5">
        <v>1213</v>
      </c>
      <c r="C25" s="5">
        <v>164</v>
      </c>
      <c r="D25" s="21">
        <v>0.17349999999999999</v>
      </c>
      <c r="E25" s="5" t="s">
        <v>747</v>
      </c>
      <c r="F25" s="43"/>
      <c r="G25" s="38">
        <f t="shared" si="0"/>
        <v>4.4659612330451175</v>
      </c>
    </row>
    <row r="26" spans="1:7">
      <c r="A26" s="5">
        <v>19</v>
      </c>
      <c r="B26" s="5">
        <v>1213</v>
      </c>
      <c r="C26" s="5">
        <v>214</v>
      </c>
      <c r="D26" s="21">
        <v>0.17030000000000001</v>
      </c>
      <c r="E26" s="5" t="s">
        <v>748</v>
      </c>
      <c r="F26" s="5"/>
      <c r="G26" s="38">
        <f t="shared" si="0"/>
        <v>4.3835919192367925</v>
      </c>
    </row>
    <row r="27" spans="1:7">
      <c r="A27" s="5">
        <v>20</v>
      </c>
      <c r="B27" s="5">
        <v>1213</v>
      </c>
      <c r="C27" s="5">
        <v>81</v>
      </c>
      <c r="D27" s="21">
        <v>0.7</v>
      </c>
      <c r="E27" s="5" t="s">
        <v>749</v>
      </c>
      <c r="F27" s="43"/>
      <c r="G27" s="38">
        <f t="shared" si="0"/>
        <v>18.018287395571079</v>
      </c>
    </row>
    <row r="28" spans="1:7">
      <c r="A28" s="5">
        <v>21</v>
      </c>
      <c r="B28" s="5">
        <v>1213</v>
      </c>
      <c r="C28" s="5">
        <v>80</v>
      </c>
      <c r="D28" s="21">
        <v>0.32269999999999999</v>
      </c>
      <c r="E28" s="5" t="s">
        <v>750</v>
      </c>
      <c r="F28" s="43"/>
      <c r="G28" s="38">
        <f t="shared" si="0"/>
        <v>8.3064304893582666</v>
      </c>
    </row>
    <row r="29" spans="1:7">
      <c r="A29" s="5">
        <v>23</v>
      </c>
      <c r="B29" s="5">
        <v>1213</v>
      </c>
      <c r="C29" s="5">
        <v>82</v>
      </c>
      <c r="D29" s="21">
        <v>0.65</v>
      </c>
      <c r="E29" s="5" t="s">
        <v>409</v>
      </c>
      <c r="F29" s="43"/>
      <c r="G29" s="38">
        <f t="shared" si="0"/>
        <v>16.731266867316002</v>
      </c>
    </row>
    <row r="30" spans="1:7">
      <c r="A30" s="5">
        <v>24</v>
      </c>
      <c r="B30" s="5">
        <v>1213</v>
      </c>
      <c r="C30" s="5">
        <v>83</v>
      </c>
      <c r="D30" s="21">
        <v>6.4714</v>
      </c>
      <c r="E30" s="5" t="s">
        <v>751</v>
      </c>
      <c r="F30" s="43"/>
      <c r="G30" s="38">
        <f t="shared" si="0"/>
        <v>166.57649293099811</v>
      </c>
    </row>
    <row r="31" spans="1:7">
      <c r="A31" s="5">
        <v>25</v>
      </c>
      <c r="B31" s="5">
        <v>1213</v>
      </c>
      <c r="C31" s="5">
        <v>243</v>
      </c>
      <c r="D31" s="21">
        <v>0.1162</v>
      </c>
      <c r="E31" s="5" t="s">
        <v>752</v>
      </c>
      <c r="F31" s="5"/>
      <c r="G31" s="38">
        <f t="shared" si="0"/>
        <v>2.9910357076647989</v>
      </c>
    </row>
    <row r="32" spans="1:7">
      <c r="A32" s="5">
        <v>26</v>
      </c>
      <c r="B32" s="5">
        <v>1213</v>
      </c>
      <c r="C32" s="5">
        <v>248</v>
      </c>
      <c r="D32" s="21">
        <v>1</v>
      </c>
      <c r="E32" s="5" t="s">
        <v>752</v>
      </c>
      <c r="F32" s="5"/>
      <c r="G32" s="38">
        <f t="shared" si="0"/>
        <v>25.740410565101541</v>
      </c>
    </row>
    <row r="33" spans="1:7">
      <c r="A33" s="5">
        <v>27</v>
      </c>
      <c r="B33" s="5">
        <v>1213</v>
      </c>
      <c r="C33" s="5">
        <v>283</v>
      </c>
      <c r="D33" s="21">
        <v>0.1162</v>
      </c>
      <c r="E33" s="5" t="s">
        <v>752</v>
      </c>
      <c r="F33" s="5"/>
      <c r="G33" s="38">
        <f t="shared" si="0"/>
        <v>2.9910357076647989</v>
      </c>
    </row>
    <row r="34" spans="1:7">
      <c r="A34" s="5">
        <v>28</v>
      </c>
      <c r="B34" s="5">
        <v>1213</v>
      </c>
      <c r="C34" s="5">
        <v>247</v>
      </c>
      <c r="D34" s="21">
        <v>11.038</v>
      </c>
      <c r="E34" s="5" t="s">
        <v>752</v>
      </c>
      <c r="F34" s="43"/>
      <c r="G34" s="38">
        <f t="shared" si="0"/>
        <v>284.12265181759079</v>
      </c>
    </row>
    <row r="35" spans="1:7">
      <c r="A35" s="5">
        <v>29</v>
      </c>
      <c r="B35" s="5">
        <v>1213</v>
      </c>
      <c r="C35" s="5">
        <v>246</v>
      </c>
      <c r="D35" s="21">
        <v>3.5491000000000001</v>
      </c>
      <c r="E35" s="5" t="s">
        <v>753</v>
      </c>
      <c r="F35" s="43"/>
      <c r="G35" s="38">
        <f t="shared" si="0"/>
        <v>91.355291136601878</v>
      </c>
    </row>
    <row r="36" spans="1:7">
      <c r="A36" s="5">
        <v>30</v>
      </c>
      <c r="B36" s="5">
        <v>1213</v>
      </c>
      <c r="C36" s="5">
        <v>290</v>
      </c>
      <c r="D36" s="21">
        <v>0.55720000000000003</v>
      </c>
      <c r="E36" s="5" t="s">
        <v>754</v>
      </c>
      <c r="F36" s="5"/>
      <c r="G36" s="38">
        <f t="shared" si="0"/>
        <v>14.34255676687458</v>
      </c>
    </row>
    <row r="37" spans="1:7">
      <c r="A37" s="5">
        <v>31</v>
      </c>
      <c r="B37" s="5">
        <v>1213</v>
      </c>
      <c r="C37" s="5">
        <v>21</v>
      </c>
      <c r="D37" s="21">
        <v>1.1616</v>
      </c>
      <c r="E37" s="5" t="s">
        <v>754</v>
      </c>
      <c r="F37" s="43"/>
      <c r="G37" s="38">
        <f t="shared" si="0"/>
        <v>29.900060912421949</v>
      </c>
    </row>
    <row r="38" spans="1:7">
      <c r="A38" s="5">
        <v>32</v>
      </c>
      <c r="B38" s="5">
        <v>1213</v>
      </c>
      <c r="C38" s="5">
        <v>75</v>
      </c>
      <c r="D38" s="21">
        <v>0.65669999999999995</v>
      </c>
      <c r="E38" s="5" t="s">
        <v>755</v>
      </c>
      <c r="F38" s="43"/>
      <c r="G38" s="38">
        <f t="shared" si="0"/>
        <v>16.903727618102181</v>
      </c>
    </row>
    <row r="39" spans="1:7">
      <c r="A39" s="5">
        <v>33</v>
      </c>
      <c r="B39" s="5">
        <v>1213</v>
      </c>
      <c r="C39" s="5">
        <v>292</v>
      </c>
      <c r="D39" s="21">
        <v>0.22500000000000001</v>
      </c>
      <c r="E39" s="5" t="s">
        <v>756</v>
      </c>
      <c r="F39" s="5"/>
      <c r="G39" s="38">
        <f t="shared" si="0"/>
        <v>5.7915923771478468</v>
      </c>
    </row>
    <row r="40" spans="1:7">
      <c r="A40" s="5">
        <v>34</v>
      </c>
      <c r="B40" s="5">
        <v>1213</v>
      </c>
      <c r="C40" s="5">
        <v>293</v>
      </c>
      <c r="D40" s="21">
        <v>3.4775999999999998</v>
      </c>
      <c r="E40" s="5" t="s">
        <v>756</v>
      </c>
      <c r="F40" s="5"/>
      <c r="G40" s="38">
        <f t="shared" si="0"/>
        <v>89.514851781197109</v>
      </c>
    </row>
    <row r="41" spans="1:7">
      <c r="A41" s="5">
        <v>36</v>
      </c>
      <c r="B41" s="5">
        <v>1213</v>
      </c>
      <c r="C41" s="5">
        <v>297</v>
      </c>
      <c r="D41" s="21">
        <v>3.5628000000000002</v>
      </c>
      <c r="E41" s="5" t="s">
        <v>756</v>
      </c>
      <c r="F41" s="5"/>
      <c r="G41" s="38">
        <f t="shared" si="0"/>
        <v>91.707934761343779</v>
      </c>
    </row>
    <row r="42" spans="1:7">
      <c r="A42" s="5">
        <v>37</v>
      </c>
      <c r="B42" s="5">
        <v>1213</v>
      </c>
      <c r="C42" s="5">
        <v>322</v>
      </c>
      <c r="D42" s="21">
        <v>0.03</v>
      </c>
      <c r="E42" s="5" t="s">
        <v>757</v>
      </c>
      <c r="F42" s="5"/>
      <c r="G42" s="38">
        <f t="shared" si="0"/>
        <v>0.77221231695304626</v>
      </c>
    </row>
    <row r="43" spans="1:7">
      <c r="A43" s="5"/>
      <c r="B43" s="5"/>
      <c r="C43" s="5"/>
      <c r="D43" s="25">
        <f>SUM(D9:D42)</f>
        <v>117.05329999999999</v>
      </c>
      <c r="E43" s="5"/>
      <c r="F43" s="5"/>
      <c r="G43" s="38">
        <f>SUM(G9:G42)</f>
        <v>3013.0000000000005</v>
      </c>
    </row>
    <row r="44" spans="1:7">
      <c r="A44" s="10"/>
      <c r="B44" s="10"/>
      <c r="C44" s="10"/>
      <c r="D44" s="68"/>
      <c r="E44" s="10"/>
      <c r="F44" s="10"/>
      <c r="G44" s="10"/>
    </row>
    <row r="45" spans="1:7">
      <c r="A45" s="10"/>
      <c r="B45" s="10"/>
      <c r="C45" s="10"/>
      <c r="D45" s="68"/>
      <c r="E45" s="10"/>
      <c r="F45" s="10"/>
      <c r="G45" s="10"/>
    </row>
    <row r="46" spans="1:7">
      <c r="A46" s="10"/>
      <c r="B46" s="10"/>
      <c r="C46" s="10"/>
      <c r="D46" s="68"/>
      <c r="E46" s="10"/>
      <c r="F46" s="10"/>
      <c r="G46" s="10"/>
    </row>
    <row r="47" spans="1:7">
      <c r="A47" s="10"/>
      <c r="B47" s="10"/>
      <c r="C47" s="10"/>
      <c r="D47" s="68"/>
      <c r="E47" s="10"/>
      <c r="F47" s="10"/>
      <c r="G47" s="10"/>
    </row>
    <row r="48" spans="1:7">
      <c r="A48" s="10"/>
      <c r="B48" s="10"/>
      <c r="C48" s="10"/>
      <c r="D48" s="68"/>
      <c r="E48" s="10"/>
      <c r="F48" s="10"/>
      <c r="G48" s="10"/>
    </row>
    <row r="49" spans="1:8">
      <c r="A49" s="10"/>
      <c r="B49" s="10"/>
      <c r="C49" s="10"/>
      <c r="D49" s="68"/>
      <c r="E49" s="10"/>
      <c r="F49" s="10"/>
      <c r="G49" s="10"/>
    </row>
    <row r="50" spans="1:8">
      <c r="A50" s="10"/>
      <c r="B50" s="10"/>
      <c r="C50" s="10"/>
      <c r="D50" s="68"/>
      <c r="E50" s="10"/>
      <c r="F50" s="10"/>
      <c r="G50" s="10"/>
    </row>
    <row r="51" spans="1:8">
      <c r="A51" s="10"/>
      <c r="B51" s="10"/>
      <c r="C51" s="10"/>
      <c r="D51" s="68"/>
      <c r="E51" s="10"/>
      <c r="F51" s="10"/>
      <c r="G51" s="10"/>
    </row>
    <row r="52" spans="1:8">
      <c r="A52" s="10"/>
      <c r="B52" s="10"/>
      <c r="C52" s="10"/>
      <c r="D52" s="68"/>
      <c r="E52" s="10"/>
      <c r="F52" s="10"/>
      <c r="G52" s="10"/>
    </row>
    <row r="53" spans="1:8">
      <c r="A53" s="10"/>
      <c r="B53" s="10"/>
      <c r="C53" s="10"/>
      <c r="D53" s="68"/>
      <c r="E53" s="10"/>
      <c r="F53" s="10"/>
      <c r="G53" s="10"/>
    </row>
    <row r="54" spans="1:8">
      <c r="A54" s="10"/>
      <c r="B54" s="10"/>
      <c r="C54" s="10"/>
      <c r="D54" s="68"/>
      <c r="E54" s="10"/>
      <c r="F54" s="10"/>
      <c r="G54" s="10"/>
    </row>
    <row r="55" spans="1:8">
      <c r="A55" s="10"/>
      <c r="B55" s="10"/>
      <c r="C55" s="10"/>
      <c r="D55" s="68"/>
      <c r="E55" s="10"/>
      <c r="F55" s="10"/>
      <c r="G55" s="10"/>
    </row>
    <row r="56" spans="1:8">
      <c r="A56" s="10"/>
      <c r="B56" s="10"/>
      <c r="C56" s="10"/>
      <c r="D56" s="68"/>
      <c r="E56" s="10"/>
      <c r="F56" s="10"/>
      <c r="G56" s="10"/>
    </row>
    <row r="57" spans="1:8">
      <c r="A57" s="10"/>
      <c r="B57" s="10"/>
      <c r="C57" s="10"/>
      <c r="D57" s="68"/>
      <c r="E57" s="10"/>
      <c r="F57" s="10"/>
      <c r="G57" s="10"/>
    </row>
    <row r="58" spans="1:8">
      <c r="A58" s="69" t="s">
        <v>758</v>
      </c>
      <c r="B58" s="10"/>
      <c r="C58" s="10"/>
      <c r="D58" s="68"/>
      <c r="E58" s="10"/>
      <c r="F58" s="10"/>
      <c r="G58" s="10"/>
    </row>
    <row r="59" spans="1:8">
      <c r="C59" s="1" t="s">
        <v>729</v>
      </c>
    </row>
    <row r="62" spans="1:8">
      <c r="B62" s="12"/>
      <c r="C62" t="s">
        <v>730</v>
      </c>
      <c r="D62">
        <v>2350</v>
      </c>
      <c r="E62" t="s">
        <v>731</v>
      </c>
      <c r="F62" s="12">
        <f>D104</f>
        <v>96.999600000000001</v>
      </c>
      <c r="G62" s="92" t="s">
        <v>732</v>
      </c>
      <c r="H62" s="14">
        <f>D62/F62</f>
        <v>24.226904028470219</v>
      </c>
    </row>
    <row r="64" spans="1:8" ht="13.5" thickBot="1"/>
    <row r="65" spans="1:9" ht="39" thickBot="1">
      <c r="A65" s="50" t="s">
        <v>734</v>
      </c>
      <c r="B65" s="50" t="s">
        <v>135</v>
      </c>
      <c r="C65" s="50" t="s">
        <v>136</v>
      </c>
      <c r="D65" s="50" t="s">
        <v>138</v>
      </c>
      <c r="E65" s="51" t="s">
        <v>140</v>
      </c>
      <c r="F65" s="52"/>
      <c r="G65" s="50" t="s">
        <v>759</v>
      </c>
      <c r="H65" s="53"/>
      <c r="I65" s="53"/>
    </row>
    <row r="66" spans="1:9">
      <c r="A66" s="30">
        <v>1</v>
      </c>
      <c r="B66" s="23">
        <v>1213</v>
      </c>
      <c r="C66" s="23">
        <v>84</v>
      </c>
      <c r="D66" s="33">
        <v>2.6511999999999998</v>
      </c>
      <c r="E66" s="23" t="s">
        <v>760</v>
      </c>
      <c r="F66" s="23"/>
      <c r="G66" s="74">
        <f>D66*$H$62</f>
        <v>64.230367960280233</v>
      </c>
    </row>
    <row r="67" spans="1:9">
      <c r="A67" s="31">
        <v>2</v>
      </c>
      <c r="B67" s="5">
        <v>1213</v>
      </c>
      <c r="C67" s="5">
        <v>312</v>
      </c>
      <c r="D67" s="9">
        <v>11.285500000000001</v>
      </c>
      <c r="E67" s="5" t="s">
        <v>761</v>
      </c>
      <c r="F67" s="5"/>
      <c r="G67" s="74">
        <f t="shared" ref="G67:G103" si="1">D67*$H$62</f>
        <v>273.41272541330068</v>
      </c>
    </row>
    <row r="68" spans="1:9">
      <c r="A68" s="31">
        <v>4</v>
      </c>
      <c r="B68" s="5">
        <v>1213</v>
      </c>
      <c r="C68" s="5">
        <v>76</v>
      </c>
      <c r="D68" s="9">
        <v>0.67669999999999997</v>
      </c>
      <c r="E68" s="5" t="s">
        <v>762</v>
      </c>
      <c r="F68" s="5"/>
      <c r="G68" s="74">
        <f t="shared" si="1"/>
        <v>16.394345956065795</v>
      </c>
    </row>
    <row r="69" spans="1:9">
      <c r="A69" s="31">
        <v>5</v>
      </c>
      <c r="B69" s="5">
        <v>1213</v>
      </c>
      <c r="C69" s="5">
        <v>7</v>
      </c>
      <c r="D69" s="9">
        <v>0.183</v>
      </c>
      <c r="E69" s="5" t="s">
        <v>763</v>
      </c>
      <c r="F69" s="5"/>
      <c r="G69" s="74">
        <f t="shared" si="1"/>
        <v>4.4335234372100496</v>
      </c>
    </row>
    <row r="70" spans="1:9">
      <c r="A70" s="31">
        <v>7</v>
      </c>
      <c r="B70" s="5">
        <v>1213</v>
      </c>
      <c r="C70" s="5">
        <v>71</v>
      </c>
      <c r="D70" s="9">
        <v>9.2989999999999995</v>
      </c>
      <c r="E70" s="5" t="s">
        <v>764</v>
      </c>
      <c r="F70" s="5"/>
      <c r="G70" s="74">
        <f t="shared" si="1"/>
        <v>225.28598056074455</v>
      </c>
    </row>
    <row r="71" spans="1:9">
      <c r="A71" s="31">
        <v>7</v>
      </c>
      <c r="B71" s="5">
        <v>1213</v>
      </c>
      <c r="C71" s="5">
        <v>137</v>
      </c>
      <c r="D71" s="9">
        <v>1.2117</v>
      </c>
      <c r="E71" s="5" t="s">
        <v>765</v>
      </c>
      <c r="F71" s="5"/>
      <c r="G71" s="74">
        <f t="shared" si="1"/>
        <v>29.355739611297366</v>
      </c>
    </row>
    <row r="72" spans="1:9">
      <c r="A72" s="31">
        <v>7</v>
      </c>
      <c r="B72" s="5">
        <v>1213</v>
      </c>
      <c r="C72" s="5">
        <v>300</v>
      </c>
      <c r="D72" s="9">
        <v>9.1499999999999998E-2</v>
      </c>
      <c r="E72" s="5" t="s">
        <v>766</v>
      </c>
      <c r="F72" s="5"/>
      <c r="G72" s="74">
        <f t="shared" si="1"/>
        <v>2.2167617186050248</v>
      </c>
    </row>
    <row r="73" spans="1:9">
      <c r="A73" s="31">
        <v>8</v>
      </c>
      <c r="B73" s="5">
        <v>1213</v>
      </c>
      <c r="C73" s="5">
        <v>303</v>
      </c>
      <c r="D73" s="9">
        <v>3.2759999999999998</v>
      </c>
      <c r="E73" s="5" t="s">
        <v>767</v>
      </c>
      <c r="F73" s="5"/>
      <c r="G73" s="74">
        <f t="shared" si="1"/>
        <v>79.367337597268431</v>
      </c>
    </row>
    <row r="74" spans="1:9">
      <c r="A74" s="31">
        <v>8</v>
      </c>
      <c r="B74" s="5">
        <v>1213</v>
      </c>
      <c r="C74" s="5">
        <v>308</v>
      </c>
      <c r="D74" s="9">
        <v>7.9882999999999997</v>
      </c>
      <c r="E74" s="5" t="s">
        <v>767</v>
      </c>
      <c r="F74" s="5"/>
      <c r="G74" s="74">
        <f t="shared" si="1"/>
        <v>193.53177745062865</v>
      </c>
    </row>
    <row r="75" spans="1:9">
      <c r="A75" s="31">
        <v>19</v>
      </c>
      <c r="B75" s="5">
        <v>1213</v>
      </c>
      <c r="C75" s="5">
        <v>88</v>
      </c>
      <c r="D75" s="9">
        <v>14.723599999999999</v>
      </c>
      <c r="E75" s="5" t="s">
        <v>767</v>
      </c>
      <c r="F75" s="5"/>
      <c r="G75" s="74">
        <f t="shared" si="1"/>
        <v>356.7072441535841</v>
      </c>
    </row>
    <row r="76" spans="1:9">
      <c r="A76" s="31">
        <v>19</v>
      </c>
      <c r="B76" s="5">
        <v>1213</v>
      </c>
      <c r="C76" s="5">
        <v>159</v>
      </c>
      <c r="D76" s="9">
        <v>4.6924999999999999</v>
      </c>
      <c r="E76" s="5" t="s">
        <v>767</v>
      </c>
      <c r="F76" s="5"/>
      <c r="G76" s="74">
        <f t="shared" si="1"/>
        <v>113.6847471535965</v>
      </c>
    </row>
    <row r="77" spans="1:9">
      <c r="A77" s="31">
        <v>9</v>
      </c>
      <c r="B77" s="5">
        <v>1213</v>
      </c>
      <c r="C77" s="5">
        <v>91</v>
      </c>
      <c r="D77" s="9">
        <v>4.6063999999999998</v>
      </c>
      <c r="E77" s="5" t="s">
        <v>768</v>
      </c>
      <c r="F77" s="5"/>
      <c r="G77" s="74">
        <f t="shared" si="1"/>
        <v>111.59881071674522</v>
      </c>
    </row>
    <row r="78" spans="1:9">
      <c r="A78" s="31">
        <v>9</v>
      </c>
      <c r="B78" s="5">
        <v>1213</v>
      </c>
      <c r="C78" s="5">
        <v>92</v>
      </c>
      <c r="D78" s="9">
        <v>0.60699999999999998</v>
      </c>
      <c r="E78" s="5" t="s">
        <v>769</v>
      </c>
      <c r="F78" s="5"/>
      <c r="G78" s="74">
        <f t="shared" si="1"/>
        <v>14.705730745281423</v>
      </c>
    </row>
    <row r="79" spans="1:9">
      <c r="A79" s="31">
        <v>9</v>
      </c>
      <c r="B79" s="5">
        <v>1213</v>
      </c>
      <c r="C79" s="5">
        <v>93</v>
      </c>
      <c r="D79" s="9">
        <v>2.2999999999999998</v>
      </c>
      <c r="E79" s="5" t="s">
        <v>770</v>
      </c>
      <c r="F79" s="5"/>
      <c r="G79" s="74">
        <f t="shared" si="1"/>
        <v>55.721879265481498</v>
      </c>
    </row>
    <row r="80" spans="1:9">
      <c r="A80" s="31">
        <v>10</v>
      </c>
      <c r="B80" s="5">
        <v>1213</v>
      </c>
      <c r="C80" s="5">
        <v>306</v>
      </c>
      <c r="D80" s="9">
        <v>4.5285000000000002</v>
      </c>
      <c r="E80" s="5" t="s">
        <v>771</v>
      </c>
      <c r="F80" s="5"/>
      <c r="G80" s="74">
        <f t="shared" si="1"/>
        <v>109.71153489292739</v>
      </c>
    </row>
    <row r="81" spans="1:9">
      <c r="A81" s="31">
        <v>11</v>
      </c>
      <c r="B81" s="5">
        <v>1213</v>
      </c>
      <c r="C81" s="5">
        <v>200</v>
      </c>
      <c r="D81" s="9">
        <v>0.7883</v>
      </c>
      <c r="E81" s="5" t="s">
        <v>772</v>
      </c>
      <c r="F81" s="5"/>
      <c r="G81" s="74">
        <f t="shared" si="1"/>
        <v>19.098068445643072</v>
      </c>
    </row>
    <row r="82" spans="1:9">
      <c r="A82" s="31">
        <v>12</v>
      </c>
      <c r="B82" s="5">
        <v>1213</v>
      </c>
      <c r="C82" s="5">
        <v>94</v>
      </c>
      <c r="D82" s="9">
        <v>0.7228</v>
      </c>
      <c r="E82" s="5" t="s">
        <v>773</v>
      </c>
      <c r="F82" s="5"/>
      <c r="G82" s="74">
        <f t="shared" si="1"/>
        <v>17.511206231778274</v>
      </c>
    </row>
    <row r="83" spans="1:9">
      <c r="A83" s="31">
        <v>13</v>
      </c>
      <c r="B83" s="5">
        <v>1213</v>
      </c>
      <c r="C83" s="5">
        <v>95</v>
      </c>
      <c r="D83" s="9">
        <v>0.5</v>
      </c>
      <c r="E83" s="5" t="s">
        <v>774</v>
      </c>
      <c r="F83" s="5"/>
      <c r="G83" s="74">
        <f t="shared" si="1"/>
        <v>12.11345201423511</v>
      </c>
    </row>
    <row r="84" spans="1:9">
      <c r="A84" s="31">
        <v>14</v>
      </c>
      <c r="B84" s="5">
        <v>1213</v>
      </c>
      <c r="C84" s="5">
        <v>101</v>
      </c>
      <c r="D84" s="9">
        <v>6.9199999999999998E-2</v>
      </c>
      <c r="E84" s="5" t="s">
        <v>775</v>
      </c>
      <c r="F84" s="5"/>
      <c r="G84" s="74">
        <f t="shared" si="1"/>
        <v>1.6765017587701392</v>
      </c>
    </row>
    <row r="85" spans="1:9">
      <c r="A85" s="31">
        <v>14</v>
      </c>
      <c r="B85" s="5">
        <v>1213</v>
      </c>
      <c r="C85" s="5">
        <v>209</v>
      </c>
      <c r="D85" s="9">
        <v>0.27300000000000002</v>
      </c>
      <c r="E85" s="5" t="s">
        <v>776</v>
      </c>
      <c r="F85" s="5"/>
      <c r="G85" s="74">
        <f t="shared" si="1"/>
        <v>6.6139447997723702</v>
      </c>
    </row>
    <row r="86" spans="1:9" s="53" customFormat="1" ht="25.5" customHeight="1">
      <c r="A86" s="31">
        <v>15</v>
      </c>
      <c r="B86" s="5">
        <v>1213</v>
      </c>
      <c r="C86" s="5">
        <v>212</v>
      </c>
      <c r="D86" s="9">
        <v>0.1381</v>
      </c>
      <c r="E86" s="5" t="s">
        <v>777</v>
      </c>
      <c r="F86" s="5"/>
      <c r="G86" s="74">
        <f t="shared" si="1"/>
        <v>3.3457354463317373</v>
      </c>
      <c r="H86"/>
      <c r="I86"/>
    </row>
    <row r="87" spans="1:9">
      <c r="A87" s="31">
        <v>16</v>
      </c>
      <c r="B87" s="5">
        <v>1213</v>
      </c>
      <c r="C87" s="5">
        <v>105</v>
      </c>
      <c r="D87" s="9">
        <v>0.27229999999999999</v>
      </c>
      <c r="E87" s="5" t="s">
        <v>778</v>
      </c>
      <c r="F87" s="5"/>
      <c r="G87" s="74">
        <f t="shared" si="1"/>
        <v>6.59698596695244</v>
      </c>
    </row>
    <row r="88" spans="1:9">
      <c r="A88" s="31">
        <v>17</v>
      </c>
      <c r="B88" s="5">
        <v>1213</v>
      </c>
      <c r="C88" s="5">
        <v>216</v>
      </c>
      <c r="D88" s="9">
        <v>6.9000000000000006E-2</v>
      </c>
      <c r="E88" s="5" t="s">
        <v>779</v>
      </c>
      <c r="F88" s="5"/>
      <c r="G88" s="74">
        <f t="shared" si="1"/>
        <v>1.6716563779644453</v>
      </c>
    </row>
    <row r="89" spans="1:9">
      <c r="A89" s="31">
        <v>18</v>
      </c>
      <c r="B89" s="5">
        <v>1213</v>
      </c>
      <c r="C89" s="5">
        <v>103</v>
      </c>
      <c r="D89" s="9">
        <v>0.11849999999999999</v>
      </c>
      <c r="E89" s="5" t="s">
        <v>780</v>
      </c>
      <c r="F89" s="5"/>
      <c r="G89" s="74">
        <f t="shared" si="1"/>
        <v>2.8708881273737208</v>
      </c>
    </row>
    <row r="90" spans="1:9">
      <c r="A90" s="31">
        <v>20</v>
      </c>
      <c r="B90" s="5">
        <v>1213</v>
      </c>
      <c r="C90" s="5">
        <v>89</v>
      </c>
      <c r="D90" s="9">
        <v>3.8035000000000001</v>
      </c>
      <c r="E90" s="5" t="s">
        <v>781</v>
      </c>
      <c r="F90" s="5"/>
      <c r="G90" s="74">
        <f t="shared" si="1"/>
        <v>92.147029472286476</v>
      </c>
    </row>
    <row r="91" spans="1:9">
      <c r="A91" s="31">
        <v>20</v>
      </c>
      <c r="B91" s="5">
        <v>1213</v>
      </c>
      <c r="C91" s="5">
        <v>104</v>
      </c>
      <c r="D91" s="9">
        <v>4</v>
      </c>
      <c r="E91" s="5" t="s">
        <v>781</v>
      </c>
      <c r="F91" s="5"/>
      <c r="G91" s="74">
        <f t="shared" si="1"/>
        <v>96.907616113880877</v>
      </c>
    </row>
    <row r="92" spans="1:9">
      <c r="A92" s="31">
        <v>20</v>
      </c>
      <c r="B92" s="5">
        <v>1213</v>
      </c>
      <c r="C92" s="5">
        <v>106</v>
      </c>
      <c r="D92" s="9">
        <v>4.2218999999999998</v>
      </c>
      <c r="E92" s="5" t="s">
        <v>782</v>
      </c>
      <c r="F92" s="5"/>
      <c r="G92" s="74">
        <f t="shared" si="1"/>
        <v>102.28356611779842</v>
      </c>
    </row>
    <row r="93" spans="1:9">
      <c r="A93" s="31">
        <v>20</v>
      </c>
      <c r="B93" s="5">
        <v>1213</v>
      </c>
      <c r="C93" s="5">
        <v>108</v>
      </c>
      <c r="D93" s="9">
        <v>0.82730000000000004</v>
      </c>
      <c r="E93" s="5" t="s">
        <v>781</v>
      </c>
      <c r="F93" s="5"/>
      <c r="G93" s="74">
        <f t="shared" si="1"/>
        <v>20.042917702753414</v>
      </c>
    </row>
    <row r="94" spans="1:9">
      <c r="A94" s="31">
        <v>20</v>
      </c>
      <c r="B94" s="5">
        <v>1213</v>
      </c>
      <c r="C94" s="5">
        <v>109</v>
      </c>
      <c r="D94" s="9">
        <v>0.2419</v>
      </c>
      <c r="E94" s="5" t="s">
        <v>782</v>
      </c>
      <c r="F94" s="5"/>
      <c r="G94" s="74">
        <f t="shared" si="1"/>
        <v>5.8604880844869465</v>
      </c>
    </row>
    <row r="95" spans="1:9">
      <c r="A95" s="31">
        <v>20</v>
      </c>
      <c r="B95" s="5">
        <v>1213</v>
      </c>
      <c r="C95" s="5">
        <v>110</v>
      </c>
      <c r="D95" s="9">
        <v>0.2419</v>
      </c>
      <c r="E95" s="5" t="s">
        <v>781</v>
      </c>
      <c r="F95" s="5"/>
      <c r="G95" s="74">
        <f t="shared" si="1"/>
        <v>5.8604880844869465</v>
      </c>
    </row>
    <row r="96" spans="1:9">
      <c r="A96" s="31">
        <v>20</v>
      </c>
      <c r="B96" s="5">
        <v>1213</v>
      </c>
      <c r="C96" s="5">
        <v>111</v>
      </c>
      <c r="D96" s="9">
        <v>0.2419</v>
      </c>
      <c r="E96" s="5" t="s">
        <v>781</v>
      </c>
      <c r="F96" s="5"/>
      <c r="G96" s="74">
        <f t="shared" si="1"/>
        <v>5.8604880844869465</v>
      </c>
    </row>
    <row r="97" spans="1:7">
      <c r="A97" s="31">
        <v>20</v>
      </c>
      <c r="B97" s="5">
        <v>1213</v>
      </c>
      <c r="C97" s="5">
        <v>112</v>
      </c>
      <c r="D97" s="9">
        <v>0.2419</v>
      </c>
      <c r="E97" s="5" t="s">
        <v>781</v>
      </c>
      <c r="F97" s="5"/>
      <c r="G97" s="74">
        <f t="shared" si="1"/>
        <v>5.8604880844869465</v>
      </c>
    </row>
    <row r="98" spans="1:7">
      <c r="A98" s="31">
        <v>20</v>
      </c>
      <c r="B98" s="5">
        <v>1213</v>
      </c>
      <c r="C98" s="5">
        <v>113</v>
      </c>
      <c r="D98" s="9">
        <v>0.2419</v>
      </c>
      <c r="E98" s="5" t="s">
        <v>781</v>
      </c>
      <c r="F98" s="5"/>
      <c r="G98" s="74">
        <f t="shared" si="1"/>
        <v>5.8604880844869465</v>
      </c>
    </row>
    <row r="99" spans="1:7">
      <c r="A99" s="31">
        <v>20</v>
      </c>
      <c r="B99" s="5">
        <v>1213</v>
      </c>
      <c r="C99" s="5">
        <v>122</v>
      </c>
      <c r="D99" s="9">
        <v>7.7</v>
      </c>
      <c r="E99" s="5" t="s">
        <v>781</v>
      </c>
      <c r="F99" s="5"/>
      <c r="G99" s="74">
        <f t="shared" si="1"/>
        <v>186.54716101922068</v>
      </c>
    </row>
    <row r="100" spans="1:7">
      <c r="A100" s="31">
        <v>21</v>
      </c>
      <c r="B100" s="5">
        <v>1213</v>
      </c>
      <c r="C100" s="5">
        <v>153</v>
      </c>
      <c r="D100" s="9">
        <v>0.71870000000000001</v>
      </c>
      <c r="E100" s="5" t="s">
        <v>783</v>
      </c>
      <c r="F100" s="5"/>
      <c r="G100" s="74">
        <f t="shared" si="1"/>
        <v>17.411875925261548</v>
      </c>
    </row>
    <row r="101" spans="1:7">
      <c r="A101" s="31">
        <v>22</v>
      </c>
      <c r="B101" s="5">
        <v>1213</v>
      </c>
      <c r="C101" s="5">
        <v>161</v>
      </c>
      <c r="D101" s="9">
        <v>1.1927000000000001</v>
      </c>
      <c r="E101" s="5" t="s">
        <v>784</v>
      </c>
      <c r="F101" s="5"/>
      <c r="G101" s="74">
        <f t="shared" si="1"/>
        <v>28.895428434756433</v>
      </c>
    </row>
    <row r="102" spans="1:7">
      <c r="A102" s="31">
        <v>23</v>
      </c>
      <c r="B102" s="5">
        <v>1213</v>
      </c>
      <c r="C102" s="5">
        <v>152</v>
      </c>
      <c r="D102" s="9">
        <v>1.7895000000000001</v>
      </c>
      <c r="E102" s="5" t="s">
        <v>785</v>
      </c>
      <c r="F102" s="5"/>
      <c r="G102" s="74">
        <f t="shared" si="1"/>
        <v>43.35404475894746</v>
      </c>
    </row>
    <row r="103" spans="1:7" ht="13.5" thickBot="1">
      <c r="A103" s="32">
        <v>24</v>
      </c>
      <c r="B103" s="27">
        <v>1213</v>
      </c>
      <c r="C103" s="27">
        <v>162</v>
      </c>
      <c r="D103" s="35">
        <v>0.46439999999999998</v>
      </c>
      <c r="E103" s="27" t="s">
        <v>786</v>
      </c>
      <c r="F103" s="27"/>
      <c r="G103" s="74">
        <f t="shared" si="1"/>
        <v>11.250974230821569</v>
      </c>
    </row>
    <row r="104" spans="1:7">
      <c r="D104" s="14">
        <f>SUM(D66:D103)</f>
        <v>96.999600000000001</v>
      </c>
      <c r="G104" s="4">
        <f>SUM(G66:G103)</f>
        <v>2349.9999999999995</v>
      </c>
    </row>
    <row r="105" spans="1:7">
      <c r="D105" s="14"/>
      <c r="G105" s="4"/>
    </row>
    <row r="106" spans="1:7">
      <c r="A106" t="s">
        <v>133</v>
      </c>
      <c r="D106" s="14"/>
      <c r="G106" s="4"/>
    </row>
    <row r="107" spans="1:7">
      <c r="D107" s="14"/>
      <c r="G107" s="4"/>
    </row>
    <row r="108" spans="1:7">
      <c r="D108" s="14"/>
      <c r="G108" s="4"/>
    </row>
    <row r="109" spans="1:7">
      <c r="D109" s="14"/>
      <c r="G109" s="4"/>
    </row>
    <row r="110" spans="1:7">
      <c r="A110" s="42" t="s">
        <v>787</v>
      </c>
      <c r="D110" s="14"/>
    </row>
    <row r="112" spans="1:7">
      <c r="C112" s="1" t="s">
        <v>729</v>
      </c>
    </row>
    <row r="115" spans="1:9">
      <c r="B115" s="12"/>
      <c r="C115" t="s">
        <v>730</v>
      </c>
      <c r="D115">
        <v>1710.3</v>
      </c>
      <c r="E115" t="s">
        <v>731</v>
      </c>
      <c r="F115" s="12">
        <f>D135</f>
        <v>37.416049999999998</v>
      </c>
      <c r="G115" s="92" t="s">
        <v>732</v>
      </c>
      <c r="H115" s="14">
        <f>D115/F115</f>
        <v>45.710330192524331</v>
      </c>
    </row>
    <row r="116" spans="1:9" ht="13.5" thickBot="1"/>
    <row r="117" spans="1:9" ht="39" thickBot="1">
      <c r="A117" s="50" t="s">
        <v>734</v>
      </c>
      <c r="B117" s="50" t="s">
        <v>135</v>
      </c>
      <c r="C117" s="50" t="s">
        <v>136</v>
      </c>
      <c r="D117" s="50" t="s">
        <v>138</v>
      </c>
      <c r="E117" s="51" t="s">
        <v>140</v>
      </c>
      <c r="F117" s="52"/>
      <c r="G117" s="50" t="s">
        <v>759</v>
      </c>
      <c r="H117" s="53"/>
      <c r="I117" s="53"/>
    </row>
    <row r="118" spans="1:9">
      <c r="A118" s="30">
        <v>1</v>
      </c>
      <c r="B118" s="23">
        <v>1213</v>
      </c>
      <c r="C118" s="23">
        <v>319</v>
      </c>
      <c r="D118" s="33">
        <v>0.44359999999999999</v>
      </c>
      <c r="E118" s="23" t="s">
        <v>788</v>
      </c>
      <c r="F118" s="23"/>
      <c r="G118" s="38">
        <f>D118*$H$115</f>
        <v>20.277102473403794</v>
      </c>
    </row>
    <row r="119" spans="1:9">
      <c r="A119" s="31">
        <v>3</v>
      </c>
      <c r="B119" s="5">
        <v>1213</v>
      </c>
      <c r="C119" s="5">
        <v>49</v>
      </c>
      <c r="D119" s="9">
        <v>3.1314000000000002</v>
      </c>
      <c r="E119" s="5" t="s">
        <v>789</v>
      </c>
      <c r="F119" s="5"/>
      <c r="G119" s="38">
        <f t="shared" ref="G119:G134" si="2">D119*$H$115</f>
        <v>143.13732796487071</v>
      </c>
    </row>
    <row r="120" spans="1:9">
      <c r="A120" s="31">
        <v>3</v>
      </c>
      <c r="B120" s="5">
        <v>1213</v>
      </c>
      <c r="C120" s="5">
        <v>291</v>
      </c>
      <c r="D120" s="9">
        <v>4.0974000000000004</v>
      </c>
      <c r="E120" s="5" t="s">
        <v>790</v>
      </c>
      <c r="F120" s="5"/>
      <c r="G120" s="38">
        <f t="shared" si="2"/>
        <v>187.29350693084922</v>
      </c>
    </row>
    <row r="121" spans="1:9">
      <c r="A121" s="31">
        <v>4</v>
      </c>
      <c r="B121" s="5">
        <v>1213</v>
      </c>
      <c r="C121" s="5">
        <v>301</v>
      </c>
      <c r="D121" s="9">
        <v>4.9087500000000004</v>
      </c>
      <c r="E121" s="5" t="s">
        <v>791</v>
      </c>
      <c r="F121" s="5"/>
      <c r="G121" s="38">
        <f t="shared" si="2"/>
        <v>224.38058333255384</v>
      </c>
    </row>
    <row r="122" spans="1:9">
      <c r="A122" s="31">
        <v>6</v>
      </c>
      <c r="B122" s="5">
        <v>1213</v>
      </c>
      <c r="C122" s="5">
        <v>336</v>
      </c>
      <c r="D122" s="9">
        <v>1.8263</v>
      </c>
      <c r="E122" s="5" t="s">
        <v>792</v>
      </c>
      <c r="F122" s="5"/>
      <c r="G122" s="38">
        <f t="shared" si="2"/>
        <v>83.480776030607188</v>
      </c>
    </row>
    <row r="123" spans="1:9">
      <c r="A123" s="31">
        <v>7</v>
      </c>
      <c r="B123" s="5">
        <v>1213</v>
      </c>
      <c r="C123" s="5">
        <v>61</v>
      </c>
      <c r="D123" s="9">
        <v>0.92049999999999998</v>
      </c>
      <c r="E123" s="5" t="s">
        <v>793</v>
      </c>
      <c r="F123" s="5"/>
      <c r="G123" s="38">
        <f t="shared" si="2"/>
        <v>42.076358942218647</v>
      </c>
    </row>
    <row r="124" spans="1:9">
      <c r="A124" s="31">
        <v>8</v>
      </c>
      <c r="B124" s="5">
        <v>1213</v>
      </c>
      <c r="C124" s="5">
        <v>190</v>
      </c>
      <c r="D124" s="9">
        <v>0.47660000000000002</v>
      </c>
      <c r="E124" s="5" t="s">
        <v>794</v>
      </c>
      <c r="F124" s="5"/>
      <c r="G124" s="38">
        <f t="shared" si="2"/>
        <v>21.785543369757097</v>
      </c>
    </row>
    <row r="125" spans="1:9">
      <c r="A125" s="31">
        <v>9</v>
      </c>
      <c r="B125" s="5">
        <v>1213</v>
      </c>
      <c r="C125" s="5">
        <v>298</v>
      </c>
      <c r="D125" s="9">
        <v>2.1753</v>
      </c>
      <c r="E125" s="5" t="s">
        <v>795</v>
      </c>
      <c r="F125" s="5"/>
      <c r="G125" s="38">
        <f t="shared" si="2"/>
        <v>99.433681267798178</v>
      </c>
    </row>
    <row r="126" spans="1:9">
      <c r="A126" s="31">
        <v>9</v>
      </c>
      <c r="B126" s="5">
        <v>1213</v>
      </c>
      <c r="C126" s="5">
        <v>299</v>
      </c>
      <c r="D126" s="9">
        <v>4.9768999999999997</v>
      </c>
      <c r="E126" s="5" t="s">
        <v>795</v>
      </c>
      <c r="F126" s="5"/>
      <c r="G126" s="38">
        <f t="shared" si="2"/>
        <v>227.49574233517433</v>
      </c>
    </row>
    <row r="127" spans="1:9">
      <c r="A127" s="31">
        <v>10</v>
      </c>
      <c r="B127" s="5">
        <v>1213</v>
      </c>
      <c r="C127" s="5">
        <v>202</v>
      </c>
      <c r="D127" s="9">
        <v>0.11269999999999999</v>
      </c>
      <c r="E127" s="5" t="s">
        <v>796</v>
      </c>
      <c r="F127" s="5"/>
      <c r="G127" s="38">
        <f t="shared" si="2"/>
        <v>5.1515542126974916</v>
      </c>
    </row>
    <row r="128" spans="1:9">
      <c r="A128" s="31">
        <v>11</v>
      </c>
      <c r="B128" s="5">
        <v>1213</v>
      </c>
      <c r="C128" s="5">
        <v>206</v>
      </c>
      <c r="D128" s="9">
        <v>7.6100000000000001E-2</v>
      </c>
      <c r="E128" s="5" t="s">
        <v>797</v>
      </c>
      <c r="F128" s="5"/>
      <c r="G128" s="38">
        <f t="shared" si="2"/>
        <v>3.4785561276511019</v>
      </c>
    </row>
    <row r="129" spans="1:7">
      <c r="A129" s="31">
        <v>12</v>
      </c>
      <c r="B129" s="5">
        <v>1213</v>
      </c>
      <c r="C129" s="5">
        <v>66</v>
      </c>
      <c r="D129" s="9" t="s">
        <v>798</v>
      </c>
      <c r="E129" s="5" t="s">
        <v>799</v>
      </c>
      <c r="F129" s="5"/>
      <c r="G129" s="38" t="e">
        <f t="shared" si="2"/>
        <v>#VALUE!</v>
      </c>
    </row>
    <row r="130" spans="1:7">
      <c r="A130" s="31">
        <v>12</v>
      </c>
      <c r="B130" s="5">
        <v>1213</v>
      </c>
      <c r="C130" s="5">
        <v>314</v>
      </c>
      <c r="D130" s="9">
        <v>0.33069999999999999</v>
      </c>
      <c r="E130" s="5" t="s">
        <v>800</v>
      </c>
      <c r="F130" s="5"/>
      <c r="G130" s="38">
        <f t="shared" si="2"/>
        <v>15.116406194667796</v>
      </c>
    </row>
    <row r="131" spans="1:7">
      <c r="A131" s="31">
        <v>12</v>
      </c>
      <c r="B131" s="5">
        <v>1213</v>
      </c>
      <c r="C131" s="5">
        <v>315</v>
      </c>
      <c r="D131" s="9">
        <v>0.59699999999999998</v>
      </c>
      <c r="E131" s="5" t="s">
        <v>800</v>
      </c>
      <c r="F131" s="5"/>
      <c r="G131" s="38">
        <f t="shared" si="2"/>
        <v>27.289067124937024</v>
      </c>
    </row>
    <row r="132" spans="1:7">
      <c r="A132" s="31">
        <v>12</v>
      </c>
      <c r="B132" s="5">
        <v>1213</v>
      </c>
      <c r="C132" s="5">
        <v>316</v>
      </c>
      <c r="D132" s="9">
        <v>0.59699999999999998</v>
      </c>
      <c r="E132" s="5" t="s">
        <v>800</v>
      </c>
      <c r="F132" s="5"/>
      <c r="G132" s="38">
        <f t="shared" si="2"/>
        <v>27.289067124937024</v>
      </c>
    </row>
    <row r="133" spans="1:7">
      <c r="A133" s="31">
        <v>12</v>
      </c>
      <c r="B133" s="5">
        <v>1213</v>
      </c>
      <c r="C133" s="5">
        <v>317</v>
      </c>
      <c r="D133" s="9">
        <v>2.5825</v>
      </c>
      <c r="E133" s="5" t="s">
        <v>800</v>
      </c>
      <c r="F133" s="5"/>
      <c r="G133" s="38">
        <f t="shared" si="2"/>
        <v>118.04692772219408</v>
      </c>
    </row>
    <row r="134" spans="1:7" ht="13.5" thickBot="1">
      <c r="A134" s="32">
        <v>13</v>
      </c>
      <c r="B134" s="27">
        <v>1213</v>
      </c>
      <c r="C134" s="27">
        <v>168</v>
      </c>
      <c r="D134" s="35">
        <v>10.1633</v>
      </c>
      <c r="E134" s="27" t="s">
        <v>801</v>
      </c>
      <c r="F134" s="27"/>
      <c r="G134" s="38">
        <f t="shared" si="2"/>
        <v>464.56779884568255</v>
      </c>
    </row>
    <row r="135" spans="1:7">
      <c r="D135" s="14">
        <f>SUM(D118:D134)</f>
        <v>37.416049999999998</v>
      </c>
      <c r="G135" s="4" t="e">
        <f>SUM(G118:G134)</f>
        <v>#VALUE!</v>
      </c>
    </row>
    <row r="136" spans="1:7">
      <c r="D136" s="14"/>
      <c r="G136" s="4"/>
    </row>
    <row r="137" spans="1:7">
      <c r="D137" s="14"/>
      <c r="G137" s="4"/>
    </row>
    <row r="138" spans="1:7">
      <c r="D138" s="14"/>
      <c r="G138" s="4"/>
    </row>
    <row r="139" spans="1:7">
      <c r="D139" s="14"/>
      <c r="G139" s="4"/>
    </row>
    <row r="140" spans="1:7">
      <c r="D140" s="14"/>
      <c r="G140" s="4"/>
    </row>
    <row r="141" spans="1:7">
      <c r="D141" s="14"/>
      <c r="G141" s="4"/>
    </row>
    <row r="142" spans="1:7">
      <c r="C142" s="1" t="s">
        <v>729</v>
      </c>
    </row>
    <row r="145" spans="1:9">
      <c r="B145" s="12"/>
      <c r="C145" t="s">
        <v>730</v>
      </c>
      <c r="D145">
        <v>464</v>
      </c>
      <c r="E145" t="s">
        <v>731</v>
      </c>
      <c r="F145" s="12">
        <f>D155</f>
        <v>16.245499999999996</v>
      </c>
      <c r="G145" s="92" t="s">
        <v>732</v>
      </c>
      <c r="H145" s="14">
        <f>D145/F145</f>
        <v>28.561755563079014</v>
      </c>
    </row>
    <row r="146" spans="1:9" ht="13.5" thickBot="1">
      <c r="A146" s="42" t="s">
        <v>802</v>
      </c>
      <c r="D146" s="14"/>
    </row>
    <row r="147" spans="1:9" ht="39" thickBot="1">
      <c r="A147" s="50" t="s">
        <v>734</v>
      </c>
      <c r="B147" s="50" t="s">
        <v>135</v>
      </c>
      <c r="C147" s="50" t="s">
        <v>136</v>
      </c>
      <c r="D147" s="50" t="s">
        <v>138</v>
      </c>
      <c r="E147" s="51" t="s">
        <v>140</v>
      </c>
      <c r="F147" s="52"/>
      <c r="G147" s="50" t="s">
        <v>759</v>
      </c>
      <c r="H147" s="53"/>
      <c r="I147" s="53"/>
    </row>
    <row r="148" spans="1:9">
      <c r="A148" s="30">
        <v>1</v>
      </c>
      <c r="B148" s="23">
        <v>1213</v>
      </c>
      <c r="C148" s="23">
        <v>28</v>
      </c>
      <c r="D148" s="33">
        <v>3.8839000000000001</v>
      </c>
      <c r="E148" s="23" t="s">
        <v>757</v>
      </c>
      <c r="F148" s="23"/>
      <c r="G148" s="38">
        <f>D148*$H$145</f>
        <v>110.93100243144259</v>
      </c>
    </row>
    <row r="149" spans="1:9">
      <c r="A149" s="31">
        <v>2</v>
      </c>
      <c r="B149" s="5">
        <v>1213</v>
      </c>
      <c r="C149" s="5">
        <v>29</v>
      </c>
      <c r="D149" s="9">
        <v>0.16980000000000001</v>
      </c>
      <c r="E149" s="5" t="s">
        <v>803</v>
      </c>
      <c r="F149" s="5"/>
      <c r="G149" s="38">
        <f t="shared" ref="G149:G155" si="3">D149*$H$145</f>
        <v>4.8497860946108169</v>
      </c>
    </row>
    <row r="150" spans="1:9">
      <c r="A150" s="31">
        <v>3</v>
      </c>
      <c r="B150" s="5">
        <v>1213</v>
      </c>
      <c r="C150" s="5">
        <v>19</v>
      </c>
      <c r="D150" s="9">
        <v>1.7969999999999999</v>
      </c>
      <c r="E150" s="5" t="s">
        <v>804</v>
      </c>
      <c r="F150" s="5"/>
      <c r="G150" s="38">
        <f t="shared" si="3"/>
        <v>51.32547474685299</v>
      </c>
    </row>
    <row r="151" spans="1:9">
      <c r="A151" s="31">
        <v>4</v>
      </c>
      <c r="B151" s="5">
        <v>1213</v>
      </c>
      <c r="C151" s="5">
        <v>233</v>
      </c>
      <c r="D151" s="9">
        <v>2.1351</v>
      </c>
      <c r="E151" s="5" t="s">
        <v>805</v>
      </c>
      <c r="F151" s="5"/>
      <c r="G151" s="38">
        <f t="shared" si="3"/>
        <v>60.982204302730004</v>
      </c>
    </row>
    <row r="152" spans="1:9">
      <c r="A152" s="31">
        <v>5</v>
      </c>
      <c r="B152" s="5">
        <v>1213</v>
      </c>
      <c r="C152" s="5">
        <v>331</v>
      </c>
      <c r="D152" s="9">
        <v>4.9919000000000002</v>
      </c>
      <c r="E152" s="5" t="s">
        <v>806</v>
      </c>
      <c r="F152" s="5"/>
      <c r="G152" s="38">
        <f t="shared" si="3"/>
        <v>142.57742759533414</v>
      </c>
    </row>
    <row r="153" spans="1:9">
      <c r="A153" s="31">
        <v>6</v>
      </c>
      <c r="B153" s="5">
        <v>1213</v>
      </c>
      <c r="C153" s="5">
        <v>321</v>
      </c>
      <c r="D153" s="9">
        <v>1.5629</v>
      </c>
      <c r="E153" s="5" t="s">
        <v>807</v>
      </c>
      <c r="F153" s="5"/>
      <c r="G153" s="38">
        <f t="shared" si="3"/>
        <v>44.639167769536193</v>
      </c>
    </row>
    <row r="154" spans="1:9" ht="13.5" thickBot="1">
      <c r="A154" s="32">
        <v>7</v>
      </c>
      <c r="B154" s="27">
        <v>1213</v>
      </c>
      <c r="C154" s="27">
        <v>320</v>
      </c>
      <c r="D154" s="35">
        <v>1.7049000000000001</v>
      </c>
      <c r="E154" s="27" t="s">
        <v>808</v>
      </c>
      <c r="F154" s="27"/>
      <c r="G154" s="38">
        <f t="shared" si="3"/>
        <v>48.694937059493412</v>
      </c>
    </row>
    <row r="155" spans="1:9">
      <c r="D155" s="14">
        <f>SUM(D148:D154)</f>
        <v>16.245499999999996</v>
      </c>
      <c r="G155" s="38">
        <f t="shared" si="3"/>
        <v>464</v>
      </c>
    </row>
    <row r="156" spans="1:9">
      <c r="D156" s="14"/>
      <c r="G156" s="80"/>
    </row>
    <row r="157" spans="1:9">
      <c r="D157" s="14"/>
      <c r="G157" s="80"/>
    </row>
    <row r="158" spans="1:9">
      <c r="D158" s="14"/>
      <c r="G158" s="80"/>
    </row>
    <row r="159" spans="1:9">
      <c r="D159" s="14"/>
      <c r="G159" s="80"/>
    </row>
    <row r="160" spans="1:9">
      <c r="D160" s="14"/>
      <c r="G160" s="80"/>
    </row>
    <row r="161" spans="1:9">
      <c r="A161" s="42" t="s">
        <v>809</v>
      </c>
      <c r="D161" s="14"/>
    </row>
    <row r="162" spans="1:9">
      <c r="C162" s="1" t="s">
        <v>810</v>
      </c>
    </row>
    <row r="166" spans="1:9">
      <c r="B166" s="12"/>
      <c r="C166" t="s">
        <v>811</v>
      </c>
      <c r="D166">
        <v>2300</v>
      </c>
      <c r="E166" t="s">
        <v>731</v>
      </c>
      <c r="F166" s="12">
        <f>D204</f>
        <v>98.739900000000006</v>
      </c>
      <c r="G166" s="92" t="s">
        <v>812</v>
      </c>
      <c r="H166">
        <f>D166/F166</f>
        <v>23.293521666519815</v>
      </c>
    </row>
    <row r="168" spans="1:9" ht="13.5" thickBot="1">
      <c r="A168" s="42"/>
    </row>
    <row r="169" spans="1:9" ht="38.25">
      <c r="A169" s="50" t="s">
        <v>734</v>
      </c>
      <c r="B169" s="50" t="s">
        <v>135</v>
      </c>
      <c r="C169" s="50" t="s">
        <v>136</v>
      </c>
      <c r="D169" s="50" t="s">
        <v>138</v>
      </c>
      <c r="E169" s="51" t="s">
        <v>140</v>
      </c>
      <c r="F169" s="52"/>
      <c r="G169" s="50" t="s">
        <v>759</v>
      </c>
      <c r="H169" s="53"/>
      <c r="I169" s="53"/>
    </row>
    <row r="170" spans="1:9">
      <c r="A170" s="5">
        <v>1</v>
      </c>
      <c r="B170" s="5">
        <v>1213</v>
      </c>
      <c r="C170" s="5">
        <v>324</v>
      </c>
      <c r="D170" s="21">
        <v>2.4005999999999998</v>
      </c>
      <c r="E170" s="5" t="s">
        <v>813</v>
      </c>
      <c r="F170" s="43"/>
      <c r="G170" s="38">
        <f>D170*$H$166</f>
        <v>55.918428112647469</v>
      </c>
    </row>
    <row r="171" spans="1:9">
      <c r="A171" s="5">
        <v>1</v>
      </c>
      <c r="B171" s="5">
        <v>1213</v>
      </c>
      <c r="C171" s="5">
        <v>325</v>
      </c>
      <c r="D171" s="21">
        <v>3.0775999999999999</v>
      </c>
      <c r="E171" s="5" t="s">
        <v>813</v>
      </c>
      <c r="F171" s="43"/>
      <c r="G171" s="38">
        <f t="shared" ref="G171:G204" si="4">D171*$H$166</f>
        <v>71.68814228088138</v>
      </c>
    </row>
    <row r="172" spans="1:9">
      <c r="A172" s="46">
        <v>2</v>
      </c>
      <c r="B172" s="47">
        <v>1213</v>
      </c>
      <c r="C172" s="47">
        <v>241</v>
      </c>
      <c r="D172" s="40">
        <v>3.8921000000000001</v>
      </c>
      <c r="E172" s="47" t="s">
        <v>814</v>
      </c>
      <c r="F172" s="47"/>
      <c r="G172" s="38">
        <f t="shared" si="4"/>
        <v>90.660715678261781</v>
      </c>
    </row>
    <row r="173" spans="1:9">
      <c r="A173" s="31">
        <v>3</v>
      </c>
      <c r="B173" s="5">
        <v>1213</v>
      </c>
      <c r="C173" s="5">
        <v>253</v>
      </c>
      <c r="D173" s="21">
        <v>0.14380000000000001</v>
      </c>
      <c r="E173" s="5" t="s">
        <v>815</v>
      </c>
      <c r="F173" s="5"/>
      <c r="G173" s="38">
        <f t="shared" si="4"/>
        <v>3.3496084156455499</v>
      </c>
    </row>
    <row r="174" spans="1:9">
      <c r="A174" s="31">
        <v>4</v>
      </c>
      <c r="B174" s="5">
        <v>1213</v>
      </c>
      <c r="C174" s="5">
        <v>242</v>
      </c>
      <c r="D174" s="21">
        <v>2.6025</v>
      </c>
      <c r="E174" s="5" t="s">
        <v>206</v>
      </c>
      <c r="F174" s="5"/>
      <c r="G174" s="38">
        <f t="shared" si="4"/>
        <v>60.621390137117821</v>
      </c>
    </row>
    <row r="175" spans="1:9">
      <c r="A175" s="31">
        <v>5</v>
      </c>
      <c r="B175" s="5">
        <v>1213</v>
      </c>
      <c r="C175" s="5">
        <v>245</v>
      </c>
      <c r="D175" s="21">
        <v>0.21820000000000001</v>
      </c>
      <c r="E175" s="5" t="s">
        <v>816</v>
      </c>
      <c r="F175" s="5"/>
      <c r="G175" s="38">
        <f t="shared" si="4"/>
        <v>5.0826464276346242</v>
      </c>
    </row>
    <row r="176" spans="1:9">
      <c r="A176" s="31">
        <v>6</v>
      </c>
      <c r="B176" s="5">
        <v>1213</v>
      </c>
      <c r="C176" s="5">
        <v>272</v>
      </c>
      <c r="D176" s="21">
        <v>1.3748</v>
      </c>
      <c r="E176" s="5" t="s">
        <v>817</v>
      </c>
      <c r="F176" s="5"/>
      <c r="G176" s="38">
        <f t="shared" si="4"/>
        <v>32.023933587131445</v>
      </c>
    </row>
    <row r="177" spans="1:9">
      <c r="A177" s="31">
        <v>7</v>
      </c>
      <c r="B177" s="5">
        <v>1213</v>
      </c>
      <c r="C177" s="5">
        <v>116</v>
      </c>
      <c r="D177" s="21">
        <v>3.1474000000000002</v>
      </c>
      <c r="E177" s="5" t="s">
        <v>818</v>
      </c>
      <c r="F177" s="5"/>
      <c r="G177" s="38">
        <f t="shared" si="4"/>
        <v>73.314030093204465</v>
      </c>
    </row>
    <row r="178" spans="1:9">
      <c r="A178" s="31">
        <v>8</v>
      </c>
      <c r="B178" s="5">
        <v>1213</v>
      </c>
      <c r="C178" s="5">
        <v>117</v>
      </c>
      <c r="D178" s="21">
        <v>6.4078999999999997</v>
      </c>
      <c r="E178" s="5" t="s">
        <v>819</v>
      </c>
      <c r="F178" s="5"/>
      <c r="G178" s="38">
        <f t="shared" si="4"/>
        <v>149.26255748689232</v>
      </c>
    </row>
    <row r="179" spans="1:9">
      <c r="A179" s="31">
        <v>9</v>
      </c>
      <c r="B179" s="5">
        <v>1213</v>
      </c>
      <c r="C179" s="5">
        <v>118</v>
      </c>
      <c r="D179" s="21">
        <v>0.4098</v>
      </c>
      <c r="E179" s="5" t="s">
        <v>820</v>
      </c>
      <c r="F179" s="5"/>
      <c r="G179" s="38">
        <f t="shared" si="4"/>
        <v>9.54568517893982</v>
      </c>
    </row>
    <row r="180" spans="1:9">
      <c r="A180" s="31">
        <v>10</v>
      </c>
      <c r="B180" s="5">
        <v>1213</v>
      </c>
      <c r="C180" s="5">
        <v>239</v>
      </c>
      <c r="D180" s="21">
        <v>6.8400000000000002E-2</v>
      </c>
      <c r="E180" s="5" t="s">
        <v>821</v>
      </c>
      <c r="F180" s="5"/>
      <c r="G180" s="38">
        <f t="shared" si="4"/>
        <v>1.5932768819899554</v>
      </c>
    </row>
    <row r="181" spans="1:9">
      <c r="A181" s="31">
        <v>11</v>
      </c>
      <c r="B181" s="5">
        <v>1213</v>
      </c>
      <c r="C181" s="5">
        <v>284</v>
      </c>
      <c r="D181" s="21">
        <v>0.3286</v>
      </c>
      <c r="E181" s="5" t="s">
        <v>822</v>
      </c>
      <c r="F181" s="5"/>
      <c r="G181" s="38">
        <f t="shared" si="4"/>
        <v>7.6542512196184118</v>
      </c>
    </row>
    <row r="182" spans="1:9">
      <c r="A182" s="31">
        <v>13</v>
      </c>
      <c r="B182" s="5">
        <v>1213</v>
      </c>
      <c r="C182" s="5" t="s">
        <v>823</v>
      </c>
      <c r="D182" s="21">
        <v>8.0380000000000003</v>
      </c>
      <c r="E182" s="5" t="s">
        <v>495</v>
      </c>
      <c r="F182" s="5"/>
      <c r="G182" s="38">
        <f t="shared" si="4"/>
        <v>187.23332715548628</v>
      </c>
    </row>
    <row r="183" spans="1:9" s="53" customFormat="1" ht="25.5" customHeight="1">
      <c r="A183" s="31">
        <v>14</v>
      </c>
      <c r="B183" s="5">
        <v>1213</v>
      </c>
      <c r="C183" s="5">
        <v>271</v>
      </c>
      <c r="D183" s="21">
        <v>7.6840000000000002</v>
      </c>
      <c r="E183" s="5" t="s">
        <v>824</v>
      </c>
      <c r="F183" s="5"/>
      <c r="G183" s="38">
        <f t="shared" si="4"/>
        <v>178.98742048553828</v>
      </c>
      <c r="H183"/>
      <c r="I183"/>
    </row>
    <row r="184" spans="1:9">
      <c r="A184" s="6">
        <v>15</v>
      </c>
      <c r="B184" s="5">
        <v>1213</v>
      </c>
      <c r="C184" s="5">
        <v>13</v>
      </c>
      <c r="D184" s="21">
        <v>2.6294</v>
      </c>
      <c r="E184" s="5" t="s">
        <v>722</v>
      </c>
      <c r="F184" s="43"/>
      <c r="G184" s="38">
        <f t="shared" si="4"/>
        <v>61.2479858699472</v>
      </c>
    </row>
    <row r="185" spans="1:9">
      <c r="A185" s="31">
        <v>16</v>
      </c>
      <c r="B185" s="5">
        <v>1213</v>
      </c>
      <c r="C185" s="5">
        <v>131</v>
      </c>
      <c r="D185" s="21">
        <v>3.9478</v>
      </c>
      <c r="E185" s="5" t="s">
        <v>771</v>
      </c>
      <c r="F185" s="5"/>
      <c r="G185" s="38">
        <f t="shared" si="4"/>
        <v>91.958164835086933</v>
      </c>
    </row>
    <row r="186" spans="1:9">
      <c r="A186" s="70">
        <v>17</v>
      </c>
      <c r="B186" s="71">
        <v>1213</v>
      </c>
      <c r="C186" s="71">
        <v>198</v>
      </c>
      <c r="D186" s="72">
        <v>10</v>
      </c>
      <c r="E186" s="71" t="s">
        <v>825</v>
      </c>
      <c r="F186" s="71"/>
      <c r="G186" s="38">
        <f t="shared" si="4"/>
        <v>232.93521666519814</v>
      </c>
      <c r="H186" s="73"/>
      <c r="I186" s="73"/>
    </row>
    <row r="187" spans="1:9">
      <c r="A187" s="31">
        <v>18</v>
      </c>
      <c r="B187" s="5">
        <v>1213</v>
      </c>
      <c r="C187" s="5">
        <v>134</v>
      </c>
      <c r="D187" s="21">
        <v>0.83489999999999998</v>
      </c>
      <c r="E187" s="5" t="s">
        <v>826</v>
      </c>
      <c r="F187" s="5"/>
      <c r="G187" s="38">
        <f t="shared" si="4"/>
        <v>19.447761239377392</v>
      </c>
    </row>
    <row r="188" spans="1:9">
      <c r="A188" s="31">
        <v>19</v>
      </c>
      <c r="B188" s="5">
        <v>1213</v>
      </c>
      <c r="C188" s="5">
        <v>289</v>
      </c>
      <c r="D188" s="21">
        <v>0.43369999999999997</v>
      </c>
      <c r="E188" s="5" t="s">
        <v>827</v>
      </c>
      <c r="F188" s="5"/>
      <c r="G188" s="38">
        <f t="shared" si="4"/>
        <v>10.102400346769643</v>
      </c>
    </row>
    <row r="189" spans="1:9">
      <c r="A189" s="31">
        <v>20</v>
      </c>
      <c r="B189" s="5">
        <v>1213</v>
      </c>
      <c r="C189" s="5">
        <v>176</v>
      </c>
      <c r="D189" s="21">
        <v>0.43359999999999999</v>
      </c>
      <c r="E189" s="5" t="s">
        <v>828</v>
      </c>
      <c r="F189" s="5"/>
      <c r="G189" s="38">
        <f t="shared" si="4"/>
        <v>10.100070994602993</v>
      </c>
    </row>
    <row r="190" spans="1:9">
      <c r="A190" s="31">
        <v>21</v>
      </c>
      <c r="B190" s="5">
        <v>1213</v>
      </c>
      <c r="C190" s="5">
        <v>124</v>
      </c>
      <c r="D190" s="21">
        <v>0.8</v>
      </c>
      <c r="E190" s="5" t="s">
        <v>829</v>
      </c>
      <c r="F190" s="5"/>
      <c r="G190" s="38">
        <f t="shared" si="4"/>
        <v>18.634817333215853</v>
      </c>
    </row>
    <row r="191" spans="1:9">
      <c r="A191" s="31">
        <v>22</v>
      </c>
      <c r="B191" s="5">
        <v>1213</v>
      </c>
      <c r="C191" s="5">
        <v>125</v>
      </c>
      <c r="D191" s="21">
        <v>1.1506000000000001</v>
      </c>
      <c r="E191" s="5" t="s">
        <v>830</v>
      </c>
      <c r="F191" s="5"/>
      <c r="G191" s="38">
        <f t="shared" si="4"/>
        <v>26.801526029497701</v>
      </c>
    </row>
    <row r="192" spans="1:9">
      <c r="A192" s="31">
        <v>23</v>
      </c>
      <c r="B192" s="5">
        <v>1213</v>
      </c>
      <c r="C192" s="5">
        <v>127</v>
      </c>
      <c r="D192" s="21">
        <v>2</v>
      </c>
      <c r="E192" s="5" t="s">
        <v>831</v>
      </c>
      <c r="F192" s="5"/>
      <c r="G192" s="38">
        <f t="shared" si="4"/>
        <v>46.587043333039631</v>
      </c>
    </row>
    <row r="193" spans="1:7">
      <c r="A193" s="31">
        <v>24</v>
      </c>
      <c r="B193" s="5">
        <v>1213</v>
      </c>
      <c r="C193" s="5">
        <v>129</v>
      </c>
      <c r="D193" s="21">
        <v>0.46500000000000002</v>
      </c>
      <c r="E193" s="5" t="s">
        <v>830</v>
      </c>
      <c r="F193" s="5"/>
      <c r="G193" s="38">
        <f t="shared" si="4"/>
        <v>10.831487574931716</v>
      </c>
    </row>
    <row r="194" spans="1:7">
      <c r="A194" s="31">
        <v>25</v>
      </c>
      <c r="B194" s="5">
        <v>1213</v>
      </c>
      <c r="C194" s="5">
        <v>211</v>
      </c>
      <c r="D194" s="21">
        <v>0.53500000000000003</v>
      </c>
      <c r="E194" s="5" t="s">
        <v>832</v>
      </c>
      <c r="F194" s="5"/>
      <c r="G194" s="38">
        <f t="shared" si="4"/>
        <v>12.462034091588102</v>
      </c>
    </row>
    <row r="195" spans="1:7">
      <c r="A195" s="31">
        <v>26</v>
      </c>
      <c r="B195" s="5">
        <v>1213</v>
      </c>
      <c r="C195" s="5">
        <v>123</v>
      </c>
      <c r="D195" s="21">
        <v>1</v>
      </c>
      <c r="E195" s="5" t="s">
        <v>833</v>
      </c>
      <c r="F195" s="5"/>
      <c r="G195" s="38">
        <f t="shared" si="4"/>
        <v>23.293521666519815</v>
      </c>
    </row>
    <row r="196" spans="1:7">
      <c r="A196" s="31">
        <v>28</v>
      </c>
      <c r="B196" s="5">
        <v>1213</v>
      </c>
      <c r="C196" s="5">
        <v>102</v>
      </c>
      <c r="D196" s="21">
        <v>3.9841000000000002</v>
      </c>
      <c r="E196" s="5" t="s">
        <v>834</v>
      </c>
      <c r="F196" s="5"/>
      <c r="G196" s="38">
        <f t="shared" si="4"/>
        <v>92.803719671581604</v>
      </c>
    </row>
    <row r="197" spans="1:7">
      <c r="A197" s="31">
        <v>29</v>
      </c>
      <c r="B197" s="5">
        <v>1213</v>
      </c>
      <c r="C197" s="5">
        <v>126</v>
      </c>
      <c r="D197" s="21">
        <v>1.9307000000000001</v>
      </c>
      <c r="E197" s="5" t="s">
        <v>835</v>
      </c>
      <c r="F197" s="5"/>
      <c r="G197" s="38">
        <f t="shared" si="4"/>
        <v>44.972802281549811</v>
      </c>
    </row>
    <row r="198" spans="1:7">
      <c r="A198" s="31">
        <v>30</v>
      </c>
      <c r="B198" s="5">
        <v>1213</v>
      </c>
      <c r="C198" s="5">
        <v>135</v>
      </c>
      <c r="D198" s="21">
        <v>4.8075000000000001</v>
      </c>
      <c r="E198" s="5" t="s">
        <v>834</v>
      </c>
      <c r="F198" s="5"/>
      <c r="G198" s="38">
        <f t="shared" si="4"/>
        <v>111.98360541179402</v>
      </c>
    </row>
    <row r="199" spans="1:7">
      <c r="A199" s="31">
        <v>31</v>
      </c>
      <c r="B199" s="5">
        <v>1213</v>
      </c>
      <c r="C199" s="5">
        <v>138</v>
      </c>
      <c r="D199" s="21">
        <v>4.476</v>
      </c>
      <c r="E199" s="5" t="s">
        <v>835</v>
      </c>
      <c r="F199" s="5"/>
      <c r="G199" s="38">
        <f t="shared" si="4"/>
        <v>104.26180297934269</v>
      </c>
    </row>
    <row r="200" spans="1:7">
      <c r="A200" s="31">
        <v>32</v>
      </c>
      <c r="B200" s="5">
        <v>1213</v>
      </c>
      <c r="C200" s="5">
        <v>170</v>
      </c>
      <c r="D200" s="21">
        <v>8.1974</v>
      </c>
      <c r="E200" s="5" t="s">
        <v>835</v>
      </c>
      <c r="F200" s="5"/>
      <c r="G200" s="38">
        <f t="shared" si="4"/>
        <v>190.94631450912954</v>
      </c>
    </row>
    <row r="201" spans="1:7">
      <c r="A201" s="82">
        <v>33</v>
      </c>
      <c r="B201" s="83">
        <v>1213</v>
      </c>
      <c r="C201" s="83">
        <v>256</v>
      </c>
      <c r="D201" s="79">
        <v>1.8493999999999999</v>
      </c>
      <c r="E201" s="83" t="s">
        <v>835</v>
      </c>
      <c r="F201" s="83"/>
      <c r="G201" s="38">
        <f t="shared" si="4"/>
        <v>43.079038970061745</v>
      </c>
    </row>
    <row r="202" spans="1:7">
      <c r="A202" s="46">
        <v>34</v>
      </c>
      <c r="B202" s="47">
        <v>1213</v>
      </c>
      <c r="C202" s="47">
        <v>121</v>
      </c>
      <c r="D202" s="40">
        <v>6.8625999999999996</v>
      </c>
      <c r="E202" s="47" t="s">
        <v>836</v>
      </c>
      <c r="F202" s="47"/>
      <c r="G202" s="38">
        <f t="shared" si="4"/>
        <v>159.85412178865889</v>
      </c>
    </row>
    <row r="203" spans="1:7" ht="13.5" thickBot="1">
      <c r="A203" s="32">
        <v>35</v>
      </c>
      <c r="B203" s="27">
        <v>1213</v>
      </c>
      <c r="C203" s="27">
        <v>130</v>
      </c>
      <c r="D203" s="41">
        <v>2.6084999999999998</v>
      </c>
      <c r="E203" s="27" t="s">
        <v>837</v>
      </c>
      <c r="F203" s="27"/>
      <c r="G203" s="38">
        <f t="shared" si="4"/>
        <v>60.761151267116936</v>
      </c>
    </row>
    <row r="204" spans="1:7">
      <c r="D204" s="14">
        <f>SUM(D170:D203)</f>
        <v>98.739900000000006</v>
      </c>
      <c r="G204" s="38">
        <f t="shared" si="4"/>
        <v>2300</v>
      </c>
    </row>
    <row r="205" spans="1:7">
      <c r="D205" s="14"/>
      <c r="G205" s="80"/>
    </row>
    <row r="206" spans="1:7">
      <c r="D206" s="14"/>
      <c r="G206" s="80"/>
    </row>
    <row r="207" spans="1:7">
      <c r="D207" s="14"/>
      <c r="G207" s="80"/>
    </row>
    <row r="208" spans="1:7">
      <c r="D208" s="14"/>
      <c r="G208" s="80"/>
    </row>
    <row r="209" spans="1:9">
      <c r="D209" s="14"/>
      <c r="G209" s="80"/>
    </row>
    <row r="210" spans="1:9">
      <c r="D210" s="14"/>
      <c r="G210" s="80"/>
    </row>
    <row r="211" spans="1:9">
      <c r="D211" s="14"/>
      <c r="G211" s="80"/>
    </row>
    <row r="212" spans="1:9">
      <c r="D212" s="14"/>
      <c r="G212" s="80"/>
    </row>
    <row r="213" spans="1:9">
      <c r="A213" s="42" t="s">
        <v>838</v>
      </c>
      <c r="D213" s="14"/>
    </row>
    <row r="214" spans="1:9">
      <c r="C214" s="1" t="s">
        <v>810</v>
      </c>
    </row>
    <row r="215" spans="1:9" s="53" customFormat="1" ht="25.5" customHeight="1">
      <c r="A215"/>
      <c r="B215"/>
      <c r="C215"/>
      <c r="D215"/>
      <c r="E215"/>
      <c r="F215"/>
      <c r="G215"/>
      <c r="H215"/>
      <c r="I215"/>
    </row>
    <row r="217" spans="1:9">
      <c r="C217" s="2"/>
    </row>
    <row r="218" spans="1:9">
      <c r="C218" s="2"/>
    </row>
    <row r="221" spans="1:9">
      <c r="B221" s="12"/>
      <c r="C221" t="s">
        <v>839</v>
      </c>
      <c r="D221">
        <v>3100</v>
      </c>
      <c r="E221" t="s">
        <v>731</v>
      </c>
      <c r="F221" s="92">
        <f>D252</f>
        <v>104.24575</v>
      </c>
      <c r="G221" s="92" t="s">
        <v>812</v>
      </c>
      <c r="H221">
        <f>D221/F221</f>
        <v>29.737423348194049</v>
      </c>
    </row>
    <row r="222" spans="1:9" ht="13.5" thickBot="1">
      <c r="A222" s="42"/>
      <c r="D222" s="14"/>
    </row>
    <row r="223" spans="1:9" ht="38.25">
      <c r="A223" s="50" t="s">
        <v>734</v>
      </c>
      <c r="B223" s="50" t="s">
        <v>135</v>
      </c>
      <c r="C223" s="50" t="s">
        <v>136</v>
      </c>
      <c r="D223" s="50" t="s">
        <v>138</v>
      </c>
      <c r="E223" s="51" t="s">
        <v>140</v>
      </c>
      <c r="F223" s="52"/>
      <c r="G223" s="50" t="s">
        <v>759</v>
      </c>
      <c r="H223" s="53"/>
      <c r="I223" s="53"/>
    </row>
    <row r="224" spans="1:9">
      <c r="A224" s="6">
        <v>1</v>
      </c>
      <c r="B224" s="5">
        <v>1213</v>
      </c>
      <c r="C224" s="5">
        <v>45</v>
      </c>
      <c r="D224" s="9">
        <v>4.8022</v>
      </c>
      <c r="E224" s="5" t="s">
        <v>840</v>
      </c>
      <c r="F224" s="5"/>
      <c r="G224" s="38">
        <f>D224*$H$221</f>
        <v>142.80505440269746</v>
      </c>
    </row>
    <row r="225" spans="1:9">
      <c r="A225" s="6">
        <v>2</v>
      </c>
      <c r="B225" s="5">
        <v>1213</v>
      </c>
      <c r="C225" s="5">
        <v>36</v>
      </c>
      <c r="D225" s="9">
        <v>0</v>
      </c>
      <c r="E225" s="5" t="s">
        <v>841</v>
      </c>
      <c r="F225" s="5"/>
      <c r="G225" s="38">
        <v>0</v>
      </c>
    </row>
    <row r="226" spans="1:9">
      <c r="A226" s="6">
        <v>2</v>
      </c>
      <c r="B226" s="5">
        <v>1213</v>
      </c>
      <c r="C226" s="5">
        <v>276</v>
      </c>
      <c r="D226" s="9">
        <v>0</v>
      </c>
      <c r="E226" s="5" t="s">
        <v>841</v>
      </c>
      <c r="F226" s="5"/>
      <c r="G226" s="38">
        <v>0</v>
      </c>
    </row>
    <row r="227" spans="1:9">
      <c r="A227" s="6">
        <v>2</v>
      </c>
      <c r="B227" s="5">
        <v>1213</v>
      </c>
      <c r="C227" s="5">
        <v>333</v>
      </c>
      <c r="D227" s="9">
        <v>0</v>
      </c>
      <c r="E227" s="5" t="s">
        <v>841</v>
      </c>
      <c r="F227" s="5"/>
      <c r="G227" s="38">
        <v>0</v>
      </c>
    </row>
    <row r="228" spans="1:9" ht="24.75" customHeight="1">
      <c r="A228" s="6">
        <v>2</v>
      </c>
      <c r="B228" s="5">
        <v>1213</v>
      </c>
      <c r="C228" s="5">
        <v>334</v>
      </c>
      <c r="D228" s="9">
        <v>0</v>
      </c>
      <c r="E228" s="5" t="s">
        <v>841</v>
      </c>
      <c r="F228" s="5"/>
      <c r="G228" s="38">
        <v>0</v>
      </c>
    </row>
    <row r="229" spans="1:9">
      <c r="A229" s="6">
        <v>2</v>
      </c>
      <c r="B229" s="5">
        <v>1213</v>
      </c>
      <c r="C229" s="5">
        <v>277</v>
      </c>
      <c r="D229" s="9">
        <v>0</v>
      </c>
      <c r="E229" s="5" t="s">
        <v>841</v>
      </c>
      <c r="F229" s="5"/>
      <c r="G229" s="38">
        <v>0</v>
      </c>
    </row>
    <row r="230" spans="1:9">
      <c r="A230" s="6">
        <v>3</v>
      </c>
      <c r="B230" s="5">
        <v>1213</v>
      </c>
      <c r="C230" s="5">
        <v>270</v>
      </c>
      <c r="D230" s="9">
        <v>0</v>
      </c>
      <c r="E230" s="5" t="s">
        <v>842</v>
      </c>
      <c r="F230" s="5"/>
      <c r="G230" s="38">
        <v>0</v>
      </c>
    </row>
    <row r="231" spans="1:9">
      <c r="A231" s="6">
        <v>4</v>
      </c>
      <c r="B231" s="5">
        <v>1213</v>
      </c>
      <c r="C231" s="5">
        <v>252</v>
      </c>
      <c r="D231" s="9">
        <v>2.2267999999999999</v>
      </c>
      <c r="E231" s="5" t="s">
        <v>843</v>
      </c>
      <c r="F231" s="5"/>
      <c r="G231" s="38">
        <f t="shared" ref="G231:G252" si="5">D231*$H$221</f>
        <v>66.219294311758503</v>
      </c>
    </row>
    <row r="232" spans="1:9" s="73" customFormat="1">
      <c r="A232" s="6">
        <v>5</v>
      </c>
      <c r="B232" s="5">
        <v>1213</v>
      </c>
      <c r="C232" s="5">
        <v>332</v>
      </c>
      <c r="D232" s="9">
        <v>2.3932000000000002</v>
      </c>
      <c r="E232" s="5" t="s">
        <v>806</v>
      </c>
      <c r="F232" s="5"/>
      <c r="G232" s="38">
        <f t="shared" si="5"/>
        <v>71.167601556898006</v>
      </c>
      <c r="H232"/>
      <c r="I232"/>
    </row>
    <row r="233" spans="1:9">
      <c r="A233" s="6">
        <v>6</v>
      </c>
      <c r="B233" s="5">
        <v>1213</v>
      </c>
      <c r="C233" s="5">
        <v>331</v>
      </c>
      <c r="D233" s="9">
        <v>9</v>
      </c>
      <c r="E233" s="5" t="s">
        <v>806</v>
      </c>
      <c r="F233" s="5"/>
      <c r="G233" s="38">
        <f t="shared" si="5"/>
        <v>267.63681013374645</v>
      </c>
    </row>
    <row r="234" spans="1:9">
      <c r="A234" s="6">
        <v>7</v>
      </c>
      <c r="B234" s="5">
        <v>1213</v>
      </c>
      <c r="C234" s="5">
        <v>40</v>
      </c>
      <c r="D234" s="9">
        <v>7.1605999999999996</v>
      </c>
      <c r="E234" s="5" t="s">
        <v>844</v>
      </c>
      <c r="F234" s="5"/>
      <c r="G234" s="38">
        <f t="shared" si="5"/>
        <v>212.93779362707829</v>
      </c>
    </row>
    <row r="235" spans="1:9">
      <c r="A235" s="6">
        <v>8</v>
      </c>
      <c r="B235" s="5">
        <v>1213</v>
      </c>
      <c r="C235" s="5">
        <v>51</v>
      </c>
      <c r="D235" s="9">
        <v>4.9087500000000004</v>
      </c>
      <c r="E235" s="5" t="s">
        <v>791</v>
      </c>
      <c r="F235" s="5"/>
      <c r="G235" s="38">
        <f t="shared" si="5"/>
        <v>145.97357686044757</v>
      </c>
    </row>
    <row r="236" spans="1:9">
      <c r="A236" s="31">
        <v>5</v>
      </c>
      <c r="B236" s="5">
        <v>1213</v>
      </c>
      <c r="C236" s="5">
        <v>52</v>
      </c>
      <c r="D236" s="9">
        <v>2</v>
      </c>
      <c r="E236" s="5" t="s">
        <v>845</v>
      </c>
      <c r="F236" s="5"/>
      <c r="G236" s="38">
        <f t="shared" si="5"/>
        <v>59.474846696388099</v>
      </c>
    </row>
    <row r="237" spans="1:9">
      <c r="A237" s="6">
        <v>9</v>
      </c>
      <c r="B237" s="5">
        <v>1213</v>
      </c>
      <c r="C237" s="5">
        <v>53</v>
      </c>
      <c r="D237" s="9">
        <v>5.4569999999999999</v>
      </c>
      <c r="E237" s="5" t="s">
        <v>846</v>
      </c>
      <c r="F237" s="5"/>
      <c r="G237" s="38">
        <f t="shared" si="5"/>
        <v>162.27711921109491</v>
      </c>
    </row>
    <row r="238" spans="1:9">
      <c r="A238" s="6">
        <v>10</v>
      </c>
      <c r="B238" s="5">
        <v>1213</v>
      </c>
      <c r="C238" s="5">
        <v>64</v>
      </c>
      <c r="D238" s="9">
        <v>6.2915999999999999</v>
      </c>
      <c r="E238" s="5" t="s">
        <v>847</v>
      </c>
      <c r="F238" s="5"/>
      <c r="G238" s="38">
        <f t="shared" si="5"/>
        <v>187.09597273749768</v>
      </c>
    </row>
    <row r="239" spans="1:9">
      <c r="A239" s="6">
        <v>11</v>
      </c>
      <c r="B239" s="5">
        <v>1213</v>
      </c>
      <c r="C239" s="5">
        <v>62</v>
      </c>
      <c r="D239" s="9">
        <v>5.8545999999999996</v>
      </c>
      <c r="E239" s="5" t="s">
        <v>848</v>
      </c>
      <c r="F239" s="5"/>
      <c r="G239" s="38">
        <f t="shared" si="5"/>
        <v>174.10071873433688</v>
      </c>
    </row>
    <row r="240" spans="1:9">
      <c r="A240" s="6">
        <v>12</v>
      </c>
      <c r="B240" s="5">
        <v>1213</v>
      </c>
      <c r="C240" s="5">
        <v>35</v>
      </c>
      <c r="D240" s="9">
        <v>14.1714</v>
      </c>
      <c r="E240" s="5" t="s">
        <v>849</v>
      </c>
      <c r="F240" s="5"/>
      <c r="G240" s="38">
        <f t="shared" si="5"/>
        <v>421.42092123659717</v>
      </c>
    </row>
    <row r="241" spans="1:7">
      <c r="A241" s="6">
        <v>13</v>
      </c>
      <c r="B241" s="5">
        <v>1213</v>
      </c>
      <c r="C241" s="5">
        <v>91</v>
      </c>
      <c r="D241" s="9">
        <v>4.6063999999999998</v>
      </c>
      <c r="E241" s="5" t="s">
        <v>850</v>
      </c>
      <c r="F241" s="5"/>
      <c r="G241" s="38">
        <f t="shared" si="5"/>
        <v>136.98246691112107</v>
      </c>
    </row>
    <row r="242" spans="1:7">
      <c r="A242" s="6">
        <v>14</v>
      </c>
      <c r="B242" s="5">
        <v>1213</v>
      </c>
      <c r="C242" s="5">
        <v>37</v>
      </c>
      <c r="D242" s="9">
        <v>14.486700000000001</v>
      </c>
      <c r="E242" s="5" t="s">
        <v>851</v>
      </c>
      <c r="F242" s="5"/>
      <c r="G242" s="38">
        <f t="shared" si="5"/>
        <v>430.79713081828277</v>
      </c>
    </row>
    <row r="243" spans="1:7">
      <c r="A243" s="6">
        <v>14</v>
      </c>
      <c r="B243" s="5">
        <v>1213</v>
      </c>
      <c r="C243" s="5">
        <v>323</v>
      </c>
      <c r="D243" s="9">
        <v>0.36330000000000001</v>
      </c>
      <c r="E243" s="5" t="s">
        <v>852</v>
      </c>
      <c r="F243" s="5"/>
      <c r="G243" s="38">
        <f t="shared" si="5"/>
        <v>10.803605902398898</v>
      </c>
    </row>
    <row r="244" spans="1:7">
      <c r="A244" s="6">
        <v>15</v>
      </c>
      <c r="B244" s="5">
        <v>1213</v>
      </c>
      <c r="C244" s="5">
        <v>50</v>
      </c>
      <c r="D244" s="9">
        <v>6.625</v>
      </c>
      <c r="E244" s="5" t="s">
        <v>853</v>
      </c>
      <c r="F244" s="5"/>
      <c r="G244" s="38">
        <f t="shared" si="5"/>
        <v>197.01042968178558</v>
      </c>
    </row>
    <row r="245" spans="1:7">
      <c r="A245" s="6">
        <v>16</v>
      </c>
      <c r="B245" s="5">
        <v>1213</v>
      </c>
      <c r="C245" s="5">
        <v>67</v>
      </c>
      <c r="D245" s="9">
        <v>3.1457999999999999</v>
      </c>
      <c r="E245" s="5" t="s">
        <v>854</v>
      </c>
      <c r="F245" s="5"/>
      <c r="G245" s="38">
        <f t="shared" si="5"/>
        <v>93.547986368748838</v>
      </c>
    </row>
    <row r="246" spans="1:7">
      <c r="A246" s="6">
        <v>17</v>
      </c>
      <c r="B246" s="5">
        <v>1213</v>
      </c>
      <c r="C246" s="5">
        <v>54</v>
      </c>
      <c r="D246" s="9">
        <v>1.4839</v>
      </c>
      <c r="E246" s="5" t="s">
        <v>855</v>
      </c>
      <c r="F246" s="5"/>
      <c r="G246" s="38">
        <f t="shared" si="5"/>
        <v>44.127362506385147</v>
      </c>
    </row>
    <row r="247" spans="1:7">
      <c r="A247" s="6">
        <v>18</v>
      </c>
      <c r="B247" s="5">
        <v>1213</v>
      </c>
      <c r="C247" s="5">
        <v>31</v>
      </c>
      <c r="D247" s="9">
        <v>1.7303999999999999</v>
      </c>
      <c r="E247" s="5" t="s">
        <v>856</v>
      </c>
      <c r="F247" s="5"/>
      <c r="G247" s="38">
        <f t="shared" si="5"/>
        <v>51.45763736171498</v>
      </c>
    </row>
    <row r="248" spans="1:7">
      <c r="A248" s="6">
        <v>18</v>
      </c>
      <c r="B248" s="5">
        <v>1213</v>
      </c>
      <c r="C248" s="5">
        <v>309</v>
      </c>
      <c r="D248" s="9">
        <v>2.5293000000000001</v>
      </c>
      <c r="E248" s="5" t="s">
        <v>856</v>
      </c>
      <c r="F248" s="5"/>
      <c r="G248" s="38">
        <f t="shared" si="5"/>
        <v>75.214864874587207</v>
      </c>
    </row>
    <row r="249" spans="1:7">
      <c r="A249" s="6">
        <v>19</v>
      </c>
      <c r="B249" s="5">
        <v>1213</v>
      </c>
      <c r="C249" s="5">
        <v>311</v>
      </c>
      <c r="D249" s="9">
        <v>1.4438</v>
      </c>
      <c r="E249" s="5" t="s">
        <v>857</v>
      </c>
      <c r="F249" s="5"/>
      <c r="G249" s="38">
        <f t="shared" si="5"/>
        <v>42.934891830122567</v>
      </c>
    </row>
    <row r="250" spans="1:7">
      <c r="A250" s="6">
        <v>20</v>
      </c>
      <c r="B250" s="5">
        <v>1213</v>
      </c>
      <c r="C250" s="5">
        <v>189</v>
      </c>
      <c r="D250" s="9">
        <v>2.5165000000000002</v>
      </c>
      <c r="E250" s="5" t="s">
        <v>858</v>
      </c>
      <c r="F250" s="5"/>
      <c r="G250" s="38">
        <f t="shared" si="5"/>
        <v>74.834225855730324</v>
      </c>
    </row>
    <row r="251" spans="1:7">
      <c r="A251" s="6">
        <v>21</v>
      </c>
      <c r="B251" s="5">
        <v>1213</v>
      </c>
      <c r="C251" s="5">
        <v>269</v>
      </c>
      <c r="D251" s="9">
        <v>1.0485</v>
      </c>
      <c r="E251" s="5" t="s">
        <v>859</v>
      </c>
      <c r="F251" s="5"/>
      <c r="G251" s="38">
        <f t="shared" si="5"/>
        <v>31.17968838058146</v>
      </c>
    </row>
    <row r="252" spans="1:7">
      <c r="A252" s="11"/>
      <c r="D252" s="15">
        <f>SUM(D224:D251)</f>
        <v>104.24575</v>
      </c>
      <c r="G252" s="38">
        <f t="shared" si="5"/>
        <v>3100</v>
      </c>
    </row>
    <row r="257" spans="1:7" ht="14.25" customHeight="1"/>
    <row r="259" spans="1:7">
      <c r="C259" s="1"/>
    </row>
    <row r="262" spans="1:7">
      <c r="D262" s="2"/>
    </row>
    <row r="263" spans="1:7">
      <c r="D263" s="2"/>
    </row>
    <row r="264" spans="1:7">
      <c r="D264" s="2"/>
    </row>
    <row r="267" spans="1:7">
      <c r="A267" t="s">
        <v>860</v>
      </c>
      <c r="B267" s="12" t="e">
        <f>#REF!-(#REF!+#REF!)</f>
        <v>#REF!</v>
      </c>
      <c r="D267" t="s">
        <v>861</v>
      </c>
      <c r="E267" t="s">
        <v>731</v>
      </c>
      <c r="F267" s="12" t="e">
        <f>#REF!</f>
        <v>#REF!</v>
      </c>
      <c r="G267" s="12" t="e">
        <f>#REF!/F267</f>
        <v>#REF!</v>
      </c>
    </row>
    <row r="269" spans="1:7" ht="13.5" thickBot="1">
      <c r="A269" s="42"/>
    </row>
    <row r="270" spans="1:7">
      <c r="A270" s="44" t="s">
        <v>734</v>
      </c>
      <c r="B270" s="54" t="s">
        <v>862</v>
      </c>
      <c r="C270" s="45"/>
      <c r="D270" s="49" t="s">
        <v>138</v>
      </c>
      <c r="E270" s="44" t="s">
        <v>140</v>
      </c>
      <c r="F270" s="49"/>
      <c r="G270" s="48" t="s">
        <v>759</v>
      </c>
    </row>
    <row r="271" spans="1:7">
      <c r="A271" s="5">
        <v>1</v>
      </c>
      <c r="B271" s="57" t="s">
        <v>863</v>
      </c>
      <c r="C271" s="57"/>
      <c r="D271" s="25">
        <f>D43</f>
        <v>117.05329999999999</v>
      </c>
      <c r="E271" s="61"/>
      <c r="F271" s="62"/>
      <c r="G271" s="38" t="e">
        <f>#REF!*$G$267</f>
        <v>#REF!</v>
      </c>
    </row>
    <row r="272" spans="1:7">
      <c r="A272" s="5">
        <v>1</v>
      </c>
      <c r="B272" s="57" t="s">
        <v>758</v>
      </c>
      <c r="C272" s="57"/>
      <c r="D272" s="25">
        <f>D104</f>
        <v>96.999600000000001</v>
      </c>
      <c r="E272" s="63"/>
      <c r="F272" s="64"/>
      <c r="G272" s="38" t="e">
        <f>#REF!*$G$267</f>
        <v>#REF!</v>
      </c>
    </row>
    <row r="273" spans="1:7">
      <c r="A273" s="5">
        <v>2</v>
      </c>
      <c r="B273" s="59" t="s">
        <v>864</v>
      </c>
      <c r="C273" s="59"/>
      <c r="D273" s="25">
        <f>D155</f>
        <v>16.245499999999996</v>
      </c>
      <c r="E273" s="63"/>
      <c r="F273" s="64"/>
      <c r="G273" s="38" t="e">
        <f>#REF!*$G$267</f>
        <v>#REF!</v>
      </c>
    </row>
    <row r="274" spans="1:7">
      <c r="A274" s="7">
        <v>2</v>
      </c>
      <c r="B274" s="55" t="s">
        <v>865</v>
      </c>
      <c r="C274" s="56"/>
      <c r="D274" s="58" t="e">
        <f>#REF!</f>
        <v>#REF!</v>
      </c>
      <c r="E274" s="63"/>
      <c r="F274" s="64"/>
      <c r="G274" s="38" t="e">
        <f>#REF!*$G$267</f>
        <v>#REF!</v>
      </c>
    </row>
    <row r="275" spans="1:7">
      <c r="A275" s="5">
        <v>2</v>
      </c>
      <c r="B275" s="60" t="s">
        <v>866</v>
      </c>
      <c r="C275" s="60"/>
      <c r="D275" s="25">
        <f>D204</f>
        <v>98.739900000000006</v>
      </c>
      <c r="E275" s="63"/>
      <c r="F275" s="64"/>
      <c r="G275" s="38" t="e">
        <f>#REF!*$G$267</f>
        <v>#REF!</v>
      </c>
    </row>
    <row r="276" spans="1:7">
      <c r="A276" s="5">
        <v>3</v>
      </c>
      <c r="B276" s="57" t="s">
        <v>867</v>
      </c>
      <c r="C276" s="57"/>
      <c r="D276" s="25">
        <f>D252</f>
        <v>104.24575</v>
      </c>
      <c r="E276" s="65"/>
      <c r="F276" s="66"/>
      <c r="G276" s="38" t="e">
        <f>#REF!*$G$267</f>
        <v>#REF!</v>
      </c>
    </row>
    <row r="277" spans="1:7">
      <c r="D277" s="14" t="e">
        <f>SUM(D271:D276)</f>
        <v>#REF!</v>
      </c>
      <c r="G277" s="38" t="e">
        <f>SUM(G271:G276)</f>
        <v>#REF!</v>
      </c>
    </row>
    <row r="279" spans="1:7">
      <c r="B279" s="4"/>
      <c r="D279" s="67"/>
    </row>
    <row r="280" spans="1:7">
      <c r="B280" s="4"/>
      <c r="C280" s="4"/>
      <c r="D280" s="67"/>
    </row>
    <row r="281" spans="1:7">
      <c r="C281" s="4"/>
    </row>
    <row r="304" spans="1:9" s="53" customFormat="1" ht="25.5" customHeight="1">
      <c r="A304"/>
      <c r="B304"/>
      <c r="C304"/>
      <c r="D304"/>
      <c r="E304"/>
      <c r="F304"/>
      <c r="G304"/>
      <c r="H304"/>
      <c r="I304"/>
    </row>
    <row r="332" ht="12.75" customHeight="1"/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6"/>
  <dimension ref="A2:I239"/>
  <sheetViews>
    <sheetView workbookViewId="0" xr3:uid="{2DFAA6B7-64D6-5785-A35B-5A71D07F531F}">
      <selection activeCell="I25" sqref="I25"/>
    </sheetView>
  </sheetViews>
  <sheetFormatPr defaultRowHeight="12.75"/>
  <cols>
    <col min="1" max="1" width="5.140625" customWidth="1"/>
    <col min="2" max="2" width="6.7109375" customWidth="1"/>
    <col min="3" max="3" width="11.42578125" customWidth="1"/>
    <col min="4" max="4" width="9.85546875" customWidth="1"/>
    <col min="5" max="5" width="11.42578125" customWidth="1"/>
    <col min="6" max="6" width="17.5703125" customWidth="1"/>
    <col min="7" max="7" width="9.140625" customWidth="1"/>
    <col min="8" max="8" width="11.5703125" customWidth="1"/>
    <col min="9" max="256" width="11.42578125" customWidth="1"/>
  </cols>
  <sheetData>
    <row r="2" spans="1:8">
      <c r="C2" s="1" t="s">
        <v>729</v>
      </c>
    </row>
    <row r="5" spans="1:8">
      <c r="B5" s="12"/>
      <c r="C5" t="s">
        <v>730</v>
      </c>
      <c r="D5" t="s">
        <v>868</v>
      </c>
      <c r="E5" t="s">
        <v>731</v>
      </c>
      <c r="F5" s="12">
        <f>D172</f>
        <v>473.12740000000014</v>
      </c>
      <c r="G5" s="92" t="s">
        <v>732</v>
      </c>
      <c r="H5" s="14" t="e">
        <f>D5/F5</f>
        <v>#VALUE!</v>
      </c>
    </row>
    <row r="7" spans="1:8" ht="13.5" thickBot="1">
      <c r="A7" s="42" t="s">
        <v>733</v>
      </c>
    </row>
    <row r="8" spans="1:8" s="53" customFormat="1" ht="25.5" customHeight="1">
      <c r="A8" s="50" t="s">
        <v>734</v>
      </c>
      <c r="B8" s="50" t="s">
        <v>135</v>
      </c>
      <c r="C8" s="50" t="s">
        <v>136</v>
      </c>
      <c r="D8" s="50" t="s">
        <v>138</v>
      </c>
      <c r="E8" s="51" t="s">
        <v>140</v>
      </c>
      <c r="F8" s="52"/>
      <c r="G8" s="50" t="s">
        <v>735</v>
      </c>
    </row>
    <row r="9" spans="1:8">
      <c r="A9" s="5">
        <v>1</v>
      </c>
      <c r="B9" s="5">
        <v>1213</v>
      </c>
      <c r="C9" s="5">
        <v>1</v>
      </c>
      <c r="D9" s="21">
        <v>10.5</v>
      </c>
      <c r="E9" s="5" t="s">
        <v>736</v>
      </c>
      <c r="F9" s="43"/>
      <c r="G9" s="38" t="e">
        <f>D9*$H$5</f>
        <v>#VALUE!</v>
      </c>
    </row>
    <row r="10" spans="1:8">
      <c r="A10" s="5">
        <v>1</v>
      </c>
      <c r="B10" s="5">
        <v>1213</v>
      </c>
      <c r="C10" s="5">
        <v>2</v>
      </c>
      <c r="D10" s="21">
        <v>11.535600000000001</v>
      </c>
      <c r="E10" s="5" t="s">
        <v>736</v>
      </c>
      <c r="F10" s="43"/>
      <c r="G10" s="38" t="e">
        <f t="shared" ref="G10:G73" si="0">D10*$H$5</f>
        <v>#VALUE!</v>
      </c>
    </row>
    <row r="11" spans="1:8">
      <c r="A11" s="5">
        <v>1</v>
      </c>
      <c r="B11" s="5">
        <v>1213</v>
      </c>
      <c r="C11" s="5">
        <v>3</v>
      </c>
      <c r="D11" s="21">
        <v>6.6398999999999999</v>
      </c>
      <c r="E11" s="5" t="s">
        <v>736</v>
      </c>
      <c r="F11" s="43"/>
      <c r="G11" s="38" t="e">
        <f t="shared" si="0"/>
        <v>#VALUE!</v>
      </c>
    </row>
    <row r="12" spans="1:8">
      <c r="A12" s="5">
        <v>2</v>
      </c>
      <c r="B12" s="5">
        <v>1213</v>
      </c>
      <c r="C12" s="5">
        <v>140</v>
      </c>
      <c r="D12" s="21">
        <v>0.14330000000000001</v>
      </c>
      <c r="E12" s="5" t="s">
        <v>491</v>
      </c>
      <c r="F12" s="43"/>
      <c r="G12" s="38" t="e">
        <f t="shared" si="0"/>
        <v>#VALUE!</v>
      </c>
    </row>
    <row r="13" spans="1:8">
      <c r="A13" s="5">
        <v>2</v>
      </c>
      <c r="B13" s="5">
        <v>1213</v>
      </c>
      <c r="C13" s="5">
        <v>184</v>
      </c>
      <c r="D13" s="21">
        <v>0.79900000000000004</v>
      </c>
      <c r="E13" s="5" t="s">
        <v>491</v>
      </c>
      <c r="F13" s="43"/>
      <c r="G13" s="38" t="e">
        <f t="shared" si="0"/>
        <v>#VALUE!</v>
      </c>
    </row>
    <row r="14" spans="1:8">
      <c r="A14" s="5">
        <v>4</v>
      </c>
      <c r="B14" s="5">
        <v>1213</v>
      </c>
      <c r="C14" s="5">
        <v>141</v>
      </c>
      <c r="D14" s="21">
        <v>1.0466</v>
      </c>
      <c r="E14" s="5" t="s">
        <v>737</v>
      </c>
      <c r="F14" s="43"/>
      <c r="G14" s="38" t="e">
        <f t="shared" si="0"/>
        <v>#VALUE!</v>
      </c>
    </row>
    <row r="15" spans="1:8">
      <c r="A15" s="5">
        <v>5</v>
      </c>
      <c r="B15" s="5">
        <v>1213</v>
      </c>
      <c r="C15" s="5">
        <v>143</v>
      </c>
      <c r="D15" s="21">
        <v>0.05</v>
      </c>
      <c r="E15" s="5" t="s">
        <v>738</v>
      </c>
      <c r="F15" s="43"/>
      <c r="G15" s="38" t="e">
        <f t="shared" si="0"/>
        <v>#VALUE!</v>
      </c>
    </row>
    <row r="16" spans="1:8">
      <c r="A16" s="5">
        <v>6</v>
      </c>
      <c r="B16" s="5">
        <v>1213</v>
      </c>
      <c r="C16" s="5">
        <v>151</v>
      </c>
      <c r="D16" s="21">
        <v>0.92059999999999997</v>
      </c>
      <c r="E16" s="5" t="s">
        <v>739</v>
      </c>
      <c r="F16" s="43"/>
      <c r="G16" s="38" t="e">
        <f t="shared" si="0"/>
        <v>#VALUE!</v>
      </c>
    </row>
    <row r="17" spans="1:7">
      <c r="A17" s="5">
        <v>8</v>
      </c>
      <c r="B17" s="5">
        <v>1213</v>
      </c>
      <c r="C17" s="5">
        <v>305</v>
      </c>
      <c r="D17" s="21">
        <v>32.580100000000002</v>
      </c>
      <c r="E17" s="5" t="s">
        <v>740</v>
      </c>
      <c r="F17" s="43"/>
      <c r="G17" s="38" t="e">
        <f t="shared" si="0"/>
        <v>#VALUE!</v>
      </c>
    </row>
    <row r="18" spans="1:7">
      <c r="A18" s="5">
        <v>10</v>
      </c>
      <c r="B18" s="5">
        <v>1213</v>
      </c>
      <c r="C18" s="5">
        <v>304</v>
      </c>
      <c r="D18" s="21">
        <v>9.5116999999999994</v>
      </c>
      <c r="E18" s="5" t="s">
        <v>156</v>
      </c>
      <c r="F18" s="43"/>
      <c r="G18" s="38" t="e">
        <f t="shared" si="0"/>
        <v>#VALUE!</v>
      </c>
    </row>
    <row r="19" spans="1:7">
      <c r="A19" s="5">
        <v>11</v>
      </c>
      <c r="B19" s="5">
        <v>1213</v>
      </c>
      <c r="C19" s="5">
        <v>194</v>
      </c>
      <c r="D19" s="21">
        <v>6.1170999999999998</v>
      </c>
      <c r="E19" s="5" t="s">
        <v>741</v>
      </c>
      <c r="F19" s="43"/>
      <c r="G19" s="38" t="e">
        <f t="shared" si="0"/>
        <v>#VALUE!</v>
      </c>
    </row>
    <row r="20" spans="1:7">
      <c r="A20" s="5">
        <v>12</v>
      </c>
      <c r="B20" s="5">
        <v>1213</v>
      </c>
      <c r="C20" s="5">
        <v>259</v>
      </c>
      <c r="D20" s="21">
        <v>0.80359999999999998</v>
      </c>
      <c r="E20" s="5" t="s">
        <v>742</v>
      </c>
      <c r="F20" s="43"/>
      <c r="G20" s="38" t="e">
        <f t="shared" si="0"/>
        <v>#VALUE!</v>
      </c>
    </row>
    <row r="21" spans="1:7">
      <c r="A21" s="5">
        <v>13</v>
      </c>
      <c r="B21" s="5">
        <v>1213</v>
      </c>
      <c r="C21" s="5">
        <v>260</v>
      </c>
      <c r="D21" s="21">
        <v>0.69989999999999997</v>
      </c>
      <c r="E21" s="5" t="s">
        <v>743</v>
      </c>
      <c r="F21" s="43"/>
      <c r="G21" s="38" t="e">
        <f t="shared" si="0"/>
        <v>#VALUE!</v>
      </c>
    </row>
    <row r="22" spans="1:7">
      <c r="A22" s="5">
        <v>14</v>
      </c>
      <c r="B22" s="5">
        <v>1213</v>
      </c>
      <c r="C22" s="5">
        <v>261</v>
      </c>
      <c r="D22" s="21">
        <v>0.68989999999999996</v>
      </c>
      <c r="E22" s="5" t="s">
        <v>744</v>
      </c>
      <c r="F22" s="43"/>
      <c r="G22" s="38" t="e">
        <f t="shared" si="0"/>
        <v>#VALUE!</v>
      </c>
    </row>
    <row r="23" spans="1:7">
      <c r="A23" s="5">
        <v>15</v>
      </c>
      <c r="B23" s="5">
        <v>1213</v>
      </c>
      <c r="C23" s="5">
        <v>262</v>
      </c>
      <c r="D23" s="21">
        <v>0.67989999999999995</v>
      </c>
      <c r="E23" s="5" t="s">
        <v>745</v>
      </c>
      <c r="F23" s="43"/>
      <c r="G23" s="38" t="e">
        <f t="shared" si="0"/>
        <v>#VALUE!</v>
      </c>
    </row>
    <row r="24" spans="1:7">
      <c r="A24" s="5">
        <v>16</v>
      </c>
      <c r="B24" s="5">
        <v>1213</v>
      </c>
      <c r="C24" s="5">
        <v>17</v>
      </c>
      <c r="D24" s="21">
        <v>0.35780000000000001</v>
      </c>
      <c r="E24" s="5" t="s">
        <v>746</v>
      </c>
      <c r="F24" s="43"/>
      <c r="G24" s="38" t="e">
        <f t="shared" si="0"/>
        <v>#VALUE!</v>
      </c>
    </row>
    <row r="25" spans="1:7">
      <c r="A25" s="5">
        <v>17</v>
      </c>
      <c r="B25" s="5">
        <v>1213</v>
      </c>
      <c r="C25" s="5">
        <v>164</v>
      </c>
      <c r="D25" s="21">
        <v>0.17349999999999999</v>
      </c>
      <c r="E25" s="5" t="s">
        <v>747</v>
      </c>
      <c r="F25" s="43"/>
      <c r="G25" s="38" t="e">
        <f t="shared" si="0"/>
        <v>#VALUE!</v>
      </c>
    </row>
    <row r="26" spans="1:7">
      <c r="A26" s="5">
        <v>19</v>
      </c>
      <c r="B26" s="5">
        <v>1213</v>
      </c>
      <c r="C26" s="5">
        <v>214</v>
      </c>
      <c r="D26" s="21">
        <v>0.17030000000000001</v>
      </c>
      <c r="E26" s="5" t="s">
        <v>748</v>
      </c>
      <c r="F26" s="5"/>
      <c r="G26" s="38" t="e">
        <f t="shared" si="0"/>
        <v>#VALUE!</v>
      </c>
    </row>
    <row r="27" spans="1:7">
      <c r="A27" s="5">
        <v>20</v>
      </c>
      <c r="B27" s="5">
        <v>1213</v>
      </c>
      <c r="C27" s="5">
        <v>81</v>
      </c>
      <c r="D27" s="21">
        <v>0.7</v>
      </c>
      <c r="E27" s="5" t="s">
        <v>749</v>
      </c>
      <c r="F27" s="43"/>
      <c r="G27" s="38" t="e">
        <f t="shared" si="0"/>
        <v>#VALUE!</v>
      </c>
    </row>
    <row r="28" spans="1:7">
      <c r="A28" s="5">
        <v>21</v>
      </c>
      <c r="B28" s="5">
        <v>1213</v>
      </c>
      <c r="C28" s="5">
        <v>80</v>
      </c>
      <c r="D28" s="21">
        <v>0.32269999999999999</v>
      </c>
      <c r="E28" s="5" t="s">
        <v>750</v>
      </c>
      <c r="F28" s="43"/>
      <c r="G28" s="38" t="e">
        <f t="shared" si="0"/>
        <v>#VALUE!</v>
      </c>
    </row>
    <row r="29" spans="1:7">
      <c r="A29" s="5">
        <v>23</v>
      </c>
      <c r="B29" s="5">
        <v>1213</v>
      </c>
      <c r="C29" s="5">
        <v>82</v>
      </c>
      <c r="D29" s="21">
        <v>0.65</v>
      </c>
      <c r="E29" s="5" t="s">
        <v>409</v>
      </c>
      <c r="F29" s="43"/>
      <c r="G29" s="38" t="e">
        <f t="shared" si="0"/>
        <v>#VALUE!</v>
      </c>
    </row>
    <row r="30" spans="1:7">
      <c r="A30" s="5">
        <v>24</v>
      </c>
      <c r="B30" s="5">
        <v>1213</v>
      </c>
      <c r="C30" s="5">
        <v>83</v>
      </c>
      <c r="D30" s="21">
        <v>6.4714</v>
      </c>
      <c r="E30" s="5" t="s">
        <v>751</v>
      </c>
      <c r="F30" s="43"/>
      <c r="G30" s="38" t="e">
        <f t="shared" si="0"/>
        <v>#VALUE!</v>
      </c>
    </row>
    <row r="31" spans="1:7">
      <c r="A31" s="5">
        <v>25</v>
      </c>
      <c r="B31" s="5">
        <v>1213</v>
      </c>
      <c r="C31" s="5">
        <v>243</v>
      </c>
      <c r="D31" s="21">
        <v>0.1162</v>
      </c>
      <c r="E31" s="5" t="s">
        <v>752</v>
      </c>
      <c r="F31" s="5"/>
      <c r="G31" s="38" t="e">
        <f t="shared" si="0"/>
        <v>#VALUE!</v>
      </c>
    </row>
    <row r="32" spans="1:7">
      <c r="A32" s="5">
        <v>26</v>
      </c>
      <c r="B32" s="5">
        <v>1213</v>
      </c>
      <c r="C32" s="5">
        <v>248</v>
      </c>
      <c r="D32" s="21">
        <v>1</v>
      </c>
      <c r="E32" s="5" t="s">
        <v>752</v>
      </c>
      <c r="F32" s="5"/>
      <c r="G32" s="38" t="e">
        <f t="shared" si="0"/>
        <v>#VALUE!</v>
      </c>
    </row>
    <row r="33" spans="1:7">
      <c r="A33" s="5">
        <v>27</v>
      </c>
      <c r="B33" s="5">
        <v>1213</v>
      </c>
      <c r="C33" s="5">
        <v>283</v>
      </c>
      <c r="D33" s="21">
        <v>0.1162</v>
      </c>
      <c r="E33" s="5" t="s">
        <v>752</v>
      </c>
      <c r="F33" s="5"/>
      <c r="G33" s="38" t="e">
        <f t="shared" si="0"/>
        <v>#VALUE!</v>
      </c>
    </row>
    <row r="34" spans="1:7">
      <c r="A34" s="5">
        <v>28</v>
      </c>
      <c r="B34" s="5">
        <v>1213</v>
      </c>
      <c r="C34" s="5">
        <v>247</v>
      </c>
      <c r="D34" s="21">
        <v>11.038</v>
      </c>
      <c r="E34" s="5" t="s">
        <v>752</v>
      </c>
      <c r="F34" s="43"/>
      <c r="G34" s="38" t="e">
        <f t="shared" si="0"/>
        <v>#VALUE!</v>
      </c>
    </row>
    <row r="35" spans="1:7">
      <c r="A35" s="5">
        <v>29</v>
      </c>
      <c r="B35" s="5">
        <v>1213</v>
      </c>
      <c r="C35" s="5">
        <v>246</v>
      </c>
      <c r="D35" s="21">
        <v>3.5491000000000001</v>
      </c>
      <c r="E35" s="5" t="s">
        <v>753</v>
      </c>
      <c r="F35" s="43"/>
      <c r="G35" s="38" t="e">
        <f t="shared" si="0"/>
        <v>#VALUE!</v>
      </c>
    </row>
    <row r="36" spans="1:7">
      <c r="A36" s="5">
        <v>30</v>
      </c>
      <c r="B36" s="5">
        <v>1213</v>
      </c>
      <c r="C36" s="5">
        <v>290</v>
      </c>
      <c r="D36" s="21">
        <v>0.55720000000000003</v>
      </c>
      <c r="E36" s="5" t="s">
        <v>754</v>
      </c>
      <c r="F36" s="5"/>
      <c r="G36" s="38" t="e">
        <f t="shared" si="0"/>
        <v>#VALUE!</v>
      </c>
    </row>
    <row r="37" spans="1:7">
      <c r="A37" s="5">
        <v>31</v>
      </c>
      <c r="B37" s="5">
        <v>1213</v>
      </c>
      <c r="C37" s="5">
        <v>21</v>
      </c>
      <c r="D37" s="21">
        <v>1.1616</v>
      </c>
      <c r="E37" s="5" t="s">
        <v>754</v>
      </c>
      <c r="F37" s="43"/>
      <c r="G37" s="38" t="e">
        <f t="shared" si="0"/>
        <v>#VALUE!</v>
      </c>
    </row>
    <row r="38" spans="1:7">
      <c r="A38" s="5">
        <v>32</v>
      </c>
      <c r="B38" s="5">
        <v>1213</v>
      </c>
      <c r="C38" s="5">
        <v>75</v>
      </c>
      <c r="D38" s="21">
        <v>0.65669999999999995</v>
      </c>
      <c r="E38" s="5" t="s">
        <v>755</v>
      </c>
      <c r="F38" s="43"/>
      <c r="G38" s="38" t="e">
        <f t="shared" si="0"/>
        <v>#VALUE!</v>
      </c>
    </row>
    <row r="39" spans="1:7">
      <c r="A39" s="5">
        <v>33</v>
      </c>
      <c r="B39" s="5">
        <v>1213</v>
      </c>
      <c r="C39" s="5">
        <v>292</v>
      </c>
      <c r="D39" s="21">
        <v>0.22500000000000001</v>
      </c>
      <c r="E39" s="5" t="s">
        <v>756</v>
      </c>
      <c r="F39" s="5"/>
      <c r="G39" s="38" t="e">
        <f t="shared" si="0"/>
        <v>#VALUE!</v>
      </c>
    </row>
    <row r="40" spans="1:7">
      <c r="A40" s="5">
        <v>34</v>
      </c>
      <c r="B40" s="5">
        <v>1213</v>
      </c>
      <c r="C40" s="5">
        <v>293</v>
      </c>
      <c r="D40" s="21">
        <v>3.4775999999999998</v>
      </c>
      <c r="E40" s="5" t="s">
        <v>756</v>
      </c>
      <c r="F40" s="5"/>
      <c r="G40" s="38" t="e">
        <f t="shared" si="0"/>
        <v>#VALUE!</v>
      </c>
    </row>
    <row r="41" spans="1:7">
      <c r="A41" s="5">
        <v>36</v>
      </c>
      <c r="B41" s="5">
        <v>1213</v>
      </c>
      <c r="C41" s="5">
        <v>297</v>
      </c>
      <c r="D41" s="21">
        <v>3.5628000000000002</v>
      </c>
      <c r="E41" s="5" t="s">
        <v>756</v>
      </c>
      <c r="F41" s="5"/>
      <c r="G41" s="38" t="e">
        <f t="shared" si="0"/>
        <v>#VALUE!</v>
      </c>
    </row>
    <row r="42" spans="1:7">
      <c r="A42" s="5">
        <v>37</v>
      </c>
      <c r="B42" s="5">
        <v>1213</v>
      </c>
      <c r="C42" s="5">
        <v>322</v>
      </c>
      <c r="D42" s="21">
        <v>0.03</v>
      </c>
      <c r="E42" s="5" t="s">
        <v>757</v>
      </c>
      <c r="F42" s="5"/>
      <c r="G42" s="38" t="e">
        <f t="shared" si="0"/>
        <v>#VALUE!</v>
      </c>
    </row>
    <row r="43" spans="1:7" ht="13.5" thickBot="1">
      <c r="A43" s="10"/>
      <c r="B43" s="10"/>
      <c r="C43" s="10"/>
      <c r="D43" s="68"/>
      <c r="E43" s="10"/>
      <c r="F43" s="10"/>
      <c r="G43" s="38" t="e">
        <f t="shared" si="0"/>
        <v>#VALUE!</v>
      </c>
    </row>
    <row r="44" spans="1:7">
      <c r="A44" s="30">
        <v>1</v>
      </c>
      <c r="B44" s="23">
        <v>1213</v>
      </c>
      <c r="C44" s="23">
        <v>84</v>
      </c>
      <c r="D44" s="33">
        <v>2.6511999999999998</v>
      </c>
      <c r="E44" s="23" t="s">
        <v>760</v>
      </c>
      <c r="F44" s="23"/>
      <c r="G44" s="38" t="e">
        <f t="shared" si="0"/>
        <v>#VALUE!</v>
      </c>
    </row>
    <row r="45" spans="1:7">
      <c r="A45" s="31">
        <v>2</v>
      </c>
      <c r="B45" s="5">
        <v>1213</v>
      </c>
      <c r="C45" s="5">
        <v>312</v>
      </c>
      <c r="D45" s="9">
        <v>11.285500000000001</v>
      </c>
      <c r="E45" s="5" t="s">
        <v>761</v>
      </c>
      <c r="F45" s="5"/>
      <c r="G45" s="38" t="e">
        <f t="shared" si="0"/>
        <v>#VALUE!</v>
      </c>
    </row>
    <row r="46" spans="1:7">
      <c r="A46" s="31">
        <v>4</v>
      </c>
      <c r="B46" s="5">
        <v>1213</v>
      </c>
      <c r="C46" s="5">
        <v>76</v>
      </c>
      <c r="D46" s="9">
        <v>0.67669999999999997</v>
      </c>
      <c r="E46" s="5" t="s">
        <v>762</v>
      </c>
      <c r="F46" s="5"/>
      <c r="G46" s="38" t="e">
        <f t="shared" si="0"/>
        <v>#VALUE!</v>
      </c>
    </row>
    <row r="47" spans="1:7">
      <c r="A47" s="31">
        <v>5</v>
      </c>
      <c r="B47" s="5">
        <v>1213</v>
      </c>
      <c r="C47" s="5">
        <v>7</v>
      </c>
      <c r="D47" s="9">
        <v>0.183</v>
      </c>
      <c r="E47" s="5" t="s">
        <v>763</v>
      </c>
      <c r="F47" s="5"/>
      <c r="G47" s="38" t="e">
        <f t="shared" si="0"/>
        <v>#VALUE!</v>
      </c>
    </row>
    <row r="48" spans="1:7">
      <c r="A48" s="31">
        <v>7</v>
      </c>
      <c r="B48" s="5">
        <v>1213</v>
      </c>
      <c r="C48" s="5">
        <v>71</v>
      </c>
      <c r="D48" s="9">
        <v>9.2989999999999995</v>
      </c>
      <c r="E48" s="5" t="s">
        <v>764</v>
      </c>
      <c r="F48" s="5"/>
      <c r="G48" s="38" t="e">
        <f t="shared" si="0"/>
        <v>#VALUE!</v>
      </c>
    </row>
    <row r="49" spans="1:9">
      <c r="A49" s="31">
        <v>7</v>
      </c>
      <c r="B49" s="5">
        <v>1213</v>
      </c>
      <c r="C49" s="5">
        <v>137</v>
      </c>
      <c r="D49" s="9">
        <v>1.2117</v>
      </c>
      <c r="E49" s="5" t="s">
        <v>765</v>
      </c>
      <c r="F49" s="5"/>
      <c r="G49" s="38" t="e">
        <f t="shared" si="0"/>
        <v>#VALUE!</v>
      </c>
    </row>
    <row r="50" spans="1:9">
      <c r="A50" s="31">
        <v>7</v>
      </c>
      <c r="B50" s="5">
        <v>1213</v>
      </c>
      <c r="C50" s="5">
        <v>300</v>
      </c>
      <c r="D50" s="9">
        <v>9.1499999999999998E-2</v>
      </c>
      <c r="E50" s="5" t="s">
        <v>766</v>
      </c>
      <c r="F50" s="5"/>
      <c r="G50" s="38" t="e">
        <f t="shared" si="0"/>
        <v>#VALUE!</v>
      </c>
    </row>
    <row r="51" spans="1:9">
      <c r="A51" s="31">
        <v>8</v>
      </c>
      <c r="B51" s="5">
        <v>1213</v>
      </c>
      <c r="C51" s="5">
        <v>303</v>
      </c>
      <c r="D51" s="9">
        <v>3.2759999999999998</v>
      </c>
      <c r="E51" s="5" t="s">
        <v>767</v>
      </c>
      <c r="F51" s="5"/>
      <c r="G51" s="38" t="e">
        <f t="shared" si="0"/>
        <v>#VALUE!</v>
      </c>
    </row>
    <row r="52" spans="1:9">
      <c r="A52" s="31">
        <v>8</v>
      </c>
      <c r="B52" s="5">
        <v>1213</v>
      </c>
      <c r="C52" s="5">
        <v>308</v>
      </c>
      <c r="D52" s="9">
        <v>7.9882999999999997</v>
      </c>
      <c r="E52" s="5" t="s">
        <v>767</v>
      </c>
      <c r="F52" s="5"/>
      <c r="G52" s="38" t="e">
        <f t="shared" si="0"/>
        <v>#VALUE!</v>
      </c>
    </row>
    <row r="53" spans="1:9">
      <c r="A53" s="31">
        <v>19</v>
      </c>
      <c r="B53" s="5">
        <v>1213</v>
      </c>
      <c r="C53" s="5">
        <v>88</v>
      </c>
      <c r="D53" s="9">
        <v>14.723599999999999</v>
      </c>
      <c r="E53" s="5" t="s">
        <v>767</v>
      </c>
      <c r="F53" s="5"/>
      <c r="G53" s="38" t="e">
        <f t="shared" si="0"/>
        <v>#VALUE!</v>
      </c>
    </row>
    <row r="54" spans="1:9">
      <c r="A54" s="31">
        <v>19</v>
      </c>
      <c r="B54" s="5">
        <v>1213</v>
      </c>
      <c r="C54" s="5">
        <v>159</v>
      </c>
      <c r="D54" s="9">
        <v>4.6924999999999999</v>
      </c>
      <c r="E54" s="5" t="s">
        <v>767</v>
      </c>
      <c r="F54" s="5"/>
      <c r="G54" s="38" t="e">
        <f t="shared" si="0"/>
        <v>#VALUE!</v>
      </c>
    </row>
    <row r="55" spans="1:9">
      <c r="A55" s="31">
        <v>9</v>
      </c>
      <c r="B55" s="5">
        <v>1213</v>
      </c>
      <c r="C55" s="5">
        <v>91</v>
      </c>
      <c r="D55" s="9">
        <v>4.6063999999999998</v>
      </c>
      <c r="E55" s="5" t="s">
        <v>768</v>
      </c>
      <c r="F55" s="5"/>
      <c r="G55" s="38" t="e">
        <f t="shared" si="0"/>
        <v>#VALUE!</v>
      </c>
    </row>
    <row r="56" spans="1:9">
      <c r="A56" s="31">
        <v>9</v>
      </c>
      <c r="B56" s="5">
        <v>1213</v>
      </c>
      <c r="C56" s="5">
        <v>92</v>
      </c>
      <c r="D56" s="9">
        <v>0.60699999999999998</v>
      </c>
      <c r="E56" s="5" t="s">
        <v>769</v>
      </c>
      <c r="F56" s="5"/>
      <c r="G56" s="38" t="e">
        <f t="shared" si="0"/>
        <v>#VALUE!</v>
      </c>
    </row>
    <row r="57" spans="1:9">
      <c r="A57" s="31">
        <v>9</v>
      </c>
      <c r="B57" s="5">
        <v>1213</v>
      </c>
      <c r="C57" s="5">
        <v>93</v>
      </c>
      <c r="D57" s="9">
        <v>2.2999999999999998</v>
      </c>
      <c r="E57" s="5" t="s">
        <v>770</v>
      </c>
      <c r="F57" s="5"/>
      <c r="G57" s="38" t="e">
        <f t="shared" si="0"/>
        <v>#VALUE!</v>
      </c>
    </row>
    <row r="58" spans="1:9">
      <c r="A58" s="31">
        <v>10</v>
      </c>
      <c r="B58" s="5">
        <v>1213</v>
      </c>
      <c r="C58" s="5">
        <v>306</v>
      </c>
      <c r="D58" s="9">
        <v>4.5285000000000002</v>
      </c>
      <c r="E58" s="5" t="s">
        <v>771</v>
      </c>
      <c r="F58" s="5"/>
      <c r="G58" s="38" t="e">
        <f t="shared" si="0"/>
        <v>#VALUE!</v>
      </c>
    </row>
    <row r="59" spans="1:9">
      <c r="A59" s="31">
        <v>11</v>
      </c>
      <c r="B59" s="5">
        <v>1213</v>
      </c>
      <c r="C59" s="5">
        <v>200</v>
      </c>
      <c r="D59" s="9">
        <v>0.7883</v>
      </c>
      <c r="E59" s="5" t="s">
        <v>772</v>
      </c>
      <c r="F59" s="5"/>
      <c r="G59" s="38" t="e">
        <f t="shared" si="0"/>
        <v>#VALUE!</v>
      </c>
    </row>
    <row r="60" spans="1:9">
      <c r="A60" s="31">
        <v>12</v>
      </c>
      <c r="B60" s="5">
        <v>1213</v>
      </c>
      <c r="C60" s="5">
        <v>94</v>
      </c>
      <c r="D60" s="9">
        <v>0.7228</v>
      </c>
      <c r="E60" s="5" t="s">
        <v>773</v>
      </c>
      <c r="F60" s="5"/>
      <c r="G60" s="38" t="e">
        <f t="shared" si="0"/>
        <v>#VALUE!</v>
      </c>
    </row>
    <row r="61" spans="1:9">
      <c r="A61" s="31">
        <v>13</v>
      </c>
      <c r="B61" s="5">
        <v>1213</v>
      </c>
      <c r="C61" s="5">
        <v>95</v>
      </c>
      <c r="D61" s="9">
        <v>0.5</v>
      </c>
      <c r="E61" s="5" t="s">
        <v>774</v>
      </c>
      <c r="F61" s="5"/>
      <c r="G61" s="38" t="e">
        <f t="shared" si="0"/>
        <v>#VALUE!</v>
      </c>
    </row>
    <row r="62" spans="1:9">
      <c r="A62" s="31">
        <v>14</v>
      </c>
      <c r="B62" s="5">
        <v>1213</v>
      </c>
      <c r="C62" s="5">
        <v>101</v>
      </c>
      <c r="D62" s="9">
        <v>6.9199999999999998E-2</v>
      </c>
      <c r="E62" s="5" t="s">
        <v>775</v>
      </c>
      <c r="F62" s="5"/>
      <c r="G62" s="38" t="e">
        <f t="shared" si="0"/>
        <v>#VALUE!</v>
      </c>
    </row>
    <row r="63" spans="1:9">
      <c r="A63" s="31">
        <v>14</v>
      </c>
      <c r="B63" s="5">
        <v>1213</v>
      </c>
      <c r="C63" s="5">
        <v>209</v>
      </c>
      <c r="D63" s="9">
        <v>0.27300000000000002</v>
      </c>
      <c r="E63" s="5" t="s">
        <v>776</v>
      </c>
      <c r="F63" s="5"/>
      <c r="G63" s="38" t="e">
        <f t="shared" si="0"/>
        <v>#VALUE!</v>
      </c>
    </row>
    <row r="64" spans="1:9" s="53" customFormat="1" ht="25.5" customHeight="1">
      <c r="A64" s="31">
        <v>15</v>
      </c>
      <c r="B64" s="5">
        <v>1213</v>
      </c>
      <c r="C64" s="5">
        <v>212</v>
      </c>
      <c r="D64" s="9">
        <v>0.1381</v>
      </c>
      <c r="E64" s="5" t="s">
        <v>777</v>
      </c>
      <c r="F64" s="5"/>
      <c r="G64" s="38" t="e">
        <f t="shared" si="0"/>
        <v>#VALUE!</v>
      </c>
      <c r="H64"/>
      <c r="I64"/>
    </row>
    <row r="65" spans="1:7">
      <c r="A65" s="31">
        <v>16</v>
      </c>
      <c r="B65" s="5">
        <v>1213</v>
      </c>
      <c r="C65" s="5">
        <v>105</v>
      </c>
      <c r="D65" s="9">
        <v>0.27229999999999999</v>
      </c>
      <c r="E65" s="5" t="s">
        <v>778</v>
      </c>
      <c r="F65" s="5"/>
      <c r="G65" s="38" t="e">
        <f t="shared" si="0"/>
        <v>#VALUE!</v>
      </c>
    </row>
    <row r="66" spans="1:7">
      <c r="A66" s="31">
        <v>17</v>
      </c>
      <c r="B66" s="5">
        <v>1213</v>
      </c>
      <c r="C66" s="5">
        <v>216</v>
      </c>
      <c r="D66" s="9">
        <v>6.9000000000000006E-2</v>
      </c>
      <c r="E66" s="5" t="s">
        <v>779</v>
      </c>
      <c r="F66" s="5"/>
      <c r="G66" s="38" t="e">
        <f t="shared" si="0"/>
        <v>#VALUE!</v>
      </c>
    </row>
    <row r="67" spans="1:7">
      <c r="A67" s="31">
        <v>18</v>
      </c>
      <c r="B67" s="5">
        <v>1213</v>
      </c>
      <c r="C67" s="5">
        <v>103</v>
      </c>
      <c r="D67" s="9">
        <v>0.11849999999999999</v>
      </c>
      <c r="E67" s="5" t="s">
        <v>780</v>
      </c>
      <c r="F67" s="5"/>
      <c r="G67" s="38" t="e">
        <f t="shared" si="0"/>
        <v>#VALUE!</v>
      </c>
    </row>
    <row r="68" spans="1:7">
      <c r="A68" s="31">
        <v>20</v>
      </c>
      <c r="B68" s="5">
        <v>1213</v>
      </c>
      <c r="C68" s="5">
        <v>89</v>
      </c>
      <c r="D68" s="9">
        <v>3.8035000000000001</v>
      </c>
      <c r="E68" s="5" t="s">
        <v>781</v>
      </c>
      <c r="F68" s="5"/>
      <c r="G68" s="38" t="e">
        <f t="shared" si="0"/>
        <v>#VALUE!</v>
      </c>
    </row>
    <row r="69" spans="1:7">
      <c r="A69" s="31">
        <v>20</v>
      </c>
      <c r="B69" s="5">
        <v>1213</v>
      </c>
      <c r="C69" s="5">
        <v>104</v>
      </c>
      <c r="D69" s="9">
        <v>4</v>
      </c>
      <c r="E69" s="5" t="s">
        <v>781</v>
      </c>
      <c r="F69" s="5"/>
      <c r="G69" s="38" t="e">
        <f t="shared" si="0"/>
        <v>#VALUE!</v>
      </c>
    </row>
    <row r="70" spans="1:7">
      <c r="A70" s="31">
        <v>20</v>
      </c>
      <c r="B70" s="5">
        <v>1213</v>
      </c>
      <c r="C70" s="5">
        <v>106</v>
      </c>
      <c r="D70" s="9">
        <v>4.2218999999999998</v>
      </c>
      <c r="E70" s="5" t="s">
        <v>782</v>
      </c>
      <c r="F70" s="5"/>
      <c r="G70" s="38" t="e">
        <f t="shared" si="0"/>
        <v>#VALUE!</v>
      </c>
    </row>
    <row r="71" spans="1:7">
      <c r="A71" s="31">
        <v>20</v>
      </c>
      <c r="B71" s="5">
        <v>1213</v>
      </c>
      <c r="C71" s="5">
        <v>108</v>
      </c>
      <c r="D71" s="9">
        <v>0.82730000000000004</v>
      </c>
      <c r="E71" s="5" t="s">
        <v>781</v>
      </c>
      <c r="F71" s="5"/>
      <c r="G71" s="38" t="e">
        <f t="shared" si="0"/>
        <v>#VALUE!</v>
      </c>
    </row>
    <row r="72" spans="1:7">
      <c r="A72" s="31">
        <v>20</v>
      </c>
      <c r="B72" s="5">
        <v>1213</v>
      </c>
      <c r="C72" s="5">
        <v>109</v>
      </c>
      <c r="D72" s="9">
        <v>0.2419</v>
      </c>
      <c r="E72" s="5" t="s">
        <v>782</v>
      </c>
      <c r="F72" s="5"/>
      <c r="G72" s="38" t="e">
        <f t="shared" si="0"/>
        <v>#VALUE!</v>
      </c>
    </row>
    <row r="73" spans="1:7">
      <c r="A73" s="31">
        <v>20</v>
      </c>
      <c r="B73" s="5">
        <v>1213</v>
      </c>
      <c r="C73" s="5">
        <v>110</v>
      </c>
      <c r="D73" s="9">
        <v>0.2419</v>
      </c>
      <c r="E73" s="5" t="s">
        <v>781</v>
      </c>
      <c r="F73" s="5"/>
      <c r="G73" s="38" t="e">
        <f t="shared" si="0"/>
        <v>#VALUE!</v>
      </c>
    </row>
    <row r="74" spans="1:7">
      <c r="A74" s="31">
        <v>20</v>
      </c>
      <c r="B74" s="5">
        <v>1213</v>
      </c>
      <c r="C74" s="5">
        <v>111</v>
      </c>
      <c r="D74" s="9">
        <v>0.2419</v>
      </c>
      <c r="E74" s="5" t="s">
        <v>781</v>
      </c>
      <c r="F74" s="5"/>
      <c r="G74" s="38" t="e">
        <f t="shared" ref="G74:G137" si="1">D74*$H$5</f>
        <v>#VALUE!</v>
      </c>
    </row>
    <row r="75" spans="1:7">
      <c r="A75" s="31">
        <v>20</v>
      </c>
      <c r="B75" s="5">
        <v>1213</v>
      </c>
      <c r="C75" s="5">
        <v>112</v>
      </c>
      <c r="D75" s="9">
        <v>0.2419</v>
      </c>
      <c r="E75" s="5" t="s">
        <v>781</v>
      </c>
      <c r="F75" s="5"/>
      <c r="G75" s="38" t="e">
        <f t="shared" si="1"/>
        <v>#VALUE!</v>
      </c>
    </row>
    <row r="76" spans="1:7">
      <c r="A76" s="31">
        <v>20</v>
      </c>
      <c r="B76" s="5">
        <v>1213</v>
      </c>
      <c r="C76" s="5">
        <v>113</v>
      </c>
      <c r="D76" s="9">
        <v>0.2419</v>
      </c>
      <c r="E76" s="5" t="s">
        <v>781</v>
      </c>
      <c r="F76" s="5"/>
      <c r="G76" s="38" t="e">
        <f t="shared" si="1"/>
        <v>#VALUE!</v>
      </c>
    </row>
    <row r="77" spans="1:7">
      <c r="A77" s="31">
        <v>20</v>
      </c>
      <c r="B77" s="5">
        <v>1213</v>
      </c>
      <c r="C77" s="5">
        <v>122</v>
      </c>
      <c r="D77" s="9">
        <v>7.7</v>
      </c>
      <c r="E77" s="5" t="s">
        <v>781</v>
      </c>
      <c r="F77" s="5"/>
      <c r="G77" s="38" t="e">
        <f t="shared" si="1"/>
        <v>#VALUE!</v>
      </c>
    </row>
    <row r="78" spans="1:7">
      <c r="A78" s="31">
        <v>21</v>
      </c>
      <c r="B78" s="5">
        <v>1213</v>
      </c>
      <c r="C78" s="5">
        <v>153</v>
      </c>
      <c r="D78" s="9">
        <v>0.71870000000000001</v>
      </c>
      <c r="E78" s="5" t="s">
        <v>783</v>
      </c>
      <c r="F78" s="5"/>
      <c r="G78" s="38" t="e">
        <f t="shared" si="1"/>
        <v>#VALUE!</v>
      </c>
    </row>
    <row r="79" spans="1:7">
      <c r="A79" s="31">
        <v>22</v>
      </c>
      <c r="B79" s="5">
        <v>1213</v>
      </c>
      <c r="C79" s="5">
        <v>161</v>
      </c>
      <c r="D79" s="9">
        <v>1.1927000000000001</v>
      </c>
      <c r="E79" s="5" t="s">
        <v>784</v>
      </c>
      <c r="F79" s="5"/>
      <c r="G79" s="38" t="e">
        <f t="shared" si="1"/>
        <v>#VALUE!</v>
      </c>
    </row>
    <row r="80" spans="1:7">
      <c r="A80" s="31">
        <v>23</v>
      </c>
      <c r="B80" s="5">
        <v>1213</v>
      </c>
      <c r="C80" s="5">
        <v>152</v>
      </c>
      <c r="D80" s="9">
        <v>1.7895000000000001</v>
      </c>
      <c r="E80" s="5" t="s">
        <v>785</v>
      </c>
      <c r="F80" s="5"/>
      <c r="G80" s="38" t="e">
        <f t="shared" si="1"/>
        <v>#VALUE!</v>
      </c>
    </row>
    <row r="81" spans="1:7" ht="13.5" thickBot="1">
      <c r="A81" s="32">
        <v>24</v>
      </c>
      <c r="B81" s="27">
        <v>1213</v>
      </c>
      <c r="C81" s="27">
        <v>162</v>
      </c>
      <c r="D81" s="35">
        <v>0.46439999999999998</v>
      </c>
      <c r="E81" s="27" t="s">
        <v>786</v>
      </c>
      <c r="F81" s="27"/>
      <c r="G81" s="38" t="e">
        <f t="shared" si="1"/>
        <v>#VALUE!</v>
      </c>
    </row>
    <row r="82" spans="1:7" ht="13.5" thickBot="1">
      <c r="D82" s="14"/>
      <c r="G82" s="38" t="e">
        <f t="shared" si="1"/>
        <v>#VALUE!</v>
      </c>
    </row>
    <row r="83" spans="1:7">
      <c r="A83" s="30">
        <v>1</v>
      </c>
      <c r="B83" s="23">
        <v>1213</v>
      </c>
      <c r="C83" s="23">
        <v>319</v>
      </c>
      <c r="D83" s="33">
        <v>0.44359999999999999</v>
      </c>
      <c r="E83" s="23" t="s">
        <v>788</v>
      </c>
      <c r="F83" s="23"/>
      <c r="G83" s="38" t="e">
        <f t="shared" si="1"/>
        <v>#VALUE!</v>
      </c>
    </row>
    <row r="84" spans="1:7">
      <c r="A84" s="31">
        <v>3</v>
      </c>
      <c r="B84" s="5">
        <v>1213</v>
      </c>
      <c r="C84" s="5">
        <v>49</v>
      </c>
      <c r="D84" s="9">
        <v>3.1314000000000002</v>
      </c>
      <c r="E84" s="5" t="s">
        <v>789</v>
      </c>
      <c r="F84" s="5"/>
      <c r="G84" s="38" t="e">
        <f t="shared" si="1"/>
        <v>#VALUE!</v>
      </c>
    </row>
    <row r="85" spans="1:7">
      <c r="A85" s="31">
        <v>3</v>
      </c>
      <c r="B85" s="5">
        <v>1213</v>
      </c>
      <c r="C85" s="5">
        <v>291</v>
      </c>
      <c r="D85" s="9">
        <v>4.0974000000000004</v>
      </c>
      <c r="E85" s="5" t="s">
        <v>790</v>
      </c>
      <c r="F85" s="5"/>
      <c r="G85" s="38" t="e">
        <f t="shared" si="1"/>
        <v>#VALUE!</v>
      </c>
    </row>
    <row r="86" spans="1:7">
      <c r="A86" s="31">
        <v>4</v>
      </c>
      <c r="B86" s="5">
        <v>1213</v>
      </c>
      <c r="C86" s="5">
        <v>301</v>
      </c>
      <c r="D86" s="9">
        <v>9.2210000000000001</v>
      </c>
      <c r="E86" s="5" t="s">
        <v>791</v>
      </c>
      <c r="F86" s="5"/>
      <c r="G86" s="38" t="e">
        <f t="shared" si="1"/>
        <v>#VALUE!</v>
      </c>
    </row>
    <row r="87" spans="1:7">
      <c r="A87" s="31">
        <v>6</v>
      </c>
      <c r="B87" s="5">
        <v>1213</v>
      </c>
      <c r="C87" s="5">
        <v>336</v>
      </c>
      <c r="D87" s="9">
        <v>1.8263</v>
      </c>
      <c r="E87" s="5" t="s">
        <v>792</v>
      </c>
      <c r="F87" s="5"/>
      <c r="G87" s="38" t="e">
        <f t="shared" si="1"/>
        <v>#VALUE!</v>
      </c>
    </row>
    <row r="88" spans="1:7">
      <c r="A88" s="31">
        <v>7</v>
      </c>
      <c r="B88" s="5">
        <v>1213</v>
      </c>
      <c r="C88" s="5">
        <v>61</v>
      </c>
      <c r="D88" s="9">
        <v>0.92049999999999998</v>
      </c>
      <c r="E88" s="5" t="s">
        <v>793</v>
      </c>
      <c r="F88" s="5"/>
      <c r="G88" s="38" t="e">
        <f t="shared" si="1"/>
        <v>#VALUE!</v>
      </c>
    </row>
    <row r="89" spans="1:7">
      <c r="A89" s="31">
        <v>8</v>
      </c>
      <c r="B89" s="5">
        <v>1213</v>
      </c>
      <c r="C89" s="5">
        <v>190</v>
      </c>
      <c r="D89" s="9">
        <v>0.47660000000000002</v>
      </c>
      <c r="E89" s="5" t="s">
        <v>794</v>
      </c>
      <c r="F89" s="5"/>
      <c r="G89" s="38" t="e">
        <f t="shared" si="1"/>
        <v>#VALUE!</v>
      </c>
    </row>
    <row r="90" spans="1:7">
      <c r="A90" s="31">
        <v>9</v>
      </c>
      <c r="B90" s="5">
        <v>1213</v>
      </c>
      <c r="C90" s="5">
        <v>298</v>
      </c>
      <c r="D90" s="9">
        <v>2.1753</v>
      </c>
      <c r="E90" s="5" t="s">
        <v>795</v>
      </c>
      <c r="F90" s="5"/>
      <c r="G90" s="38" t="e">
        <f t="shared" si="1"/>
        <v>#VALUE!</v>
      </c>
    </row>
    <row r="91" spans="1:7">
      <c r="A91" s="31">
        <v>9</v>
      </c>
      <c r="B91" s="5">
        <v>1213</v>
      </c>
      <c r="C91" s="5">
        <v>299</v>
      </c>
      <c r="D91" s="9">
        <v>4.9768999999999997</v>
      </c>
      <c r="E91" s="5" t="s">
        <v>795</v>
      </c>
      <c r="F91" s="5"/>
      <c r="G91" s="38" t="e">
        <f t="shared" si="1"/>
        <v>#VALUE!</v>
      </c>
    </row>
    <row r="92" spans="1:7">
      <c r="A92" s="31">
        <v>10</v>
      </c>
      <c r="B92" s="5">
        <v>1213</v>
      </c>
      <c r="C92" s="5">
        <v>202</v>
      </c>
      <c r="D92" s="9">
        <v>0.11269999999999999</v>
      </c>
      <c r="E92" s="5" t="s">
        <v>796</v>
      </c>
      <c r="F92" s="5"/>
      <c r="G92" s="38" t="e">
        <f t="shared" si="1"/>
        <v>#VALUE!</v>
      </c>
    </row>
    <row r="93" spans="1:7">
      <c r="A93" s="31">
        <v>11</v>
      </c>
      <c r="B93" s="5">
        <v>1213</v>
      </c>
      <c r="C93" s="5">
        <v>206</v>
      </c>
      <c r="D93" s="9">
        <v>7.6100000000000001E-2</v>
      </c>
      <c r="E93" s="5" t="s">
        <v>797</v>
      </c>
      <c r="F93" s="5"/>
      <c r="G93" s="38" t="e">
        <f t="shared" si="1"/>
        <v>#VALUE!</v>
      </c>
    </row>
    <row r="94" spans="1:7">
      <c r="A94" s="31">
        <v>12</v>
      </c>
      <c r="B94" s="5">
        <v>1213</v>
      </c>
      <c r="C94" s="5">
        <v>66</v>
      </c>
      <c r="D94" s="9" t="s">
        <v>798</v>
      </c>
      <c r="E94" s="5" t="s">
        <v>799</v>
      </c>
      <c r="F94" s="5"/>
      <c r="G94" s="38" t="e">
        <f t="shared" si="1"/>
        <v>#VALUE!</v>
      </c>
    </row>
    <row r="95" spans="1:7">
      <c r="A95" s="31">
        <v>12</v>
      </c>
      <c r="B95" s="5">
        <v>1213</v>
      </c>
      <c r="C95" s="5">
        <v>314</v>
      </c>
      <c r="D95" s="9">
        <v>0.33069999999999999</v>
      </c>
      <c r="E95" s="5" t="s">
        <v>800</v>
      </c>
      <c r="F95" s="5"/>
      <c r="G95" s="38" t="e">
        <f t="shared" si="1"/>
        <v>#VALUE!</v>
      </c>
    </row>
    <row r="96" spans="1:7">
      <c r="A96" s="31">
        <v>12</v>
      </c>
      <c r="B96" s="5">
        <v>1213</v>
      </c>
      <c r="C96" s="5">
        <v>315</v>
      </c>
      <c r="D96" s="9">
        <v>0.59699999999999998</v>
      </c>
      <c r="E96" s="5" t="s">
        <v>800</v>
      </c>
      <c r="F96" s="5"/>
      <c r="G96" s="38" t="e">
        <f t="shared" si="1"/>
        <v>#VALUE!</v>
      </c>
    </row>
    <row r="97" spans="1:7">
      <c r="A97" s="31">
        <v>12</v>
      </c>
      <c r="B97" s="5">
        <v>1213</v>
      </c>
      <c r="C97" s="5">
        <v>316</v>
      </c>
      <c r="D97" s="9">
        <v>0.59699999999999998</v>
      </c>
      <c r="E97" s="5" t="s">
        <v>800</v>
      </c>
      <c r="F97" s="5"/>
      <c r="G97" s="38" t="e">
        <f t="shared" si="1"/>
        <v>#VALUE!</v>
      </c>
    </row>
    <row r="98" spans="1:7">
      <c r="A98" s="31">
        <v>12</v>
      </c>
      <c r="B98" s="5">
        <v>1213</v>
      </c>
      <c r="C98" s="5">
        <v>317</v>
      </c>
      <c r="D98" s="9">
        <v>2.5825</v>
      </c>
      <c r="E98" s="5" t="s">
        <v>800</v>
      </c>
      <c r="F98" s="5"/>
      <c r="G98" s="38" t="e">
        <f t="shared" si="1"/>
        <v>#VALUE!</v>
      </c>
    </row>
    <row r="99" spans="1:7" ht="13.5" thickBot="1">
      <c r="A99" s="32">
        <v>13</v>
      </c>
      <c r="B99" s="27">
        <v>1213</v>
      </c>
      <c r="C99" s="27">
        <v>168</v>
      </c>
      <c r="D99" s="35">
        <v>10.1633</v>
      </c>
      <c r="E99" s="27" t="s">
        <v>801</v>
      </c>
      <c r="F99" s="27"/>
      <c r="G99" s="38" t="e">
        <f t="shared" si="1"/>
        <v>#VALUE!</v>
      </c>
    </row>
    <row r="100" spans="1:7" ht="13.5" thickBot="1">
      <c r="A100" s="42" t="s">
        <v>802</v>
      </c>
      <c r="D100" s="14"/>
      <c r="G100" s="38" t="e">
        <f t="shared" si="1"/>
        <v>#VALUE!</v>
      </c>
    </row>
    <row r="101" spans="1:7">
      <c r="A101" s="30">
        <v>1</v>
      </c>
      <c r="B101" s="23">
        <v>1213</v>
      </c>
      <c r="C101" s="23">
        <v>28</v>
      </c>
      <c r="D101" s="33">
        <v>3.8839000000000001</v>
      </c>
      <c r="E101" s="23" t="s">
        <v>757</v>
      </c>
      <c r="F101" s="23"/>
      <c r="G101" s="38" t="e">
        <f t="shared" si="1"/>
        <v>#VALUE!</v>
      </c>
    </row>
    <row r="102" spans="1:7">
      <c r="A102" s="31">
        <v>2</v>
      </c>
      <c r="B102" s="5">
        <v>1213</v>
      </c>
      <c r="C102" s="5">
        <v>29</v>
      </c>
      <c r="D102" s="9">
        <v>0.16980000000000001</v>
      </c>
      <c r="E102" s="5" t="s">
        <v>803</v>
      </c>
      <c r="F102" s="5"/>
      <c r="G102" s="38" t="e">
        <f t="shared" si="1"/>
        <v>#VALUE!</v>
      </c>
    </row>
    <row r="103" spans="1:7">
      <c r="A103" s="31">
        <v>3</v>
      </c>
      <c r="B103" s="5">
        <v>1213</v>
      </c>
      <c r="C103" s="5">
        <v>19</v>
      </c>
      <c r="D103" s="9">
        <v>1.7969999999999999</v>
      </c>
      <c r="E103" s="5" t="s">
        <v>804</v>
      </c>
      <c r="F103" s="5"/>
      <c r="G103" s="38" t="e">
        <f t="shared" si="1"/>
        <v>#VALUE!</v>
      </c>
    </row>
    <row r="104" spans="1:7">
      <c r="A104" s="31">
        <v>4</v>
      </c>
      <c r="B104" s="5">
        <v>1213</v>
      </c>
      <c r="C104" s="5">
        <v>233</v>
      </c>
      <c r="D104" s="9">
        <v>2.1351</v>
      </c>
      <c r="E104" s="5" t="s">
        <v>805</v>
      </c>
      <c r="F104" s="5"/>
      <c r="G104" s="38" t="e">
        <f t="shared" si="1"/>
        <v>#VALUE!</v>
      </c>
    </row>
    <row r="105" spans="1:7">
      <c r="A105" s="31">
        <v>5</v>
      </c>
      <c r="B105" s="5">
        <v>1213</v>
      </c>
      <c r="C105" s="5">
        <v>331</v>
      </c>
      <c r="D105" s="9">
        <v>4.9919000000000002</v>
      </c>
      <c r="E105" s="5" t="s">
        <v>806</v>
      </c>
      <c r="F105" s="5"/>
      <c r="G105" s="38" t="e">
        <f t="shared" si="1"/>
        <v>#VALUE!</v>
      </c>
    </row>
    <row r="106" spans="1:7">
      <c r="A106" s="31">
        <v>6</v>
      </c>
      <c r="B106" s="5">
        <v>1213</v>
      </c>
      <c r="C106" s="5">
        <v>321</v>
      </c>
      <c r="D106" s="9">
        <v>1.5629</v>
      </c>
      <c r="E106" s="5" t="s">
        <v>807</v>
      </c>
      <c r="F106" s="5"/>
      <c r="G106" s="38" t="e">
        <f t="shared" si="1"/>
        <v>#VALUE!</v>
      </c>
    </row>
    <row r="107" spans="1:7" ht="13.5" thickBot="1">
      <c r="A107" s="32">
        <v>7</v>
      </c>
      <c r="B107" s="27">
        <v>1213</v>
      </c>
      <c r="C107" s="27">
        <v>320</v>
      </c>
      <c r="D107" s="35">
        <v>1.7049000000000001</v>
      </c>
      <c r="E107" s="27" t="s">
        <v>808</v>
      </c>
      <c r="F107" s="27"/>
      <c r="G107" s="38" t="e">
        <f t="shared" si="1"/>
        <v>#VALUE!</v>
      </c>
    </row>
    <row r="108" spans="1:7">
      <c r="D108" s="14"/>
      <c r="G108" s="38" t="e">
        <f t="shared" si="1"/>
        <v>#VALUE!</v>
      </c>
    </row>
    <row r="109" spans="1:7">
      <c r="A109" s="5">
        <v>1</v>
      </c>
      <c r="B109" s="5">
        <v>1213</v>
      </c>
      <c r="C109" s="5">
        <v>324</v>
      </c>
      <c r="D109" s="21">
        <v>2.4005999999999998</v>
      </c>
      <c r="E109" s="5" t="s">
        <v>813</v>
      </c>
      <c r="F109" s="43"/>
      <c r="G109" s="38" t="e">
        <f t="shared" si="1"/>
        <v>#VALUE!</v>
      </c>
    </row>
    <row r="110" spans="1:7">
      <c r="A110" s="5">
        <v>1</v>
      </c>
      <c r="B110" s="5">
        <v>1213</v>
      </c>
      <c r="C110" s="5">
        <v>325</v>
      </c>
      <c r="D110" s="21">
        <v>3.0775999999999999</v>
      </c>
      <c r="E110" s="5" t="s">
        <v>813</v>
      </c>
      <c r="F110" s="43"/>
      <c r="G110" s="38" t="e">
        <f t="shared" si="1"/>
        <v>#VALUE!</v>
      </c>
    </row>
    <row r="111" spans="1:7">
      <c r="A111" s="46">
        <v>2</v>
      </c>
      <c r="B111" s="47">
        <v>1213</v>
      </c>
      <c r="C111" s="47">
        <v>241</v>
      </c>
      <c r="D111" s="40">
        <v>3.8921000000000001</v>
      </c>
      <c r="E111" s="47" t="s">
        <v>814</v>
      </c>
      <c r="F111" s="47"/>
      <c r="G111" s="38" t="e">
        <f t="shared" si="1"/>
        <v>#VALUE!</v>
      </c>
    </row>
    <row r="112" spans="1:7">
      <c r="A112" s="31">
        <v>3</v>
      </c>
      <c r="B112" s="5">
        <v>1213</v>
      </c>
      <c r="C112" s="5">
        <v>253</v>
      </c>
      <c r="D112" s="21">
        <v>0.14380000000000001</v>
      </c>
      <c r="E112" s="5" t="s">
        <v>815</v>
      </c>
      <c r="F112" s="5"/>
      <c r="G112" s="38" t="e">
        <f t="shared" si="1"/>
        <v>#VALUE!</v>
      </c>
    </row>
    <row r="113" spans="1:9">
      <c r="A113" s="31">
        <v>4</v>
      </c>
      <c r="B113" s="5">
        <v>1213</v>
      </c>
      <c r="C113" s="5">
        <v>242</v>
      </c>
      <c r="D113" s="21">
        <v>2.6025</v>
      </c>
      <c r="E113" s="5" t="s">
        <v>206</v>
      </c>
      <c r="F113" s="5"/>
      <c r="G113" s="38" t="e">
        <f t="shared" si="1"/>
        <v>#VALUE!</v>
      </c>
    </row>
    <row r="114" spans="1:9">
      <c r="A114" s="31">
        <v>5</v>
      </c>
      <c r="B114" s="5">
        <v>1213</v>
      </c>
      <c r="C114" s="5">
        <v>245</v>
      </c>
      <c r="D114" s="21">
        <v>0.21820000000000001</v>
      </c>
      <c r="E114" s="5" t="s">
        <v>816</v>
      </c>
      <c r="F114" s="5"/>
      <c r="G114" s="38" t="e">
        <f t="shared" si="1"/>
        <v>#VALUE!</v>
      </c>
    </row>
    <row r="115" spans="1:9">
      <c r="A115" s="31">
        <v>6</v>
      </c>
      <c r="B115" s="5">
        <v>1213</v>
      </c>
      <c r="C115" s="5">
        <v>272</v>
      </c>
      <c r="D115" s="21">
        <v>1.3748</v>
      </c>
      <c r="E115" s="5" t="s">
        <v>817</v>
      </c>
      <c r="F115" s="5"/>
      <c r="G115" s="38" t="e">
        <f t="shared" si="1"/>
        <v>#VALUE!</v>
      </c>
    </row>
    <row r="116" spans="1:9">
      <c r="A116" s="31">
        <v>7</v>
      </c>
      <c r="B116" s="5">
        <v>1213</v>
      </c>
      <c r="C116" s="5">
        <v>116</v>
      </c>
      <c r="D116" s="21">
        <v>3.1474000000000002</v>
      </c>
      <c r="E116" s="5" t="s">
        <v>818</v>
      </c>
      <c r="F116" s="5"/>
      <c r="G116" s="38" t="e">
        <f t="shared" si="1"/>
        <v>#VALUE!</v>
      </c>
    </row>
    <row r="117" spans="1:9">
      <c r="A117" s="31">
        <v>8</v>
      </c>
      <c r="B117" s="5">
        <v>1213</v>
      </c>
      <c r="C117" s="5">
        <v>117</v>
      </c>
      <c r="D117" s="21">
        <v>6.4078999999999997</v>
      </c>
      <c r="E117" s="5" t="s">
        <v>819</v>
      </c>
      <c r="F117" s="5"/>
      <c r="G117" s="38" t="e">
        <f t="shared" si="1"/>
        <v>#VALUE!</v>
      </c>
    </row>
    <row r="118" spans="1:9">
      <c r="A118" s="31">
        <v>9</v>
      </c>
      <c r="B118" s="5">
        <v>1213</v>
      </c>
      <c r="C118" s="5">
        <v>118</v>
      </c>
      <c r="D118" s="21">
        <v>0.4098</v>
      </c>
      <c r="E118" s="5" t="s">
        <v>820</v>
      </c>
      <c r="F118" s="5"/>
      <c r="G118" s="38" t="e">
        <f t="shared" si="1"/>
        <v>#VALUE!</v>
      </c>
    </row>
    <row r="119" spans="1:9">
      <c r="A119" s="31">
        <v>10</v>
      </c>
      <c r="B119" s="5">
        <v>1213</v>
      </c>
      <c r="C119" s="5">
        <v>239</v>
      </c>
      <c r="D119" s="21">
        <v>6.8400000000000002E-2</v>
      </c>
      <c r="E119" s="5" t="s">
        <v>821</v>
      </c>
      <c r="F119" s="5"/>
      <c r="G119" s="38" t="e">
        <f t="shared" si="1"/>
        <v>#VALUE!</v>
      </c>
    </row>
    <row r="120" spans="1:9">
      <c r="A120" s="31">
        <v>11</v>
      </c>
      <c r="B120" s="5">
        <v>1213</v>
      </c>
      <c r="C120" s="5">
        <v>284</v>
      </c>
      <c r="D120" s="21">
        <v>0.3286</v>
      </c>
      <c r="E120" s="5" t="s">
        <v>822</v>
      </c>
      <c r="F120" s="5"/>
      <c r="G120" s="38" t="e">
        <f t="shared" si="1"/>
        <v>#VALUE!</v>
      </c>
    </row>
    <row r="121" spans="1:9">
      <c r="A121" s="31">
        <v>13</v>
      </c>
      <c r="B121" s="5">
        <v>1213</v>
      </c>
      <c r="C121" s="5" t="s">
        <v>823</v>
      </c>
      <c r="D121" s="21">
        <v>8.0380000000000003</v>
      </c>
      <c r="E121" s="5" t="s">
        <v>495</v>
      </c>
      <c r="F121" s="5"/>
      <c r="G121" s="38" t="e">
        <f t="shared" si="1"/>
        <v>#VALUE!</v>
      </c>
    </row>
    <row r="122" spans="1:9" s="53" customFormat="1" ht="25.5" customHeight="1">
      <c r="A122" s="31">
        <v>14</v>
      </c>
      <c r="B122" s="5">
        <v>1213</v>
      </c>
      <c r="C122" s="5">
        <v>271</v>
      </c>
      <c r="D122" s="21">
        <v>7.6840000000000002</v>
      </c>
      <c r="E122" s="5" t="s">
        <v>824</v>
      </c>
      <c r="F122" s="5"/>
      <c r="G122" s="38" t="e">
        <f t="shared" si="1"/>
        <v>#VALUE!</v>
      </c>
      <c r="H122"/>
      <c r="I122"/>
    </row>
    <row r="123" spans="1:9">
      <c r="A123" s="6">
        <v>15</v>
      </c>
      <c r="B123" s="5">
        <v>1213</v>
      </c>
      <c r="C123" s="5">
        <v>13</v>
      </c>
      <c r="D123" s="21">
        <v>2.6294</v>
      </c>
      <c r="E123" s="5" t="s">
        <v>722</v>
      </c>
      <c r="F123" s="43"/>
      <c r="G123" s="38" t="e">
        <f t="shared" si="1"/>
        <v>#VALUE!</v>
      </c>
    </row>
    <row r="124" spans="1:9">
      <c r="A124" s="31">
        <v>16</v>
      </c>
      <c r="B124" s="5">
        <v>1213</v>
      </c>
      <c r="C124" s="5">
        <v>131</v>
      </c>
      <c r="D124" s="21">
        <v>3.9478</v>
      </c>
      <c r="E124" s="5" t="s">
        <v>771</v>
      </c>
      <c r="F124" s="5"/>
      <c r="G124" s="38" t="e">
        <f t="shared" si="1"/>
        <v>#VALUE!</v>
      </c>
    </row>
    <row r="125" spans="1:9">
      <c r="A125" s="70">
        <v>17</v>
      </c>
      <c r="B125" s="71">
        <v>1213</v>
      </c>
      <c r="C125" s="71">
        <v>198</v>
      </c>
      <c r="D125" s="72">
        <v>10</v>
      </c>
      <c r="E125" s="71" t="s">
        <v>825</v>
      </c>
      <c r="F125" s="71"/>
      <c r="G125" s="38" t="e">
        <f t="shared" si="1"/>
        <v>#VALUE!</v>
      </c>
      <c r="H125" s="73"/>
      <c r="I125" s="73"/>
    </row>
    <row r="126" spans="1:9">
      <c r="A126" s="31">
        <v>18</v>
      </c>
      <c r="B126" s="5">
        <v>1213</v>
      </c>
      <c r="C126" s="5">
        <v>134</v>
      </c>
      <c r="D126" s="21">
        <v>0.83489999999999998</v>
      </c>
      <c r="E126" s="5" t="s">
        <v>826</v>
      </c>
      <c r="F126" s="5"/>
      <c r="G126" s="38" t="e">
        <f t="shared" si="1"/>
        <v>#VALUE!</v>
      </c>
    </row>
    <row r="127" spans="1:9">
      <c r="A127" s="31">
        <v>19</v>
      </c>
      <c r="B127" s="5">
        <v>1213</v>
      </c>
      <c r="C127" s="5">
        <v>289</v>
      </c>
      <c r="D127" s="21">
        <v>0.43369999999999997</v>
      </c>
      <c r="E127" s="5" t="s">
        <v>827</v>
      </c>
      <c r="F127" s="5"/>
      <c r="G127" s="38" t="e">
        <f t="shared" si="1"/>
        <v>#VALUE!</v>
      </c>
    </row>
    <row r="128" spans="1:9">
      <c r="A128" s="31">
        <v>20</v>
      </c>
      <c r="B128" s="5">
        <v>1213</v>
      </c>
      <c r="C128" s="5">
        <v>176</v>
      </c>
      <c r="D128" s="21">
        <v>0.43359999999999999</v>
      </c>
      <c r="E128" s="5" t="s">
        <v>828</v>
      </c>
      <c r="F128" s="5"/>
      <c r="G128" s="38" t="e">
        <f t="shared" si="1"/>
        <v>#VALUE!</v>
      </c>
    </row>
    <row r="129" spans="1:9">
      <c r="A129" s="31">
        <v>21</v>
      </c>
      <c r="B129" s="5">
        <v>1213</v>
      </c>
      <c r="C129" s="5">
        <v>124</v>
      </c>
      <c r="D129" s="21">
        <v>0.8</v>
      </c>
      <c r="E129" s="5" t="s">
        <v>829</v>
      </c>
      <c r="F129" s="5"/>
      <c r="G129" s="38" t="e">
        <f t="shared" si="1"/>
        <v>#VALUE!</v>
      </c>
    </row>
    <row r="130" spans="1:9">
      <c r="A130" s="31">
        <v>22</v>
      </c>
      <c r="B130" s="5">
        <v>1213</v>
      </c>
      <c r="C130" s="5">
        <v>125</v>
      </c>
      <c r="D130" s="21">
        <v>1.1506000000000001</v>
      </c>
      <c r="E130" s="5" t="s">
        <v>830</v>
      </c>
      <c r="F130" s="5"/>
      <c r="G130" s="38" t="e">
        <f t="shared" si="1"/>
        <v>#VALUE!</v>
      </c>
    </row>
    <row r="131" spans="1:9">
      <c r="A131" s="31">
        <v>23</v>
      </c>
      <c r="B131" s="5">
        <v>1213</v>
      </c>
      <c r="C131" s="5">
        <v>127</v>
      </c>
      <c r="D131" s="21">
        <v>2</v>
      </c>
      <c r="E131" s="5" t="s">
        <v>831</v>
      </c>
      <c r="F131" s="5"/>
      <c r="G131" s="38" t="e">
        <f t="shared" si="1"/>
        <v>#VALUE!</v>
      </c>
    </row>
    <row r="132" spans="1:9">
      <c r="A132" s="31">
        <v>24</v>
      </c>
      <c r="B132" s="5">
        <v>1213</v>
      </c>
      <c r="C132" s="5">
        <v>129</v>
      </c>
      <c r="D132" s="21">
        <v>0.46500000000000002</v>
      </c>
      <c r="E132" s="5" t="s">
        <v>830</v>
      </c>
      <c r="F132" s="5"/>
      <c r="G132" s="38" t="e">
        <f t="shared" si="1"/>
        <v>#VALUE!</v>
      </c>
    </row>
    <row r="133" spans="1:9">
      <c r="A133" s="31">
        <v>25</v>
      </c>
      <c r="B133" s="5">
        <v>1213</v>
      </c>
      <c r="C133" s="5">
        <v>211</v>
      </c>
      <c r="D133" s="21">
        <v>0.53500000000000003</v>
      </c>
      <c r="E133" s="5" t="s">
        <v>832</v>
      </c>
      <c r="F133" s="5"/>
      <c r="G133" s="38" t="e">
        <f t="shared" si="1"/>
        <v>#VALUE!</v>
      </c>
    </row>
    <row r="134" spans="1:9">
      <c r="A134" s="31">
        <v>26</v>
      </c>
      <c r="B134" s="5">
        <v>1213</v>
      </c>
      <c r="C134" s="5">
        <v>123</v>
      </c>
      <c r="D134" s="21">
        <v>1</v>
      </c>
      <c r="E134" s="5" t="s">
        <v>833</v>
      </c>
      <c r="F134" s="5"/>
      <c r="G134" s="38" t="e">
        <f t="shared" si="1"/>
        <v>#VALUE!</v>
      </c>
    </row>
    <row r="135" spans="1:9">
      <c r="A135" s="31">
        <v>28</v>
      </c>
      <c r="B135" s="5">
        <v>1213</v>
      </c>
      <c r="C135" s="5">
        <v>102</v>
      </c>
      <c r="D135" s="21">
        <v>3.9841000000000002</v>
      </c>
      <c r="E135" s="5" t="s">
        <v>834</v>
      </c>
      <c r="F135" s="5"/>
      <c r="G135" s="38" t="e">
        <f t="shared" si="1"/>
        <v>#VALUE!</v>
      </c>
    </row>
    <row r="136" spans="1:9">
      <c r="A136" s="31">
        <v>29</v>
      </c>
      <c r="B136" s="5">
        <v>1213</v>
      </c>
      <c r="C136" s="5">
        <v>126</v>
      </c>
      <c r="D136" s="21">
        <v>1.9307000000000001</v>
      </c>
      <c r="E136" s="5" t="s">
        <v>835</v>
      </c>
      <c r="F136" s="5"/>
      <c r="G136" s="38" t="e">
        <f t="shared" si="1"/>
        <v>#VALUE!</v>
      </c>
    </row>
    <row r="137" spans="1:9">
      <c r="A137" s="31">
        <v>30</v>
      </c>
      <c r="B137" s="5">
        <v>1213</v>
      </c>
      <c r="C137" s="5">
        <v>135</v>
      </c>
      <c r="D137" s="21">
        <v>4.8075000000000001</v>
      </c>
      <c r="E137" s="5" t="s">
        <v>834</v>
      </c>
      <c r="F137" s="5"/>
      <c r="G137" s="38" t="e">
        <f t="shared" si="1"/>
        <v>#VALUE!</v>
      </c>
    </row>
    <row r="138" spans="1:9">
      <c r="A138" s="31">
        <v>31</v>
      </c>
      <c r="B138" s="5">
        <v>1213</v>
      </c>
      <c r="C138" s="5">
        <v>138</v>
      </c>
      <c r="D138" s="21">
        <v>4.476</v>
      </c>
      <c r="E138" s="5" t="s">
        <v>835</v>
      </c>
      <c r="F138" s="5"/>
      <c r="G138" s="38" t="e">
        <f t="shared" ref="G138:G172" si="2">D138*$H$5</f>
        <v>#VALUE!</v>
      </c>
    </row>
    <row r="139" spans="1:9">
      <c r="A139" s="31">
        <v>32</v>
      </c>
      <c r="B139" s="5">
        <v>1213</v>
      </c>
      <c r="C139" s="5">
        <v>170</v>
      </c>
      <c r="D139" s="21">
        <v>8.1974</v>
      </c>
      <c r="E139" s="5" t="s">
        <v>835</v>
      </c>
      <c r="F139" s="5"/>
      <c r="G139" s="38" t="e">
        <f t="shared" si="2"/>
        <v>#VALUE!</v>
      </c>
    </row>
    <row r="140" spans="1:9">
      <c r="A140" s="82">
        <v>33</v>
      </c>
      <c r="B140" s="83">
        <v>1213</v>
      </c>
      <c r="C140" s="83">
        <v>256</v>
      </c>
      <c r="D140" s="79">
        <v>1.8493999999999999</v>
      </c>
      <c r="E140" s="83" t="s">
        <v>835</v>
      </c>
      <c r="F140" s="83"/>
      <c r="G140" s="38" t="e">
        <f t="shared" si="2"/>
        <v>#VALUE!</v>
      </c>
    </row>
    <row r="141" spans="1:9">
      <c r="A141" s="46">
        <v>34</v>
      </c>
      <c r="B141" s="47">
        <v>1213</v>
      </c>
      <c r="C141" s="47">
        <v>121</v>
      </c>
      <c r="D141" s="40">
        <v>6.8625999999999996</v>
      </c>
      <c r="E141" s="47" t="s">
        <v>836</v>
      </c>
      <c r="F141" s="47"/>
      <c r="G141" s="38" t="e">
        <f t="shared" si="2"/>
        <v>#VALUE!</v>
      </c>
    </row>
    <row r="142" spans="1:9" ht="13.5" thickBot="1">
      <c r="A142" s="32">
        <v>35</v>
      </c>
      <c r="B142" s="27">
        <v>1213</v>
      </c>
      <c r="C142" s="27">
        <v>130</v>
      </c>
      <c r="D142" s="41">
        <v>2.6084999999999998</v>
      </c>
      <c r="E142" s="27" t="s">
        <v>837</v>
      </c>
      <c r="F142" s="27"/>
      <c r="G142" s="38" t="e">
        <f t="shared" si="2"/>
        <v>#VALUE!</v>
      </c>
    </row>
    <row r="143" spans="1:9" ht="38.25">
      <c r="A143" s="50" t="s">
        <v>734</v>
      </c>
      <c r="B143" s="50" t="s">
        <v>135</v>
      </c>
      <c r="C143" s="50" t="s">
        <v>136</v>
      </c>
      <c r="D143" s="50" t="s">
        <v>138</v>
      </c>
      <c r="E143" s="51" t="s">
        <v>140</v>
      </c>
      <c r="F143" s="52"/>
      <c r="G143" s="38" t="e">
        <f t="shared" si="2"/>
        <v>#VALUE!</v>
      </c>
      <c r="H143" s="53"/>
      <c r="I143" s="53"/>
    </row>
    <row r="144" spans="1:9">
      <c r="A144" s="6">
        <v>1</v>
      </c>
      <c r="B144" s="5">
        <v>1213</v>
      </c>
      <c r="C144" s="5">
        <v>45</v>
      </c>
      <c r="D144" s="9">
        <v>4.8022</v>
      </c>
      <c r="E144" s="5" t="s">
        <v>840</v>
      </c>
      <c r="F144" s="5"/>
      <c r="G144" s="38" t="e">
        <f t="shared" si="2"/>
        <v>#VALUE!</v>
      </c>
    </row>
    <row r="145" spans="1:9">
      <c r="A145" s="6">
        <v>2</v>
      </c>
      <c r="B145" s="5">
        <v>1213</v>
      </c>
      <c r="C145" s="5">
        <v>36</v>
      </c>
      <c r="D145" s="9">
        <v>0.3614</v>
      </c>
      <c r="E145" s="5" t="s">
        <v>841</v>
      </c>
      <c r="F145" s="5"/>
      <c r="G145" s="38">
        <v>0</v>
      </c>
    </row>
    <row r="146" spans="1:9">
      <c r="A146" s="6">
        <v>2</v>
      </c>
      <c r="B146" s="5">
        <v>1213</v>
      </c>
      <c r="C146" s="5">
        <v>276</v>
      </c>
      <c r="D146" s="9">
        <v>3.7600000000000001E-2</v>
      </c>
      <c r="E146" s="5" t="s">
        <v>841</v>
      </c>
      <c r="F146" s="5"/>
      <c r="G146" s="38" t="e">
        <f t="shared" si="2"/>
        <v>#VALUE!</v>
      </c>
    </row>
    <row r="147" spans="1:9">
      <c r="A147" s="6">
        <v>2</v>
      </c>
      <c r="B147" s="5">
        <v>1213</v>
      </c>
      <c r="C147" s="5">
        <v>333</v>
      </c>
      <c r="D147" s="9">
        <v>3.61E-2</v>
      </c>
      <c r="E147" s="5" t="s">
        <v>841</v>
      </c>
      <c r="F147" s="5"/>
      <c r="G147" s="38" t="e">
        <f t="shared" si="2"/>
        <v>#VALUE!</v>
      </c>
    </row>
    <row r="148" spans="1:9" ht="24.75" customHeight="1">
      <c r="A148" s="6">
        <v>2</v>
      </c>
      <c r="B148" s="5">
        <v>1213</v>
      </c>
      <c r="C148" s="5">
        <v>334</v>
      </c>
      <c r="D148" s="9">
        <v>0.40849999999999997</v>
      </c>
      <c r="E148" s="5" t="s">
        <v>841</v>
      </c>
      <c r="F148" s="5"/>
      <c r="G148" s="38">
        <v>0</v>
      </c>
    </row>
    <row r="149" spans="1:9">
      <c r="A149" s="6">
        <v>2</v>
      </c>
      <c r="B149" s="5">
        <v>1213</v>
      </c>
      <c r="C149" s="5">
        <v>277</v>
      </c>
      <c r="D149" s="9">
        <v>0.55369999999999997</v>
      </c>
      <c r="E149" s="5" t="s">
        <v>841</v>
      </c>
      <c r="F149" s="5"/>
      <c r="G149" s="38">
        <v>0</v>
      </c>
    </row>
    <row r="150" spans="1:9">
      <c r="A150" s="6">
        <v>3</v>
      </c>
      <c r="B150" s="5">
        <v>1213</v>
      </c>
      <c r="C150" s="5">
        <v>270</v>
      </c>
      <c r="D150" s="9">
        <v>1.03</v>
      </c>
      <c r="E150" s="5" t="s">
        <v>842</v>
      </c>
      <c r="F150" s="5"/>
      <c r="G150" s="38">
        <v>0</v>
      </c>
    </row>
    <row r="151" spans="1:9">
      <c r="A151" s="6">
        <v>4</v>
      </c>
      <c r="B151" s="5">
        <v>1213</v>
      </c>
      <c r="C151" s="5">
        <v>252</v>
      </c>
      <c r="D151" s="9">
        <v>2.2267999999999999</v>
      </c>
      <c r="E151" s="5" t="s">
        <v>843</v>
      </c>
      <c r="F151" s="5"/>
      <c r="G151" s="38" t="e">
        <f t="shared" si="2"/>
        <v>#VALUE!</v>
      </c>
    </row>
    <row r="152" spans="1:9" s="73" customFormat="1">
      <c r="A152" s="6">
        <v>5</v>
      </c>
      <c r="B152" s="5">
        <v>1213</v>
      </c>
      <c r="C152" s="5">
        <v>332</v>
      </c>
      <c r="D152" s="9">
        <v>2.3932000000000002</v>
      </c>
      <c r="E152" s="5" t="s">
        <v>806</v>
      </c>
      <c r="F152" s="5"/>
      <c r="G152" s="38" t="e">
        <f t="shared" si="2"/>
        <v>#VALUE!</v>
      </c>
      <c r="H152"/>
      <c r="I152"/>
    </row>
    <row r="153" spans="1:9">
      <c r="A153" s="6">
        <v>6</v>
      </c>
      <c r="B153" s="5">
        <v>1213</v>
      </c>
      <c r="C153" s="5">
        <v>331</v>
      </c>
      <c r="D153" s="9">
        <v>9</v>
      </c>
      <c r="E153" s="5" t="s">
        <v>806</v>
      </c>
      <c r="F153" s="5"/>
      <c r="G153" s="38" t="e">
        <f t="shared" si="2"/>
        <v>#VALUE!</v>
      </c>
    </row>
    <row r="154" spans="1:9">
      <c r="A154" s="6">
        <v>7</v>
      </c>
      <c r="B154" s="5">
        <v>1213</v>
      </c>
      <c r="C154" s="5">
        <v>40</v>
      </c>
      <c r="D154" s="9">
        <v>7.1605999999999996</v>
      </c>
      <c r="E154" s="5" t="s">
        <v>844</v>
      </c>
      <c r="F154" s="5"/>
      <c r="G154" s="38" t="e">
        <f t="shared" si="2"/>
        <v>#VALUE!</v>
      </c>
    </row>
    <row r="155" spans="1:9">
      <c r="A155" s="6">
        <v>8</v>
      </c>
      <c r="B155" s="5">
        <v>1213</v>
      </c>
      <c r="C155" s="5">
        <v>51</v>
      </c>
      <c r="D155" s="9">
        <v>0.59650000000000003</v>
      </c>
      <c r="E155" s="5" t="s">
        <v>791</v>
      </c>
      <c r="F155" s="5"/>
      <c r="G155" s="38" t="e">
        <f t="shared" si="2"/>
        <v>#VALUE!</v>
      </c>
    </row>
    <row r="156" spans="1:9">
      <c r="A156" s="31">
        <v>5</v>
      </c>
      <c r="B156" s="5">
        <v>1213</v>
      </c>
      <c r="C156" s="5">
        <v>52</v>
      </c>
      <c r="D156" s="9">
        <v>2</v>
      </c>
      <c r="E156" s="5" t="s">
        <v>845</v>
      </c>
      <c r="F156" s="5"/>
      <c r="G156" s="38" t="e">
        <f t="shared" si="2"/>
        <v>#VALUE!</v>
      </c>
    </row>
    <row r="157" spans="1:9">
      <c r="A157" s="6">
        <v>9</v>
      </c>
      <c r="B157" s="5">
        <v>1213</v>
      </c>
      <c r="C157" s="5">
        <v>53</v>
      </c>
      <c r="D157" s="9">
        <v>5.4569999999999999</v>
      </c>
      <c r="E157" s="5" t="s">
        <v>846</v>
      </c>
      <c r="F157" s="5"/>
      <c r="G157" s="38" t="e">
        <f t="shared" si="2"/>
        <v>#VALUE!</v>
      </c>
    </row>
    <row r="158" spans="1:9">
      <c r="A158" s="6">
        <v>10</v>
      </c>
      <c r="B158" s="5">
        <v>1213</v>
      </c>
      <c r="C158" s="5">
        <v>64</v>
      </c>
      <c r="D158" s="9">
        <v>6.2915999999999999</v>
      </c>
      <c r="E158" s="5" t="s">
        <v>847</v>
      </c>
      <c r="F158" s="5"/>
      <c r="G158" s="38" t="e">
        <f t="shared" si="2"/>
        <v>#VALUE!</v>
      </c>
    </row>
    <row r="159" spans="1:9">
      <c r="A159" s="6">
        <v>11</v>
      </c>
      <c r="B159" s="5">
        <v>1213</v>
      </c>
      <c r="C159" s="5">
        <v>62</v>
      </c>
      <c r="D159" s="9">
        <v>5.8545999999999996</v>
      </c>
      <c r="E159" s="5" t="s">
        <v>848</v>
      </c>
      <c r="F159" s="5"/>
      <c r="G159" s="38" t="e">
        <f t="shared" si="2"/>
        <v>#VALUE!</v>
      </c>
    </row>
    <row r="160" spans="1:9">
      <c r="A160" s="6">
        <v>12</v>
      </c>
      <c r="B160" s="5">
        <v>1213</v>
      </c>
      <c r="C160" s="5">
        <v>35</v>
      </c>
      <c r="D160" s="9">
        <v>14.1714</v>
      </c>
      <c r="E160" s="5" t="s">
        <v>849</v>
      </c>
      <c r="F160" s="5"/>
      <c r="G160" s="38" t="e">
        <f t="shared" si="2"/>
        <v>#VALUE!</v>
      </c>
    </row>
    <row r="161" spans="1:7">
      <c r="A161" s="6">
        <v>13</v>
      </c>
      <c r="B161" s="5">
        <v>1213</v>
      </c>
      <c r="C161" s="5">
        <v>91</v>
      </c>
      <c r="D161" s="9">
        <v>4.6063999999999998</v>
      </c>
      <c r="E161" s="5" t="s">
        <v>850</v>
      </c>
      <c r="F161" s="5"/>
      <c r="G161" s="38" t="e">
        <f t="shared" si="2"/>
        <v>#VALUE!</v>
      </c>
    </row>
    <row r="162" spans="1:7">
      <c r="A162" s="6">
        <v>14</v>
      </c>
      <c r="B162" s="5">
        <v>1213</v>
      </c>
      <c r="C162" s="5">
        <v>37</v>
      </c>
      <c r="D162" s="9">
        <v>14.486700000000001</v>
      </c>
      <c r="E162" s="5" t="s">
        <v>851</v>
      </c>
      <c r="F162" s="5"/>
      <c r="G162" s="38" t="e">
        <f t="shared" si="2"/>
        <v>#VALUE!</v>
      </c>
    </row>
    <row r="163" spans="1:7">
      <c r="A163" s="6">
        <v>14</v>
      </c>
      <c r="B163" s="5">
        <v>1213</v>
      </c>
      <c r="C163" s="5">
        <v>323</v>
      </c>
      <c r="D163" s="9">
        <v>0.36330000000000001</v>
      </c>
      <c r="E163" s="5" t="s">
        <v>852</v>
      </c>
      <c r="F163" s="5"/>
      <c r="G163" s="38" t="e">
        <f t="shared" si="2"/>
        <v>#VALUE!</v>
      </c>
    </row>
    <row r="164" spans="1:7">
      <c r="A164" s="6">
        <v>15</v>
      </c>
      <c r="B164" s="5">
        <v>1213</v>
      </c>
      <c r="C164" s="5">
        <v>50</v>
      </c>
      <c r="D164" s="9">
        <v>6.625</v>
      </c>
      <c r="E164" s="5" t="s">
        <v>853</v>
      </c>
      <c r="F164" s="5"/>
      <c r="G164" s="38" t="e">
        <f t="shared" si="2"/>
        <v>#VALUE!</v>
      </c>
    </row>
    <row r="165" spans="1:7">
      <c r="A165" s="6">
        <v>16</v>
      </c>
      <c r="B165" s="5">
        <v>1213</v>
      </c>
      <c r="C165" s="5">
        <v>67</v>
      </c>
      <c r="D165" s="9">
        <v>3.1457999999999999</v>
      </c>
      <c r="E165" s="5" t="s">
        <v>854</v>
      </c>
      <c r="F165" s="5"/>
      <c r="G165" s="38" t="e">
        <f t="shared" si="2"/>
        <v>#VALUE!</v>
      </c>
    </row>
    <row r="166" spans="1:7">
      <c r="A166" s="6">
        <v>17</v>
      </c>
      <c r="B166" s="5">
        <v>1213</v>
      </c>
      <c r="C166" s="5">
        <v>54</v>
      </c>
      <c r="D166" s="9">
        <v>1.4839</v>
      </c>
      <c r="E166" s="5" t="s">
        <v>855</v>
      </c>
      <c r="F166" s="5"/>
      <c r="G166" s="38" t="e">
        <f t="shared" si="2"/>
        <v>#VALUE!</v>
      </c>
    </row>
    <row r="167" spans="1:7">
      <c r="A167" s="6">
        <v>18</v>
      </c>
      <c r="B167" s="5">
        <v>1213</v>
      </c>
      <c r="C167" s="5">
        <v>31</v>
      </c>
      <c r="D167" s="9">
        <v>1.7303999999999999</v>
      </c>
      <c r="E167" s="5" t="s">
        <v>856</v>
      </c>
      <c r="F167" s="5"/>
      <c r="G167" s="38" t="e">
        <f t="shared" si="2"/>
        <v>#VALUE!</v>
      </c>
    </row>
    <row r="168" spans="1:7">
      <c r="A168" s="6">
        <v>18</v>
      </c>
      <c r="B168" s="5">
        <v>1213</v>
      </c>
      <c r="C168" s="5">
        <v>309</v>
      </c>
      <c r="D168" s="9">
        <v>2.5293000000000001</v>
      </c>
      <c r="E168" s="5" t="s">
        <v>856</v>
      </c>
      <c r="F168" s="5"/>
      <c r="G168" s="38" t="e">
        <f t="shared" si="2"/>
        <v>#VALUE!</v>
      </c>
    </row>
    <row r="169" spans="1:7">
      <c r="A169" s="6">
        <v>19</v>
      </c>
      <c r="B169" s="5">
        <v>1213</v>
      </c>
      <c r="C169" s="5">
        <v>311</v>
      </c>
      <c r="D169" s="9">
        <v>1.4438</v>
      </c>
      <c r="E169" s="5" t="s">
        <v>857</v>
      </c>
      <c r="F169" s="5"/>
      <c r="G169" s="38" t="e">
        <f t="shared" si="2"/>
        <v>#VALUE!</v>
      </c>
    </row>
    <row r="170" spans="1:7">
      <c r="A170" s="6">
        <v>20</v>
      </c>
      <c r="B170" s="5">
        <v>1213</v>
      </c>
      <c r="C170" s="5">
        <v>189</v>
      </c>
      <c r="D170" s="9">
        <v>2.5165000000000002</v>
      </c>
      <c r="E170" s="5" t="s">
        <v>858</v>
      </c>
      <c r="F170" s="5"/>
      <c r="G170" s="38" t="e">
        <f t="shared" si="2"/>
        <v>#VALUE!</v>
      </c>
    </row>
    <row r="171" spans="1:7">
      <c r="A171" s="6">
        <v>21</v>
      </c>
      <c r="B171" s="5">
        <v>1213</v>
      </c>
      <c r="C171" s="5">
        <v>269</v>
      </c>
      <c r="D171" s="9">
        <v>1.0485</v>
      </c>
      <c r="E171" s="5" t="s">
        <v>859</v>
      </c>
      <c r="F171" s="5"/>
      <c r="G171" s="38" t="e">
        <f t="shared" si="2"/>
        <v>#VALUE!</v>
      </c>
    </row>
    <row r="172" spans="1:7">
      <c r="A172" s="11"/>
      <c r="D172" s="15">
        <f>SUM(D9:D171)</f>
        <v>473.12740000000014</v>
      </c>
      <c r="G172" s="38" t="e">
        <f t="shared" si="2"/>
        <v>#VALUE!</v>
      </c>
    </row>
    <row r="173" spans="1:7">
      <c r="D173" s="14" t="e">
        <f>SUM(D172,#REF!,#REF!,#REF!,#REF!,#REF!)</f>
        <v>#REF!</v>
      </c>
    </row>
    <row r="174" spans="1:7">
      <c r="A174" t="s">
        <v>860</v>
      </c>
      <c r="B174" s="12" t="e">
        <f>#REF!-(#REF!+#REF!)</f>
        <v>#REF!</v>
      </c>
      <c r="D174" t="s">
        <v>861</v>
      </c>
      <c r="E174" t="s">
        <v>731</v>
      </c>
      <c r="F174" s="12" t="e">
        <f>#REF!</f>
        <v>#REF!</v>
      </c>
      <c r="G174" s="12" t="e">
        <f>#REF!/F174</f>
        <v>#REF!</v>
      </c>
    </row>
    <row r="176" spans="1:7" ht="13.5" thickBot="1">
      <c r="A176" s="42"/>
    </row>
    <row r="177" spans="1:7">
      <c r="A177" s="44" t="s">
        <v>734</v>
      </c>
      <c r="B177" s="54" t="s">
        <v>862</v>
      </c>
      <c r="C177" s="45"/>
      <c r="D177" s="49" t="s">
        <v>138</v>
      </c>
      <c r="E177" s="44" t="s">
        <v>140</v>
      </c>
      <c r="F177" s="49"/>
      <c r="G177" s="48" t="s">
        <v>759</v>
      </c>
    </row>
    <row r="178" spans="1:7">
      <c r="A178" s="5">
        <v>1</v>
      </c>
      <c r="B178" s="57" t="s">
        <v>863</v>
      </c>
      <c r="C178" s="57"/>
      <c r="D178" s="25" t="e">
        <f>#REF!</f>
        <v>#REF!</v>
      </c>
      <c r="E178" s="61"/>
      <c r="F178" s="62"/>
      <c r="G178" s="38" t="e">
        <f>#REF!*$G$174</f>
        <v>#REF!</v>
      </c>
    </row>
    <row r="179" spans="1:7">
      <c r="A179" s="5">
        <v>1</v>
      </c>
      <c r="B179" s="57" t="s">
        <v>758</v>
      </c>
      <c r="C179" s="57"/>
      <c r="D179" s="25" t="e">
        <f>#REF!</f>
        <v>#REF!</v>
      </c>
      <c r="E179" s="63"/>
      <c r="F179" s="64"/>
      <c r="G179" s="38" t="e">
        <f>#REF!*$G$174</f>
        <v>#REF!</v>
      </c>
    </row>
    <row r="180" spans="1:7">
      <c r="A180" s="5">
        <v>2</v>
      </c>
      <c r="B180" s="59" t="s">
        <v>864</v>
      </c>
      <c r="C180" s="59"/>
      <c r="D180" s="25" t="e">
        <f>#REF!</f>
        <v>#REF!</v>
      </c>
      <c r="E180" s="63"/>
      <c r="F180" s="64"/>
      <c r="G180" s="38" t="e">
        <f>#REF!*$G$174</f>
        <v>#REF!</v>
      </c>
    </row>
    <row r="181" spans="1:7">
      <c r="A181" s="7">
        <v>2</v>
      </c>
      <c r="B181" s="55" t="s">
        <v>865</v>
      </c>
      <c r="C181" s="56"/>
      <c r="D181" s="58" t="e">
        <f>#REF!</f>
        <v>#REF!</v>
      </c>
      <c r="E181" s="63"/>
      <c r="F181" s="64"/>
      <c r="G181" s="38" t="e">
        <f>#REF!*$G$174</f>
        <v>#REF!</v>
      </c>
    </row>
    <row r="182" spans="1:7">
      <c r="A182" s="5">
        <v>2</v>
      </c>
      <c r="B182" s="60" t="s">
        <v>866</v>
      </c>
      <c r="C182" s="60"/>
      <c r="D182" s="25" t="e">
        <f>#REF!</f>
        <v>#REF!</v>
      </c>
      <c r="E182" s="63"/>
      <c r="F182" s="64"/>
      <c r="G182" s="38" t="e">
        <f>#REF!*$G$174</f>
        <v>#REF!</v>
      </c>
    </row>
    <row r="183" spans="1:7">
      <c r="A183" s="5">
        <v>3</v>
      </c>
      <c r="B183" s="57" t="s">
        <v>867</v>
      </c>
      <c r="C183" s="57"/>
      <c r="D183" s="25">
        <f>D172</f>
        <v>473.12740000000014</v>
      </c>
      <c r="E183" s="65"/>
      <c r="F183" s="66"/>
      <c r="G183" s="38" t="e">
        <f>#REF!*$G$174</f>
        <v>#REF!</v>
      </c>
    </row>
    <row r="184" spans="1:7">
      <c r="D184" s="14" t="e">
        <f>SUM(D178:D183)</f>
        <v>#REF!</v>
      </c>
      <c r="G184" s="38" t="e">
        <f>SUM(G178:G183)</f>
        <v>#REF!</v>
      </c>
    </row>
    <row r="186" spans="1:7">
      <c r="B186" s="4"/>
      <c r="D186" s="67"/>
    </row>
    <row r="187" spans="1:7">
      <c r="B187" s="4"/>
      <c r="C187" s="4"/>
      <c r="D187" s="67"/>
    </row>
    <row r="188" spans="1:7">
      <c r="C188" s="4"/>
    </row>
    <row r="211" spans="1:9" s="53" customFormat="1" ht="25.5" customHeight="1">
      <c r="A211"/>
      <c r="B211"/>
      <c r="C211"/>
      <c r="D211"/>
      <c r="E211"/>
      <c r="F211"/>
      <c r="G211"/>
      <c r="H211"/>
      <c r="I211"/>
    </row>
    <row r="239" ht="12.75" customHeight="1"/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 xr3:uid="{F1DDE993-1B6C-5616-88E6-1BE0F5D2AD08}"/>
  </sheetViews>
  <sheetFormatPr defaultRowHeight="12.75"/>
  <cols>
    <col min="1" max="256" width="11.42578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E29:F30"/>
  <sheetViews>
    <sheetView showGridLines="0" topLeftCell="A4" workbookViewId="0" xr3:uid="{F9CF3CF3-643B-5BE6-8B46-32C596A47465}">
      <selection activeCell="E31" sqref="E31"/>
    </sheetView>
  </sheetViews>
  <sheetFormatPr defaultColWidth="11.42578125" defaultRowHeight="12.75"/>
  <cols>
    <col min="1" max="16384" width="11.42578125" style="134"/>
  </cols>
  <sheetData>
    <row r="29" spans="5:6" ht="13.5" thickBot="1"/>
    <row r="30" spans="5:6" ht="13.5" thickBot="1">
      <c r="E30" s="135" t="s">
        <v>79</v>
      </c>
      <c r="F30" s="136" t="e">
        <f>+Hijuelas!#REF!</f>
        <v>#REF!</v>
      </c>
    </row>
  </sheetData>
  <phoneticPr fontId="0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K32"/>
  <sheetViews>
    <sheetView tabSelected="1" zoomScale="75" zoomScaleNormal="100" workbookViewId="0" xr3:uid="{78B4E459-6924-5F8B-B7BA-2DD04133E49E}">
      <selection activeCell="A2" sqref="A2"/>
    </sheetView>
  </sheetViews>
  <sheetFormatPr defaultColWidth="11.42578125" defaultRowHeight="12.75"/>
  <cols>
    <col min="1" max="1" width="12.5703125" style="99" customWidth="1"/>
    <col min="2" max="2" width="27.42578125" style="99" customWidth="1"/>
    <col min="3" max="3" width="4" style="99" bestFit="1" customWidth="1"/>
    <col min="4" max="4" width="22" style="99" bestFit="1" customWidth="1"/>
    <col min="5" max="5" width="21.5703125" style="99" bestFit="1" customWidth="1"/>
    <col min="6" max="6" width="23.7109375" style="99" bestFit="1" customWidth="1"/>
    <col min="7" max="7" width="15.5703125" style="99" bestFit="1" customWidth="1"/>
    <col min="8" max="8" width="12.42578125" style="99" bestFit="1" customWidth="1"/>
    <col min="9" max="9" width="15" style="99" bestFit="1" customWidth="1"/>
    <col min="10" max="10" width="9.85546875" style="99" bestFit="1" customWidth="1"/>
    <col min="11" max="11" width="11.28515625" style="99" bestFit="1" customWidth="1"/>
    <col min="12" max="16384" width="11.42578125" style="99"/>
  </cols>
  <sheetData>
    <row r="1" spans="1:11" ht="13.5" thickBot="1">
      <c r="A1" s="685">
        <v>42973</v>
      </c>
    </row>
    <row r="2" spans="1:11">
      <c r="F2" s="562" t="s">
        <v>80</v>
      </c>
      <c r="G2" s="584">
        <v>42749.548611111109</v>
      </c>
      <c r="H2" s="71" t="s">
        <v>81</v>
      </c>
    </row>
    <row r="3" spans="1:11" ht="16.5" thickBot="1">
      <c r="B3" s="104" t="s">
        <v>82</v>
      </c>
      <c r="C3" s="104"/>
      <c r="F3" s="563" t="s">
        <v>83</v>
      </c>
      <c r="G3" s="585">
        <v>42973.541666666664</v>
      </c>
      <c r="H3" s="71" t="s">
        <v>84</v>
      </c>
    </row>
    <row r="4" spans="1:11" ht="16.5" thickBot="1">
      <c r="D4" s="118" t="s">
        <v>85</v>
      </c>
      <c r="F4" s="542" t="s">
        <v>86</v>
      </c>
      <c r="G4" s="543">
        <v>3.9895833333333335</v>
      </c>
      <c r="H4" s="543">
        <v>5.9375</v>
      </c>
    </row>
    <row r="5" spans="1:11" ht="16.5" thickBot="1">
      <c r="F5" s="372" t="s">
        <v>87</v>
      </c>
      <c r="G5" s="370" t="s">
        <v>88</v>
      </c>
    </row>
    <row r="6" spans="1:11" ht="13.5" thickBot="1">
      <c r="E6" s="657" t="s">
        <v>89</v>
      </c>
      <c r="F6" s="658"/>
      <c r="G6" s="371" t="s">
        <v>90</v>
      </c>
    </row>
    <row r="8" spans="1:11" ht="13.5" thickBot="1"/>
    <row r="9" spans="1:11" s="304" customFormat="1" ht="24.95" customHeight="1" thickBot="1">
      <c r="A9" s="637"/>
      <c r="B9" s="556" t="s">
        <v>91</v>
      </c>
      <c r="C9" s="557" t="s">
        <v>92</v>
      </c>
      <c r="D9" s="558" t="s">
        <v>93</v>
      </c>
      <c r="E9" s="558" t="s">
        <v>94</v>
      </c>
      <c r="F9" s="558" t="s">
        <v>95</v>
      </c>
      <c r="G9" s="558" t="s">
        <v>96</v>
      </c>
      <c r="H9" s="558" t="s">
        <v>97</v>
      </c>
      <c r="I9" s="558" t="s">
        <v>98</v>
      </c>
      <c r="J9" s="558" t="s">
        <v>99</v>
      </c>
      <c r="K9" s="559" t="s">
        <v>100</v>
      </c>
    </row>
    <row r="10" spans="1:11" s="303" customFormat="1" ht="26.25" customHeight="1">
      <c r="B10" s="549" t="s">
        <v>101</v>
      </c>
      <c r="C10" s="550">
        <v>1</v>
      </c>
      <c r="D10" s="551"/>
      <c r="E10" s="551"/>
      <c r="F10" s="343">
        <f>COUNTA('1_1'!G$41:G56)</f>
        <v>0</v>
      </c>
      <c r="G10" s="344">
        <f>+'1_1'!J10</f>
        <v>0.87180314885000865</v>
      </c>
      <c r="H10" s="343">
        <f>+'1_1'!E57</f>
        <v>0</v>
      </c>
      <c r="I10" s="343">
        <f>+'1_1'!H57</f>
        <v>0</v>
      </c>
      <c r="J10" s="417" t="e">
        <f>+I10/H10</f>
        <v>#DIV/0!</v>
      </c>
      <c r="K10" s="345" t="e">
        <f>(1-(#REF!/H10))*100</f>
        <v>#REF!</v>
      </c>
    </row>
    <row r="11" spans="1:11" s="303" customFormat="1" ht="26.25" customHeight="1">
      <c r="B11" s="553" t="s">
        <v>102</v>
      </c>
      <c r="C11" s="554">
        <v>2</v>
      </c>
      <c r="D11" s="555">
        <f>+D12</f>
        <v>42973.541666666664</v>
      </c>
      <c r="E11" s="555">
        <f>+E13</f>
        <v>42977.53125</v>
      </c>
      <c r="F11" s="301">
        <f>COUNTA('2_1'!G18:G18)</f>
        <v>1</v>
      </c>
      <c r="G11" s="302">
        <f>+'2_1'!J9</f>
        <v>1.2724403690466373</v>
      </c>
      <c r="H11" s="301">
        <f>+'2_1'!E19</f>
        <v>195.83319999999998</v>
      </c>
      <c r="I11" s="301">
        <f>+'2_1'!H19</f>
        <v>173.38729999999998</v>
      </c>
      <c r="J11" s="417">
        <f t="shared" ref="J11:J27" si="0">+I11/H11</f>
        <v>0.88538256026046658</v>
      </c>
      <c r="K11" s="346" t="e">
        <f>(1-(#REF!/H11))*100</f>
        <v>#REF!</v>
      </c>
    </row>
    <row r="12" spans="1:11" s="303" customFormat="1" ht="26.25" customHeight="1">
      <c r="B12" s="553" t="s">
        <v>103</v>
      </c>
      <c r="C12" s="554">
        <v>3</v>
      </c>
      <c r="D12" s="555">
        <f>+G3</f>
        <v>42973.541666666664</v>
      </c>
      <c r="E12" s="555">
        <f>+E13</f>
        <v>42977.53125</v>
      </c>
      <c r="F12" s="301">
        <f>COUNTA('3_1'!G13:G65)</f>
        <v>53</v>
      </c>
      <c r="G12" s="302">
        <f>+'3_1'!J9</f>
        <v>0.49289173889101406</v>
      </c>
      <c r="H12" s="301">
        <f>+'3_1'!E66</f>
        <v>553.45860000000016</v>
      </c>
      <c r="I12" s="301">
        <f>+'3_1'!H66</f>
        <v>423.09831999999994</v>
      </c>
      <c r="J12" s="417">
        <f t="shared" si="0"/>
        <v>0.76446245482498565</v>
      </c>
      <c r="K12" s="346" t="e">
        <f>(1-(#REF!/H12))*100</f>
        <v>#REF!</v>
      </c>
    </row>
    <row r="13" spans="1:11" s="303" customFormat="1" ht="26.25" customHeight="1">
      <c r="B13" s="553" t="s">
        <v>104</v>
      </c>
      <c r="C13" s="554">
        <v>4</v>
      </c>
      <c r="D13" s="555">
        <f>+G3</f>
        <v>42973.541666666664</v>
      </c>
      <c r="E13" s="555">
        <f>+E19</f>
        <v>42977.53125</v>
      </c>
      <c r="F13" s="301">
        <f>COUNTA('4_1'!G13:G62)</f>
        <v>50</v>
      </c>
      <c r="G13" s="302">
        <f>+'4_1'!I10</f>
        <v>0.95155768774217298</v>
      </c>
      <c r="H13" s="301">
        <f>+'4_1'!E63+'4_1'!E63</f>
        <v>548.36879999999985</v>
      </c>
      <c r="I13" s="301">
        <f>+'4_1'!H63</f>
        <v>235.79757999999993</v>
      </c>
      <c r="J13" s="417">
        <f t="shared" si="0"/>
        <v>0.42999816911538363</v>
      </c>
      <c r="K13" s="163" t="e">
        <f>(1-(#REF!/H13))*100</f>
        <v>#REF!</v>
      </c>
    </row>
    <row r="14" spans="1:11" s="303" customFormat="1" ht="26.25" customHeight="1">
      <c r="B14" s="541" t="s">
        <v>105</v>
      </c>
      <c r="C14" s="544">
        <v>5</v>
      </c>
      <c r="D14" s="545">
        <f>+G2</f>
        <v>42749.548611111109</v>
      </c>
      <c r="E14" s="545">
        <f>+'5_1'!C7</f>
        <v>42753.538194444445</v>
      </c>
      <c r="F14" s="301">
        <f>COUNTA('5_1'!G13:G24)</f>
        <v>12</v>
      </c>
      <c r="G14" s="302">
        <f>+'5_1'!I10</f>
        <v>2.8070759601830195</v>
      </c>
      <c r="H14" s="301">
        <f>+'5_1'!E25</f>
        <v>141.93169999999998</v>
      </c>
      <c r="I14" s="301">
        <f>+'5_1'!H25</f>
        <v>81.267839999999993</v>
      </c>
      <c r="J14" s="417">
        <f t="shared" si="0"/>
        <v>0.57258413729984214</v>
      </c>
      <c r="K14" s="163" t="e">
        <f>(1-(#REF!/H14))*100</f>
        <v>#REF!</v>
      </c>
    </row>
    <row r="15" spans="1:11" s="303" customFormat="1" ht="26.25" customHeight="1">
      <c r="B15" s="541" t="s">
        <v>106</v>
      </c>
      <c r="C15" s="544">
        <v>6</v>
      </c>
      <c r="D15" s="545">
        <f>+G2</f>
        <v>42749.548611111109</v>
      </c>
      <c r="E15" s="545">
        <f>+'7_1'!C6</f>
        <v>42753.538194444445</v>
      </c>
      <c r="F15" s="301">
        <f>COUNTA('6_1'!G13:G22)</f>
        <v>10</v>
      </c>
      <c r="G15" s="302">
        <f>+'6_1'!I9</f>
        <v>7.5032319098100899</v>
      </c>
      <c r="H15" s="301">
        <f>+'6_1'!E24</f>
        <v>47.529600000000002</v>
      </c>
      <c r="I15" s="301">
        <f>+'6_1'!H24</f>
        <v>30.570160000000001</v>
      </c>
      <c r="J15" s="417">
        <f t="shared" si="0"/>
        <v>0.64318151215242714</v>
      </c>
      <c r="K15" s="163" t="e">
        <f>(1-(#REF!/H15))*100</f>
        <v>#REF!</v>
      </c>
    </row>
    <row r="16" spans="1:11" s="303" customFormat="1" ht="26.25" customHeight="1">
      <c r="B16" s="541" t="s">
        <v>107</v>
      </c>
      <c r="C16" s="544">
        <v>7</v>
      </c>
      <c r="D16" s="545">
        <f>+G2</f>
        <v>42749.548611111109</v>
      </c>
      <c r="E16" s="545">
        <f>+'7_1'!C6</f>
        <v>42753.538194444445</v>
      </c>
      <c r="F16" s="301">
        <f>COUNTA('7_1'!G15:G39)</f>
        <v>25</v>
      </c>
      <c r="G16" s="302">
        <f>+'7_1'!I9</f>
        <v>1.5599181792727805</v>
      </c>
      <c r="H16" s="301">
        <f>+'7_1'!E40</f>
        <v>219.73530000000005</v>
      </c>
      <c r="I16" s="301">
        <f>+'7_1'!H40</f>
        <v>140.09815999999998</v>
      </c>
      <c r="J16" s="417">
        <f t="shared" si="0"/>
        <v>0.63757693916271052</v>
      </c>
      <c r="K16" s="163" t="e">
        <f>(1-(#REF!/H16))*100</f>
        <v>#REF!</v>
      </c>
    </row>
    <row r="17" spans="2:11" s="303" customFormat="1" ht="26.25" customHeight="1">
      <c r="B17" s="541" t="s">
        <v>108</v>
      </c>
      <c r="C17" s="544">
        <v>8</v>
      </c>
      <c r="D17" s="545">
        <f>+D19</f>
        <v>42973.541666666664</v>
      </c>
      <c r="E17" s="545">
        <f>+'8_1'!C4</f>
        <v>42977.53125</v>
      </c>
      <c r="F17" s="301">
        <f>COUNTA('8_1'!G10:G26)</f>
        <v>17</v>
      </c>
      <c r="G17" s="302">
        <f>+'8_1'!I7</f>
        <v>1.7769654557127834</v>
      </c>
      <c r="H17" s="301">
        <f>+'8_1'!E27</f>
        <v>161.73680000000002</v>
      </c>
      <c r="I17" s="301">
        <f>+'8_1'!H27</f>
        <v>126.97208000000002</v>
      </c>
      <c r="J17" s="417">
        <f t="shared" si="0"/>
        <v>0.78505374163455688</v>
      </c>
      <c r="K17" s="163" t="e">
        <f>(1-(#REF!/H17))*100</f>
        <v>#REF!</v>
      </c>
    </row>
    <row r="18" spans="2:11" s="303" customFormat="1" ht="26.25" customHeight="1">
      <c r="B18" s="541" t="s">
        <v>109</v>
      </c>
      <c r="C18" s="544">
        <v>9</v>
      </c>
      <c r="D18" s="545">
        <f>+D17</f>
        <v>42973.541666666664</v>
      </c>
      <c r="E18" s="545">
        <f>+E17</f>
        <v>42977.53125</v>
      </c>
      <c r="F18" s="301">
        <f>COUNTA('9_1'!G$13:G52)</f>
        <v>37</v>
      </c>
      <c r="G18" s="302">
        <f>+'9_1'!I9</f>
        <v>0.64605038129331716</v>
      </c>
      <c r="H18" s="301">
        <f>+'9_1'!E50</f>
        <v>340.26900000000001</v>
      </c>
      <c r="I18" s="301">
        <f>+'9_1'!H50</f>
        <v>267.00704000000002</v>
      </c>
      <c r="J18" s="417">
        <f t="shared" si="0"/>
        <v>0.78469399210624535</v>
      </c>
      <c r="K18" s="163" t="e">
        <f>(1-(#REF!/H18))*100</f>
        <v>#REF!</v>
      </c>
    </row>
    <row r="19" spans="2:11" s="303" customFormat="1" ht="26.25" customHeight="1">
      <c r="B19" s="548" t="s">
        <v>110</v>
      </c>
      <c r="C19" s="546">
        <v>10</v>
      </c>
      <c r="D19" s="547">
        <f>+G3</f>
        <v>42973.541666666664</v>
      </c>
      <c r="E19" s="547">
        <f>+'10_1'!C6</f>
        <v>42977.53125</v>
      </c>
      <c r="F19" s="301">
        <f>COUNTA('10_1'!G12:G29)</f>
        <v>18</v>
      </c>
      <c r="G19" s="302">
        <f>+'10_1'!I9</f>
        <v>2.4533680802678979</v>
      </c>
      <c r="H19" s="301">
        <f>+'10_1'!E30</f>
        <v>115.63609999999998</v>
      </c>
      <c r="I19" s="301">
        <f>+'10_1'!H30</f>
        <v>92.508880000000005</v>
      </c>
      <c r="J19" s="417">
        <f t="shared" si="0"/>
        <v>0.80000000000000016</v>
      </c>
      <c r="K19" s="163" t="e">
        <f>(1-(#REF!/H19))*100</f>
        <v>#REF!</v>
      </c>
    </row>
    <row r="20" spans="2:11" s="303" customFormat="1" ht="26.25" customHeight="1">
      <c r="B20" s="548" t="s">
        <v>111</v>
      </c>
      <c r="C20" s="546">
        <v>11</v>
      </c>
      <c r="D20" s="547">
        <f>+G3</f>
        <v>42973.541666666664</v>
      </c>
      <c r="E20" s="547">
        <f>+E19</f>
        <v>42977.53125</v>
      </c>
      <c r="F20" s="301">
        <f>COUNTA('11_1'!G13:G43)</f>
        <v>31</v>
      </c>
      <c r="G20" s="302">
        <f>+'11_1'!I10</f>
        <v>1.444195272241459</v>
      </c>
      <c r="H20" s="301">
        <f>+'11_1'!E44</f>
        <v>201.59790000000007</v>
      </c>
      <c r="I20" s="301">
        <f>+'11_1'!H44</f>
        <v>146.70800000000003</v>
      </c>
      <c r="J20" s="417">
        <f t="shared" si="0"/>
        <v>0.72772583444569605</v>
      </c>
      <c r="K20" s="163" t="e">
        <f>(1-(#REF!/H20))*100</f>
        <v>#REF!</v>
      </c>
    </row>
    <row r="21" spans="2:11" s="303" customFormat="1" ht="26.25" customHeight="1">
      <c r="B21" s="548" t="s">
        <v>112</v>
      </c>
      <c r="C21" s="546">
        <v>12</v>
      </c>
      <c r="D21" s="547">
        <f>+G3</f>
        <v>42973.541666666664</v>
      </c>
      <c r="E21" s="547">
        <f>+E20</f>
        <v>42977.53125</v>
      </c>
      <c r="F21" s="301">
        <f>COUNTA('12_1'!G13:G44)</f>
        <v>24</v>
      </c>
      <c r="G21" s="302">
        <f>+'12_1'!I10</f>
        <v>0.91481767259910607</v>
      </c>
      <c r="H21" s="301">
        <f>+'12_1'!E46</f>
        <v>322.02299999999991</v>
      </c>
      <c r="I21" s="301">
        <f>+'12_1'!H46</f>
        <v>232.96992000000009</v>
      </c>
      <c r="J21" s="417">
        <f t="shared" si="0"/>
        <v>0.72345739279492505</v>
      </c>
      <c r="K21" s="163" t="e">
        <f>(1-(#REF!/H21))*100</f>
        <v>#REF!</v>
      </c>
    </row>
    <row r="22" spans="2:11" s="303" customFormat="1" ht="26.25" customHeight="1">
      <c r="B22" s="548" t="s">
        <v>113</v>
      </c>
      <c r="C22" s="546">
        <v>13</v>
      </c>
      <c r="D22" s="547">
        <f>+G3</f>
        <v>42973.541666666664</v>
      </c>
      <c r="E22" s="547">
        <f>+'13_1'!C6</f>
        <v>42977.531249999985</v>
      </c>
      <c r="F22" s="301">
        <f>COUNTA('13_1'!G15:G38)</f>
        <v>24</v>
      </c>
      <c r="G22" s="302">
        <f>+'13_1'!J10</f>
        <v>0.58752746481664586</v>
      </c>
      <c r="H22" s="301">
        <f>+'13_1'!E39</f>
        <v>522.09159999999997</v>
      </c>
      <c r="I22" s="301">
        <f>+'13_1'!H39</f>
        <v>373.38680000000005</v>
      </c>
      <c r="J22" s="417">
        <f t="shared" si="0"/>
        <v>0.71517488502017668</v>
      </c>
      <c r="K22" s="163" t="e">
        <f>(1-(#REF!/H22))*100</f>
        <v>#REF!</v>
      </c>
    </row>
    <row r="23" spans="2:11" s="303" customFormat="1" ht="23.25" customHeight="1">
      <c r="B23" s="541" t="s">
        <v>114</v>
      </c>
      <c r="C23" s="544">
        <v>14</v>
      </c>
      <c r="D23" s="545">
        <f>+D22</f>
        <v>42973.541666666664</v>
      </c>
      <c r="E23" s="545">
        <f>+'14_1'!C6</f>
        <v>42977.53125</v>
      </c>
      <c r="F23" s="301">
        <f>COUNTA('14_1'!G15:G21)</f>
        <v>7</v>
      </c>
      <c r="G23" s="302">
        <f>+'14_1'!I9</f>
        <v>1.6949948351957931</v>
      </c>
      <c r="H23" s="301">
        <f>+'14_1'!E25</f>
        <v>167.42959999999999</v>
      </c>
      <c r="I23" s="301">
        <f>+'14_1'!H25</f>
        <v>133.11250000000001</v>
      </c>
      <c r="J23" s="417">
        <f t="shared" si="0"/>
        <v>0.79503564483221612</v>
      </c>
      <c r="K23" s="163" t="e">
        <f>(1-(#REF!/H23))*100</f>
        <v>#REF!</v>
      </c>
    </row>
    <row r="24" spans="2:11" s="303" customFormat="1" ht="24.95" customHeight="1">
      <c r="B24" s="541" t="s">
        <v>115</v>
      </c>
      <c r="C24" s="544">
        <v>15</v>
      </c>
      <c r="D24" s="545">
        <f>+G2</f>
        <v>42749.548611111109</v>
      </c>
      <c r="E24" s="545">
        <f>+'15_1'!C7</f>
        <v>42753.538194444438</v>
      </c>
      <c r="F24" s="301">
        <f>COUNTA('15_1'!G41:G51)</f>
        <v>0</v>
      </c>
      <c r="G24" s="302">
        <f>+'15_1'!I10</f>
        <v>3.2897872335291187</v>
      </c>
      <c r="H24" s="301" t="e">
        <f>+'15_1'!#REF!</f>
        <v>#REF!</v>
      </c>
      <c r="I24" s="301" t="e">
        <f>+'15_1'!#REF!</f>
        <v>#REF!</v>
      </c>
      <c r="J24" s="417" t="e">
        <f t="shared" si="0"/>
        <v>#REF!</v>
      </c>
      <c r="K24" s="163" t="e">
        <f>(1-(#REF!/H24))*100</f>
        <v>#REF!</v>
      </c>
    </row>
    <row r="25" spans="2:11" ht="24.95" customHeight="1">
      <c r="B25" s="553" t="s">
        <v>116</v>
      </c>
      <c r="C25" s="554">
        <v>16</v>
      </c>
      <c r="D25" s="555">
        <f>+G3</f>
        <v>42973.541666666664</v>
      </c>
      <c r="E25" s="555">
        <f>+E21</f>
        <v>42977.53125</v>
      </c>
      <c r="F25" s="301">
        <f>COUNTA('16_1'!G12:G55)</f>
        <v>44</v>
      </c>
      <c r="G25" s="302">
        <f>+'16_1'!I7</f>
        <v>0.53517011844442808</v>
      </c>
      <c r="H25" s="352">
        <f>+'16_1'!E56</f>
        <v>560.54340000000013</v>
      </c>
      <c r="I25" s="352">
        <f>+'16_1'!H56</f>
        <v>389.67359999999996</v>
      </c>
      <c r="J25" s="417">
        <f t="shared" si="0"/>
        <v>0.69517114999480834</v>
      </c>
      <c r="K25" s="163" t="e">
        <f>(1-(#REF!/H25))*100</f>
        <v>#REF!</v>
      </c>
    </row>
    <row r="26" spans="2:11" ht="24.95" customHeight="1">
      <c r="B26" s="553" t="s">
        <v>117</v>
      </c>
      <c r="C26" s="554">
        <v>17</v>
      </c>
      <c r="D26" s="555">
        <f>+D20</f>
        <v>42973.541666666664</v>
      </c>
      <c r="E26" s="555">
        <f>+E21</f>
        <v>42977.53125</v>
      </c>
      <c r="F26" s="301">
        <f>COUNTA('17_1'!G13:G17)</f>
        <v>5</v>
      </c>
      <c r="G26" s="302">
        <f>+'17_1'!I10</f>
        <v>4.0491015987980798</v>
      </c>
      <c r="H26" s="301">
        <f>+'17_1'!E18</f>
        <v>57.5745</v>
      </c>
      <c r="I26" s="301">
        <f>+'17_1'!H18</f>
        <v>57.5745</v>
      </c>
      <c r="J26" s="417">
        <f t="shared" si="0"/>
        <v>1</v>
      </c>
      <c r="K26" s="163" t="e">
        <f>(1-(#REF!/H26))*100</f>
        <v>#REF!</v>
      </c>
    </row>
    <row r="27" spans="2:11" ht="24" customHeight="1">
      <c r="B27" s="552" t="s">
        <v>118</v>
      </c>
      <c r="C27" s="550">
        <v>18</v>
      </c>
      <c r="D27" s="551"/>
      <c r="E27" s="551"/>
      <c r="F27" s="301">
        <f>COUNTA('17_1'!G14:G18)</f>
        <v>4</v>
      </c>
      <c r="G27" s="302">
        <f>+'17_1'!I11</f>
        <v>0</v>
      </c>
      <c r="H27" s="301">
        <f>+'17_1'!E19</f>
        <v>0</v>
      </c>
      <c r="I27" s="301">
        <f>+'17_1'!H19</f>
        <v>0</v>
      </c>
      <c r="J27" s="417" t="e">
        <f t="shared" si="0"/>
        <v>#DIV/0!</v>
      </c>
      <c r="K27" s="163" t="e">
        <f>(1-(#REF!/H27))*100</f>
        <v>#REF!</v>
      </c>
    </row>
    <row r="30" spans="2:11" ht="15.75">
      <c r="B30" s="565" t="s">
        <v>119</v>
      </c>
      <c r="C30" s="564"/>
      <c r="D30" s="99" t="s">
        <v>120</v>
      </c>
    </row>
    <row r="31" spans="2:11" s="508" customFormat="1" ht="18">
      <c r="C31" s="560"/>
      <c r="D31" s="134" t="s">
        <v>121</v>
      </c>
    </row>
    <row r="32" spans="2:11">
      <c r="C32" s="561"/>
      <c r="D32" s="99" t="s">
        <v>122</v>
      </c>
    </row>
  </sheetData>
  <mergeCells count="1">
    <mergeCell ref="E6:F6"/>
  </mergeCells>
  <phoneticPr fontId="0" type="noConversion"/>
  <dataValidations count="2">
    <dataValidation type="list" allowBlank="1" showInputMessage="1" showErrorMessage="1" sqref="G5" xr:uid="{00000000-0002-0000-0500-000000000000}">
      <formula1>" POR ENTERO,  fracción"</formula1>
    </dataValidation>
    <dataValidation type="list" allowBlank="1" showInputMessage="1" showErrorMessage="1" sqref="G6" xr:uid="{00000000-0002-0000-0500-000001000000}">
      <formula1>"SI, NO"</formula1>
    </dataValidation>
  </dataValidations>
  <pageMargins left="0.75" right="0.75" top="1" bottom="1" header="0" footer="0"/>
  <pageSetup paperSize="9" scale="95" orientation="landscape" verticalDpi="200" r:id="rId1"/>
  <headerFooter alignWithMargins="0"/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U65"/>
  <sheetViews>
    <sheetView zoomScale="75" zoomScaleNormal="75" zoomScaleSheetLayoutView="100" workbookViewId="0" xr3:uid="{9B253EF2-77E0-53E3-AE26-4D66ECD923F3}">
      <selection activeCell="C7" sqref="C7:E7"/>
    </sheetView>
  </sheetViews>
  <sheetFormatPr defaultRowHeight="12.75"/>
  <cols>
    <col min="1" max="1" width="9.7109375" bestFit="1" customWidth="1"/>
    <col min="2" max="2" width="6.28515625" bestFit="1" customWidth="1"/>
    <col min="3" max="3" width="9.5703125" bestFit="1" customWidth="1"/>
    <col min="4" max="4" width="4" bestFit="1" customWidth="1"/>
    <col min="5" max="5" width="11.5703125" bestFit="1" customWidth="1"/>
    <col min="6" max="6" width="13.42578125" customWidth="1"/>
    <col min="7" max="7" width="38.28515625" bestFit="1" customWidth="1"/>
    <col min="8" max="8" width="16.42578125" bestFit="1" customWidth="1"/>
    <col min="9" max="9" width="7.5703125" bestFit="1" customWidth="1"/>
    <col min="10" max="10" width="9.140625" bestFit="1" customWidth="1"/>
    <col min="11" max="11" width="15.7109375" customWidth="1"/>
    <col min="12" max="12" width="15.42578125" customWidth="1"/>
    <col min="13" max="13" width="28.140625" customWidth="1"/>
    <col min="14" max="14" width="40.5703125" customWidth="1"/>
    <col min="15" max="15" width="11.42578125" customWidth="1"/>
    <col min="16" max="18" width="11.5703125" bestFit="1" customWidth="1"/>
    <col min="19" max="19" width="12.5703125" bestFit="1" customWidth="1"/>
    <col min="20" max="20" width="11.5703125" bestFit="1" customWidth="1"/>
    <col min="21" max="256" width="11.42578125" customWidth="1"/>
  </cols>
  <sheetData>
    <row r="1" spans="1:21" s="10" customFormat="1"/>
    <row r="2" spans="1:2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21">
      <c r="A3" s="76"/>
      <c r="B3" s="434" t="s">
        <v>123</v>
      </c>
      <c r="C3" s="76"/>
      <c r="D3" s="76"/>
      <c r="E3" s="76"/>
      <c r="F3" s="76"/>
      <c r="G3" s="76"/>
      <c r="H3" s="76" t="s">
        <v>101</v>
      </c>
      <c r="I3" s="76"/>
      <c r="J3" s="76"/>
      <c r="K3" s="76"/>
      <c r="L3" s="76"/>
      <c r="M3" s="76"/>
    </row>
    <row r="4" spans="1:2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21" ht="13.5" thickBo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21" ht="13.5" thickBot="1">
      <c r="A6" s="662" t="s">
        <v>124</v>
      </c>
      <c r="B6" s="663"/>
      <c r="C6" s="659">
        <f>+Hijuelas!D17</f>
        <v>42973.541666666664</v>
      </c>
      <c r="D6" s="659"/>
      <c r="E6" s="660"/>
      <c r="F6" s="322"/>
      <c r="G6" s="306" t="s">
        <v>125</v>
      </c>
      <c r="H6" s="307">
        <f>+Hijuelas!$G$4</f>
        <v>3.9895833333333335</v>
      </c>
      <c r="I6" s="76"/>
      <c r="J6" s="76"/>
      <c r="K6" s="76"/>
      <c r="L6" s="76"/>
      <c r="M6" s="76"/>
    </row>
    <row r="7" spans="1:21" ht="13.5" thickBot="1">
      <c r="A7" s="664" t="s">
        <v>126</v>
      </c>
      <c r="B7" s="665"/>
      <c r="C7" s="659">
        <f>+C6+H6</f>
        <v>42977.53125</v>
      </c>
      <c r="D7" s="659"/>
      <c r="E7" s="660"/>
      <c r="F7" s="347">
        <f>+C7-C6</f>
        <v>3.9895833333357587</v>
      </c>
      <c r="G7" s="265" t="s">
        <v>127</v>
      </c>
      <c r="H7" s="308">
        <v>0.125</v>
      </c>
      <c r="I7" s="322"/>
      <c r="J7" s="76"/>
      <c r="K7" s="309"/>
      <c r="L7" s="76"/>
      <c r="M7" s="76"/>
    </row>
    <row r="8" spans="1:21" ht="13.5" thickBot="1">
      <c r="A8" s="76"/>
      <c r="B8" s="76"/>
      <c r="C8" s="76"/>
      <c r="D8" s="76"/>
      <c r="E8" s="76"/>
      <c r="F8" s="76"/>
      <c r="G8" s="310" t="s">
        <v>128</v>
      </c>
      <c r="H8" s="311">
        <v>0.125</v>
      </c>
      <c r="I8" s="76"/>
      <c r="J8" s="76"/>
      <c r="K8" s="76"/>
      <c r="L8" s="76"/>
      <c r="M8" s="76"/>
    </row>
    <row r="9" spans="1:2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</row>
    <row r="10" spans="1:21">
      <c r="A10" s="661" t="s">
        <v>129</v>
      </c>
      <c r="B10" s="661"/>
      <c r="C10" s="347">
        <f>H6-(H7+H8)</f>
        <v>3.7395833333333335</v>
      </c>
      <c r="D10" s="347"/>
      <c r="E10" s="635" t="s">
        <v>130</v>
      </c>
      <c r="F10" s="435">
        <f>+C10*60</f>
        <v>224.375</v>
      </c>
      <c r="G10" s="635" t="s">
        <v>131</v>
      </c>
      <c r="H10" s="375">
        <f>+H41</f>
        <v>257.36887999999999</v>
      </c>
      <c r="I10" s="635" t="s">
        <v>132</v>
      </c>
      <c r="J10" s="347">
        <f>+F10/H10</f>
        <v>0.87180314885000865</v>
      </c>
      <c r="K10" s="76"/>
      <c r="L10" s="76"/>
      <c r="M10" s="76"/>
    </row>
    <row r="11" spans="1:21" ht="13.5" thickBot="1">
      <c r="A11" s="76"/>
      <c r="B11" s="76"/>
      <c r="C11" s="76"/>
      <c r="D11" s="76"/>
      <c r="E11" s="76"/>
      <c r="F11" s="76" t="s">
        <v>133</v>
      </c>
      <c r="G11" s="76"/>
      <c r="H11" s="76"/>
      <c r="I11" s="76"/>
      <c r="J11" s="76"/>
      <c r="K11" s="76"/>
      <c r="L11" s="76"/>
      <c r="M11" s="76"/>
    </row>
    <row r="12" spans="1:21" s="442" customFormat="1" ht="13.5" thickBot="1">
      <c r="A12" s="437" t="s">
        <v>134</v>
      </c>
      <c r="B12" s="438" t="s">
        <v>135</v>
      </c>
      <c r="C12" s="438" t="s">
        <v>136</v>
      </c>
      <c r="D12" s="438" t="s">
        <v>137</v>
      </c>
      <c r="E12" s="438" t="s">
        <v>138</v>
      </c>
      <c r="F12" s="438" t="s">
        <v>139</v>
      </c>
      <c r="G12" s="438" t="s">
        <v>140</v>
      </c>
      <c r="H12" s="438" t="s">
        <v>141</v>
      </c>
      <c r="I12" s="438" t="s">
        <v>142</v>
      </c>
      <c r="J12" s="438" t="s">
        <v>143</v>
      </c>
      <c r="K12" s="438" t="s">
        <v>144</v>
      </c>
      <c r="L12" s="438" t="s">
        <v>145</v>
      </c>
      <c r="M12" s="438" t="s">
        <v>146</v>
      </c>
      <c r="N12" s="439" t="s">
        <v>147</v>
      </c>
      <c r="O12" s="438" t="s">
        <v>148</v>
      </c>
      <c r="P12" s="438" t="s">
        <v>149</v>
      </c>
      <c r="Q12" s="438" t="s">
        <v>150</v>
      </c>
      <c r="R12" s="438" t="s">
        <v>151</v>
      </c>
      <c r="S12" s="438" t="s">
        <v>152</v>
      </c>
      <c r="T12" s="440" t="s">
        <v>153</v>
      </c>
      <c r="U12" s="441"/>
    </row>
    <row r="13" spans="1:21" ht="24.95" customHeight="1">
      <c r="A13" s="242">
        <v>1</v>
      </c>
      <c r="B13" s="47">
        <v>1243</v>
      </c>
      <c r="C13" s="244">
        <v>23</v>
      </c>
      <c r="D13" s="244">
        <v>2</v>
      </c>
      <c r="E13" s="245">
        <v>4.9185999999999996</v>
      </c>
      <c r="F13" s="85" t="str">
        <f t="shared" ref="F13:F40" si="0">IF(P13=0,"NO",IF(P13=1,"SI","CONDICIONAL"))</f>
        <v>SI</v>
      </c>
      <c r="G13" s="391" t="s">
        <v>154</v>
      </c>
      <c r="H13" s="125">
        <f>IF(Hijuelas!$G$5="fracción",IF(F13="NO",0,IF(Hijuelas!$G$6="si",IF(D13=1,E13,E13*0.8),E13)),IF(F13="NO",0,IF(Hijuelas!$G$6="si",IF(D13=1,ROUNDUP(E13,0),ROUNDUP(E13*0.8,0)),ROUNDUP(E13,0))))</f>
        <v>3.9348799999999997</v>
      </c>
      <c r="I13" s="123">
        <v>0</v>
      </c>
      <c r="J13" s="123">
        <f>+$J$10*H13/60</f>
        <v>5.7174012905782029E-2</v>
      </c>
      <c r="K13" s="261"/>
      <c r="L13" s="261"/>
      <c r="M13" s="47"/>
      <c r="N13" s="132"/>
      <c r="O13" s="132" t="str">
        <f>+CONCATENATE(B13,C13)</f>
        <v>124323</v>
      </c>
      <c r="P13" s="112">
        <f>VLOOKUP(O13,deuda!A$1:H$551,4,0)</f>
        <v>1</v>
      </c>
      <c r="Q13" s="112">
        <f>VLOOKUP(O13,deuda!A$1:H$551,5,0)</f>
        <v>1</v>
      </c>
      <c r="R13" s="112" t="str">
        <f>IF(VLOOKUP(O13,deuda!A$1:H$551,6,0)=0,"",VLOOKUP(O13,deuda!A$1:H$551,6,0))</f>
        <v/>
      </c>
      <c r="S13" s="113" t="str">
        <f>IF((VLOOKUP(O13,deuda!A$1:H$551,7,0))=0,"",VLOOKUP(O13,deuda!A$1:H$551,7,0))</f>
        <v/>
      </c>
      <c r="T13" s="114" t="str">
        <f>IF((VLOOKUP(O13,deuda!A$1:H$551,8,0))=0,"",VLOOKUP(O13,deuda!A$1:H$551,8,0))</f>
        <v/>
      </c>
    </row>
    <row r="14" spans="1:21" ht="24.95" customHeight="1">
      <c r="A14" s="71">
        <v>2</v>
      </c>
      <c r="B14" s="5">
        <v>1243</v>
      </c>
      <c r="C14" s="179">
        <v>48</v>
      </c>
      <c r="D14" s="179">
        <v>2</v>
      </c>
      <c r="E14" s="20">
        <v>4.5</v>
      </c>
      <c r="F14" s="85" t="str">
        <f t="shared" si="0"/>
        <v>NO</v>
      </c>
      <c r="G14" s="392" t="s">
        <v>155</v>
      </c>
      <c r="H14" s="125">
        <f>IF(Hijuelas!$G$5="fracción",IF(F14="NO",0,IF(Hijuelas!$G$6="si",IF(D14=1,E14,E14*0.8),E14)),IF(F14="NO",0,IF(Hijuelas!$G$6="si",IF(D14=1,ROUNDUP(E14,0),ROUNDUP(E14*0.8,0)),ROUNDUP(E14,0))))</f>
        <v>0</v>
      </c>
      <c r="I14" s="119">
        <v>0</v>
      </c>
      <c r="J14" s="123">
        <f>+$J$10*H14/60</f>
        <v>0</v>
      </c>
      <c r="K14" s="262"/>
      <c r="L14" s="262"/>
      <c r="M14" s="5"/>
      <c r="N14" s="8"/>
      <c r="O14" s="132" t="str">
        <f t="shared" ref="O14:O40" si="1">+CONCATENATE(B14,C14)</f>
        <v>124348</v>
      </c>
      <c r="P14" s="112">
        <f>VLOOKUP(O14,deuda!A$1:H$551,4,0)</f>
        <v>0</v>
      </c>
      <c r="Q14" s="112">
        <f>VLOOKUP(O14,deuda!A$1:H$551,5,0)</f>
        <v>26</v>
      </c>
      <c r="R14" s="112" t="str">
        <f>IF(VLOOKUP(O14,deuda!A$1:H$551,6,0)=0,"",VLOOKUP(O14,deuda!A$1:H$551,6,0))</f>
        <v/>
      </c>
      <c r="S14" s="113" t="str">
        <f>IF((VLOOKUP(O14,deuda!A$1:H$551,7,0))=0,"",VLOOKUP(O14,deuda!A$1:H$551,7,0))</f>
        <v/>
      </c>
      <c r="T14" s="114" t="str">
        <f>IF((VLOOKUP(O14,deuda!A$1:H$551,8,0))=0,"",VLOOKUP(O14,deuda!A$1:H$551,8,0))</f>
        <v/>
      </c>
    </row>
    <row r="15" spans="1:21" ht="24.95" customHeight="1">
      <c r="A15" s="71">
        <v>3</v>
      </c>
      <c r="B15" s="5">
        <v>1243</v>
      </c>
      <c r="C15" s="179">
        <v>52</v>
      </c>
      <c r="D15" s="179">
        <v>2</v>
      </c>
      <c r="E15" s="20">
        <v>1.9835</v>
      </c>
      <c r="F15" s="85" t="str">
        <f t="shared" si="0"/>
        <v>SI</v>
      </c>
      <c r="G15" s="392" t="s">
        <v>155</v>
      </c>
      <c r="H15" s="125">
        <f>IF(Hijuelas!$G$5="fracción",IF(F15="NO",0,IF(Hijuelas!$G$6="si",IF(D15=1,E15,E15*0.8),E15)),IF(F15="NO",0,IF(Hijuelas!$G$6="si",IF(D15=1,ROUNDUP(E15,0),ROUNDUP(E15*0.8,0)),ROUNDUP(E15,0))))</f>
        <v>1.5868000000000002</v>
      </c>
      <c r="I15" s="119">
        <v>0</v>
      </c>
      <c r="J15" s="123">
        <f>+$J$10*H15/60</f>
        <v>2.3056287276586564E-2</v>
      </c>
      <c r="K15" s="262"/>
      <c r="L15" s="262"/>
      <c r="M15" s="5"/>
      <c r="N15" s="8"/>
      <c r="O15" s="132" t="str">
        <f t="shared" si="1"/>
        <v>124352</v>
      </c>
      <c r="P15" s="112">
        <f>VLOOKUP(O15,deuda!A$1:H$551,4,0)</f>
        <v>1</v>
      </c>
      <c r="Q15" s="112">
        <f>VLOOKUP(O15,deuda!A$1:H$551,5,0)</f>
        <v>0</v>
      </c>
      <c r="R15" s="112" t="str">
        <f>IF(VLOOKUP(O15,deuda!A$1:H$551,6,0)=0,"",VLOOKUP(O15,deuda!A$1:H$551,6,0))</f>
        <v/>
      </c>
      <c r="S15" s="113" t="str">
        <f>IF((VLOOKUP(O15,deuda!A$1:H$551,7,0))=0,"",VLOOKUP(O15,deuda!A$1:H$551,7,0))</f>
        <v/>
      </c>
      <c r="T15" s="114" t="str">
        <f>IF((VLOOKUP(O15,deuda!A$1:H$551,8,0))=0,"",VLOOKUP(O15,deuda!A$1:H$551,8,0))</f>
        <v/>
      </c>
    </row>
    <row r="16" spans="1:21" ht="24.95" customHeight="1">
      <c r="A16" s="71">
        <v>3</v>
      </c>
      <c r="B16" s="5">
        <v>1243</v>
      </c>
      <c r="C16" s="179">
        <v>36</v>
      </c>
      <c r="D16" s="179">
        <v>2</v>
      </c>
      <c r="E16" s="20">
        <v>0.50519999999999998</v>
      </c>
      <c r="F16" s="85" t="str">
        <f t="shared" si="0"/>
        <v>NO</v>
      </c>
      <c r="G16" s="392" t="s">
        <v>155</v>
      </c>
      <c r="H16" s="16">
        <f>IF(Hijuelas!$G$5="fracción",IF(F16="NO",0,IF(Hijuelas!$G$6="si",IF(D16=1,E16,E16*0.8),E16)),IF(F16="NO",0,IF(Hijuelas!$G$6="si",IF(D16=1,ROUNDUP(E16,0),ROUNDUP(E16*0.8,0)),ROUNDUP(E16,0))))</f>
        <v>0</v>
      </c>
      <c r="I16" s="119">
        <v>0</v>
      </c>
      <c r="J16" s="119">
        <f t="shared" ref="J16:J39" si="2">+$J$10*H16/60</f>
        <v>0</v>
      </c>
      <c r="K16" s="262"/>
      <c r="L16" s="262"/>
      <c r="M16" s="5"/>
      <c r="N16" s="8"/>
      <c r="O16" s="132" t="str">
        <f t="shared" si="1"/>
        <v>124336</v>
      </c>
      <c r="P16" s="112">
        <f>VLOOKUP(O16,deuda!A$1:H$551,4,0)</f>
        <v>0</v>
      </c>
      <c r="Q16" s="112">
        <f>VLOOKUP(O16,deuda!A$1:H$551,5,0)</f>
        <v>75</v>
      </c>
      <c r="R16" s="112" t="str">
        <f>IF(VLOOKUP(O16,deuda!A$1:H$551,6,0)=0,"",VLOOKUP(O16,deuda!A$1:H$551,6,0))</f>
        <v/>
      </c>
      <c r="S16" s="113" t="str">
        <f>IF((VLOOKUP(O16,deuda!A$1:H$551,7,0))=0,"",VLOOKUP(O16,deuda!A$1:H$551,7,0))</f>
        <v/>
      </c>
      <c r="T16" s="114" t="str">
        <f>IF((VLOOKUP(O16,deuda!A$1:H$551,8,0))=0,"",VLOOKUP(O16,deuda!A$1:H$551,8,0))</f>
        <v/>
      </c>
    </row>
    <row r="17" spans="1:20" ht="24.95" customHeight="1">
      <c r="A17" s="71">
        <v>3</v>
      </c>
      <c r="B17" s="5">
        <v>1243</v>
      </c>
      <c r="C17" s="179">
        <v>39</v>
      </c>
      <c r="D17" s="179">
        <v>2</v>
      </c>
      <c r="E17" s="20">
        <v>7.2747000000000002</v>
      </c>
      <c r="F17" s="85" t="str">
        <f t="shared" si="0"/>
        <v>SI</v>
      </c>
      <c r="G17" s="392" t="s">
        <v>156</v>
      </c>
      <c r="H17" s="16">
        <f>IF(Hijuelas!$G$5="fracción",IF(F17="NO",0,IF(Hijuelas!$G$6="si",IF(D17=1,E17,E17*0.8),E17)),IF(F17="NO",0,IF(Hijuelas!$G$6="si",IF(D17=1,ROUNDUP(E17,0),ROUNDUP(E17*0.8,0)),ROUNDUP(E17,0))))</f>
        <v>5.8197600000000005</v>
      </c>
      <c r="I17" s="119">
        <v>0</v>
      </c>
      <c r="J17" s="119">
        <f t="shared" si="2"/>
        <v>8.4561418225855445E-2</v>
      </c>
      <c r="K17" s="262"/>
      <c r="L17" s="262"/>
      <c r="M17" s="5"/>
      <c r="N17" s="8"/>
      <c r="O17" s="132" t="str">
        <f t="shared" si="1"/>
        <v>124339</v>
      </c>
      <c r="P17" s="112">
        <f>VLOOKUP(O17,deuda!A$1:H$551,4,0)</f>
        <v>1</v>
      </c>
      <c r="Q17" s="112">
        <f>VLOOKUP(O17,deuda!A$1:H$551,5,0)</f>
        <v>2</v>
      </c>
      <c r="R17" s="112" t="str">
        <f>IF(VLOOKUP(O17,deuda!A$1:H$551,6,0)=0,"",VLOOKUP(O17,deuda!A$1:H$551,6,0))</f>
        <v/>
      </c>
      <c r="S17" s="113" t="str">
        <f>IF((VLOOKUP(O17,deuda!A$1:H$551,7,0))=0,"",VLOOKUP(O17,deuda!A$1:H$551,7,0))</f>
        <v/>
      </c>
      <c r="T17" s="114" t="str">
        <f>IF((VLOOKUP(O17,deuda!A$1:H$551,8,0))=0,"",VLOOKUP(O17,deuda!A$1:H$551,8,0))</f>
        <v/>
      </c>
    </row>
    <row r="18" spans="1:20" ht="24.95" customHeight="1">
      <c r="A18" s="71">
        <v>4</v>
      </c>
      <c r="B18" s="5">
        <v>1243</v>
      </c>
      <c r="C18" s="179">
        <v>34</v>
      </c>
      <c r="D18" s="179">
        <v>2</v>
      </c>
      <c r="E18" s="20">
        <v>1.9965999999999999</v>
      </c>
      <c r="F18" s="85" t="str">
        <f t="shared" si="0"/>
        <v>SI</v>
      </c>
      <c r="G18" s="392" t="s">
        <v>157</v>
      </c>
      <c r="H18" s="16">
        <f>IF(Hijuelas!$G$5="fracción",IF(F18="NO",0,IF(Hijuelas!$G$6="si",IF(D18=1,E18,E18*0.8),E18)),IF(F18="NO",0,IF(Hijuelas!$G$6="si",IF(D18=1,ROUNDUP(E18,0),ROUNDUP(E18*0.8,0)),ROUNDUP(E18,0))))</f>
        <v>1.59728</v>
      </c>
      <c r="I18" s="119">
        <v>0</v>
      </c>
      <c r="J18" s="119">
        <f t="shared" si="2"/>
        <v>2.3208562226585697E-2</v>
      </c>
      <c r="K18" s="262"/>
      <c r="L18" s="262"/>
      <c r="M18" s="5"/>
      <c r="N18" s="8"/>
      <c r="O18" s="132" t="str">
        <f t="shared" si="1"/>
        <v>124334</v>
      </c>
      <c r="P18" s="112">
        <f>VLOOKUP(O18,deuda!A$1:H$551,4,0)</f>
        <v>1</v>
      </c>
      <c r="Q18" s="112">
        <f>VLOOKUP(O18,deuda!A$1:H$551,5,0)</f>
        <v>2</v>
      </c>
      <c r="R18" s="112" t="str">
        <f>IF(VLOOKUP(O18,deuda!A$1:H$551,6,0)=0,"",VLOOKUP(O18,deuda!A$1:H$551,6,0))</f>
        <v/>
      </c>
      <c r="S18" s="113" t="str">
        <f>IF((VLOOKUP(O18,deuda!A$1:H$551,7,0))=0,"",VLOOKUP(O18,deuda!A$1:H$551,7,0))</f>
        <v/>
      </c>
      <c r="T18" s="114" t="str">
        <f>IF((VLOOKUP(O18,deuda!A$1:H$551,8,0))=0,"",VLOOKUP(O18,deuda!A$1:H$551,8,0))</f>
        <v/>
      </c>
    </row>
    <row r="19" spans="1:20" ht="24.95" customHeight="1">
      <c r="A19" s="71">
        <v>5</v>
      </c>
      <c r="B19" s="5">
        <v>1243</v>
      </c>
      <c r="C19" s="179">
        <v>33</v>
      </c>
      <c r="D19" s="179">
        <v>2</v>
      </c>
      <c r="E19" s="20">
        <v>2.2959000000000001</v>
      </c>
      <c r="F19" s="85" t="str">
        <f t="shared" si="0"/>
        <v>SI</v>
      </c>
      <c r="G19" s="392" t="s">
        <v>158</v>
      </c>
      <c r="H19" s="16">
        <f>IF(Hijuelas!$G$5="fracción",IF(F19="NO",0,IF(Hijuelas!$G$6="si",IF(D19=1,E19,E19*0.8),E19)),IF(F19="NO",0,IF(Hijuelas!$G$6="si",IF(D19=1,ROUNDUP(E19,0),ROUNDUP(E19*0.8,0)),ROUNDUP(E19,0))))</f>
        <v>1.8367200000000001</v>
      </c>
      <c r="I19" s="119">
        <v>0</v>
      </c>
      <c r="J19" s="119">
        <f t="shared" si="2"/>
        <v>2.6687637992596467E-2</v>
      </c>
      <c r="K19" s="262"/>
      <c r="L19" s="262"/>
      <c r="M19" s="5"/>
      <c r="N19" s="8"/>
      <c r="O19" s="132" t="str">
        <f t="shared" si="1"/>
        <v>124333</v>
      </c>
      <c r="P19" s="112">
        <f>VLOOKUP(O19,deuda!A$1:H$551,4,0)</f>
        <v>1</v>
      </c>
      <c r="Q19" s="112">
        <f>VLOOKUP(O19,deuda!A$1:H$551,5,0)</f>
        <v>0</v>
      </c>
      <c r="R19" s="112" t="str">
        <f>IF(VLOOKUP(O19,deuda!A$1:H$551,6,0)=0,"",VLOOKUP(O19,deuda!A$1:H$551,6,0))</f>
        <v/>
      </c>
      <c r="S19" s="113" t="str">
        <f>IF((VLOOKUP(O19,deuda!A$1:H$551,7,0))=0,"",VLOOKUP(O19,deuda!A$1:H$551,7,0))</f>
        <v/>
      </c>
      <c r="T19" s="114" t="str">
        <f>IF((VLOOKUP(O19,deuda!A$1:H$551,8,0))=0,"",VLOOKUP(O19,deuda!A$1:H$551,8,0))</f>
        <v/>
      </c>
    </row>
    <row r="20" spans="1:20" ht="24.95" customHeight="1">
      <c r="A20" s="71">
        <v>6</v>
      </c>
      <c r="B20" s="5">
        <v>1243</v>
      </c>
      <c r="C20" s="179">
        <v>1</v>
      </c>
      <c r="D20" s="179">
        <v>2</v>
      </c>
      <c r="E20" s="20">
        <v>14.6546</v>
      </c>
      <c r="F20" s="85" t="str">
        <f t="shared" si="0"/>
        <v>SI</v>
      </c>
      <c r="G20" s="392" t="s">
        <v>159</v>
      </c>
      <c r="H20" s="16">
        <f>IF(Hijuelas!$G$5="fracción",IF(F20="NO",0,IF(Hijuelas!$G$6="si",IF(D20=1,E20,E20*0.8),E20)),IF(F20="NO",0,IF(Hijuelas!$G$6="si",IF(D20=1,ROUNDUP(E20,0),ROUNDUP(E20*0.8,0)),ROUNDUP(E20,0))))</f>
        <v>11.723680000000002</v>
      </c>
      <c r="I20" s="119">
        <v>0</v>
      </c>
      <c r="J20" s="119">
        <f t="shared" si="2"/>
        <v>0.17034568566849784</v>
      </c>
      <c r="K20" s="262"/>
      <c r="L20" s="262"/>
      <c r="M20" s="5"/>
      <c r="N20" s="8"/>
      <c r="O20" s="132" t="str">
        <f t="shared" si="1"/>
        <v>12431</v>
      </c>
      <c r="P20" s="112">
        <f>VLOOKUP(O20,deuda!A$1:H$551,4,0)</f>
        <v>1</v>
      </c>
      <c r="Q20" s="112">
        <f>VLOOKUP(O20,deuda!A$1:H$551,5,0)</f>
        <v>1</v>
      </c>
      <c r="R20" s="112" t="str">
        <f>IF(VLOOKUP(O20,deuda!A$1:H$551,6,0)=0,"",VLOOKUP(O20,deuda!A$1:H$551,6,0))</f>
        <v/>
      </c>
      <c r="S20" s="113" t="str">
        <f>IF((VLOOKUP(O20,deuda!A$1:H$551,7,0))=0,"",VLOOKUP(O20,deuda!A$1:H$551,7,0))</f>
        <v/>
      </c>
      <c r="T20" s="114" t="str">
        <f>IF((VLOOKUP(O20,deuda!A$1:H$551,8,0))=0,"",VLOOKUP(O20,deuda!A$1:H$551,8,0))</f>
        <v/>
      </c>
    </row>
    <row r="21" spans="1:20" ht="24.95" customHeight="1">
      <c r="A21" s="71">
        <v>7</v>
      </c>
      <c r="B21" s="5">
        <v>1243</v>
      </c>
      <c r="C21" s="179">
        <v>40</v>
      </c>
      <c r="D21" s="179">
        <v>2</v>
      </c>
      <c r="E21" s="20">
        <v>9.9911999999999992</v>
      </c>
      <c r="F21" s="85" t="str">
        <f t="shared" si="0"/>
        <v>SI</v>
      </c>
      <c r="G21" s="392" t="s">
        <v>160</v>
      </c>
      <c r="H21" s="16">
        <f>IF(Hijuelas!$G$5="fracción",IF(F21="NO",0,IF(Hijuelas!$G$6="si",IF(D21=1,E21,E21*0.8),E21)),IF(F21="NO",0,IF(Hijuelas!$G$6="si",IF(D21=1,ROUNDUP(E21,0),ROUNDUP(E21*0.8,0)),ROUNDUP(E21,0))))</f>
        <v>7.9929600000000001</v>
      </c>
      <c r="I21" s="119">
        <v>0</v>
      </c>
      <c r="J21" s="119">
        <f t="shared" si="2"/>
        <v>0.11613812827720275</v>
      </c>
      <c r="K21" s="262"/>
      <c r="L21" s="262"/>
      <c r="M21" s="5"/>
      <c r="N21" s="8"/>
      <c r="O21" s="132" t="str">
        <f t="shared" si="1"/>
        <v>124340</v>
      </c>
      <c r="P21" s="112">
        <f>VLOOKUP(O21,deuda!A$1:H$551,4,0)</f>
        <v>1</v>
      </c>
      <c r="Q21" s="112">
        <f>VLOOKUP(O21,deuda!A$1:H$551,5,0)</f>
        <v>2</v>
      </c>
      <c r="R21" s="112" t="str">
        <f>IF(VLOOKUP(O21,deuda!A$1:H$551,6,0)=0,"",VLOOKUP(O21,deuda!A$1:H$551,6,0))</f>
        <v/>
      </c>
      <c r="S21" s="113" t="str">
        <f>IF((VLOOKUP(O21,deuda!A$1:H$551,7,0))=0,"",VLOOKUP(O21,deuda!A$1:H$551,7,0))</f>
        <v/>
      </c>
      <c r="T21" s="114" t="str">
        <f>IF((VLOOKUP(O21,deuda!A$1:H$551,8,0))=0,"",VLOOKUP(O21,deuda!A$1:H$551,8,0))</f>
        <v/>
      </c>
    </row>
    <row r="22" spans="1:20" ht="24.95" customHeight="1">
      <c r="A22" s="71">
        <v>8</v>
      </c>
      <c r="B22" s="5">
        <v>1243</v>
      </c>
      <c r="C22" s="179">
        <v>46</v>
      </c>
      <c r="D22" s="179">
        <v>2</v>
      </c>
      <c r="E22" s="20">
        <v>24.8597</v>
      </c>
      <c r="F22" s="85" t="str">
        <f t="shared" si="0"/>
        <v>SI</v>
      </c>
      <c r="G22" s="392" t="s">
        <v>161</v>
      </c>
      <c r="H22" s="16">
        <f>IF(Hijuelas!$G$5="fracción",IF(F22="NO",0,IF(Hijuelas!$G$6="si",IF(D22=1,E22,E22*0.8),E22)),IF(F22="NO",0,IF(Hijuelas!$G$6="si",IF(D22=1,ROUNDUP(E22,0),ROUNDUP(E22*0.8,0)),ROUNDUP(E22,0))))</f>
        <v>19.88776</v>
      </c>
      <c r="I22" s="119">
        <v>0</v>
      </c>
      <c r="J22" s="119">
        <f t="shared" si="2"/>
        <v>0.2889701965262208</v>
      </c>
      <c r="K22" s="262"/>
      <c r="L22" s="262"/>
      <c r="M22" s="5"/>
      <c r="N22" s="8"/>
      <c r="O22" s="132" t="str">
        <f t="shared" si="1"/>
        <v>124346</v>
      </c>
      <c r="P22" s="112">
        <f>VLOOKUP(O22,deuda!A$1:H$551,4,0)</f>
        <v>1</v>
      </c>
      <c r="Q22" s="112">
        <f>VLOOKUP(O22,deuda!A$1:H$551,5,0)</f>
        <v>0</v>
      </c>
      <c r="R22" s="112" t="str">
        <f>IF(VLOOKUP(O22,deuda!A$1:H$551,6,0)=0,"",VLOOKUP(O22,deuda!A$1:H$551,6,0))</f>
        <v/>
      </c>
      <c r="S22" s="113" t="str">
        <f>IF((VLOOKUP(O22,deuda!A$1:H$551,7,0))=0,"",VLOOKUP(O22,deuda!A$1:H$551,7,0))</f>
        <v/>
      </c>
      <c r="T22" s="114" t="str">
        <f>IF((VLOOKUP(O22,deuda!A$1:H$551,8,0))=0,"",VLOOKUP(O22,deuda!A$1:H$551,8,0))</f>
        <v/>
      </c>
    </row>
    <row r="23" spans="1:20" ht="24.95" customHeight="1">
      <c r="A23" s="71">
        <v>9</v>
      </c>
      <c r="B23" s="5">
        <v>1243</v>
      </c>
      <c r="C23" s="179">
        <v>51</v>
      </c>
      <c r="D23" s="179">
        <v>2</v>
      </c>
      <c r="E23" s="20">
        <v>32.512999999999998</v>
      </c>
      <c r="F23" s="85" t="str">
        <f t="shared" si="0"/>
        <v>SI</v>
      </c>
      <c r="G23" s="392" t="s">
        <v>162</v>
      </c>
      <c r="H23" s="16">
        <f>IF(Hijuelas!$G$5="fracción",IF(F23="NO",0,IF(Hijuelas!$G$6="si",IF(D23=1,E23,E23*0.8),E23)),IF(F23="NO",0,IF(Hijuelas!$G$6="si",IF(D23=1,ROUNDUP(E23,0),ROUNDUP(E23*0.8,0)),ROUNDUP(E23,0))))</f>
        <v>26.010400000000001</v>
      </c>
      <c r="I23" s="119">
        <v>0</v>
      </c>
      <c r="J23" s="119">
        <f t="shared" si="2"/>
        <v>0.37793247704747113</v>
      </c>
      <c r="K23" s="262"/>
      <c r="L23" s="262"/>
      <c r="M23" s="5"/>
      <c r="N23" s="8"/>
      <c r="O23" s="132" t="str">
        <f t="shared" si="1"/>
        <v>124351</v>
      </c>
      <c r="P23" s="112">
        <f>VLOOKUP(O23,deuda!A$1:H$551,4,0)</f>
        <v>1</v>
      </c>
      <c r="Q23" s="112">
        <f>VLOOKUP(O23,deuda!A$1:H$551,5,0)</f>
        <v>0</v>
      </c>
      <c r="R23" s="112" t="str">
        <f>IF(VLOOKUP(O23,deuda!A$1:H$551,6,0)=0,"",VLOOKUP(O23,deuda!A$1:H$551,6,0))</f>
        <v/>
      </c>
      <c r="S23" s="113" t="str">
        <f>IF((VLOOKUP(O23,deuda!A$1:H$551,7,0))=0,"",VLOOKUP(O23,deuda!A$1:H$551,7,0))</f>
        <v/>
      </c>
      <c r="T23" s="114" t="str">
        <f>IF((VLOOKUP(O23,deuda!A$1:H$551,8,0))=0,"",VLOOKUP(O23,deuda!A$1:H$551,8,0))</f>
        <v/>
      </c>
    </row>
    <row r="24" spans="1:20" ht="24.95" customHeight="1">
      <c r="A24" s="71">
        <v>10</v>
      </c>
      <c r="B24" s="5">
        <v>1243</v>
      </c>
      <c r="C24" s="179">
        <v>18</v>
      </c>
      <c r="D24" s="179">
        <v>2</v>
      </c>
      <c r="E24" s="20">
        <v>21.6524</v>
      </c>
      <c r="F24" s="85" t="str">
        <f t="shared" si="0"/>
        <v>SI</v>
      </c>
      <c r="G24" s="392" t="s">
        <v>163</v>
      </c>
      <c r="H24" s="16">
        <f>IF(Hijuelas!$G$5="fracción",IF(F24="NO",0,IF(Hijuelas!$G$6="si",IF(D24=1,E24,E24*0.8),E24)),IF(F24="NO",0,IF(Hijuelas!$G$6="si",IF(D24=1,ROUNDUP(E24,0),ROUNDUP(E24*0.8,0)),ROUNDUP(E24,0))))</f>
        <v>17.321920000000002</v>
      </c>
      <c r="I24" s="119">
        <v>0</v>
      </c>
      <c r="J24" s="119">
        <f t="shared" si="2"/>
        <v>0.25168840666879905</v>
      </c>
      <c r="K24" s="262"/>
      <c r="L24" s="262"/>
      <c r="M24" s="5"/>
      <c r="N24" s="8"/>
      <c r="O24" s="132" t="str">
        <f t="shared" si="1"/>
        <v>124318</v>
      </c>
      <c r="P24" s="112">
        <f>VLOOKUP(O24,deuda!A$1:H$551,4,0)</f>
        <v>1</v>
      </c>
      <c r="Q24" s="112">
        <f>VLOOKUP(O24,deuda!A$1:H$551,5,0)</f>
        <v>0</v>
      </c>
      <c r="R24" s="112" t="str">
        <f>IF(VLOOKUP(O24,deuda!A$1:H$551,6,0)=0,"",VLOOKUP(O24,deuda!A$1:H$551,6,0))</f>
        <v/>
      </c>
      <c r="S24" s="113" t="str">
        <f>IF((VLOOKUP(O24,deuda!A$1:H$551,7,0))=0,"",VLOOKUP(O24,deuda!A$1:H$551,7,0))</f>
        <v/>
      </c>
      <c r="T24" s="114" t="str">
        <f>IF((VLOOKUP(O24,deuda!A$1:H$551,8,0))=0,"",VLOOKUP(O24,deuda!A$1:H$551,8,0))</f>
        <v/>
      </c>
    </row>
    <row r="25" spans="1:20" ht="24.95" customHeight="1">
      <c r="A25" s="71">
        <v>11</v>
      </c>
      <c r="B25" s="5">
        <v>1243</v>
      </c>
      <c r="C25" s="179">
        <v>45</v>
      </c>
      <c r="D25" s="179">
        <v>2</v>
      </c>
      <c r="E25" s="20">
        <v>11.265700000000001</v>
      </c>
      <c r="F25" s="85" t="str">
        <f t="shared" si="0"/>
        <v>SI</v>
      </c>
      <c r="G25" s="392" t="s">
        <v>164</v>
      </c>
      <c r="H25" s="16">
        <f>IF(Hijuelas!$G$5="fracción",IF(F25="NO",0,IF(Hijuelas!$G$6="si",IF(D25=1,E25,E25*0.8),E25)),IF(F25="NO",0,IF(Hijuelas!$G$6="si",IF(D25=1,ROUNDUP(E25,0),ROUNDUP(E25*0.8,0)),ROUNDUP(E25,0))))</f>
        <v>9.0125600000000006</v>
      </c>
      <c r="I25" s="119">
        <v>0</v>
      </c>
      <c r="J25" s="119">
        <f t="shared" si="2"/>
        <v>0.13095296978666057</v>
      </c>
      <c r="K25" s="262"/>
      <c r="L25" s="262"/>
      <c r="M25" s="5"/>
      <c r="N25" s="8"/>
      <c r="O25" s="132" t="str">
        <f t="shared" si="1"/>
        <v>124345</v>
      </c>
      <c r="P25" s="112">
        <f>VLOOKUP(O25,deuda!A$1:H$551,4,0)</f>
        <v>1</v>
      </c>
      <c r="Q25" s="112">
        <f>VLOOKUP(O25,deuda!A$1:H$551,5,0)</f>
        <v>0</v>
      </c>
      <c r="R25" s="112" t="str">
        <f>IF(VLOOKUP(O25,deuda!A$1:H$551,6,0)=0,"",VLOOKUP(O25,deuda!A$1:H$551,6,0))</f>
        <v/>
      </c>
      <c r="S25" s="113" t="str">
        <f>IF((VLOOKUP(O25,deuda!A$1:H$551,7,0))=0,"",VLOOKUP(O25,deuda!A$1:H$551,7,0))</f>
        <v/>
      </c>
      <c r="T25" s="114" t="str">
        <f>IF((VLOOKUP(O25,deuda!A$1:H$551,8,0))=0,"",VLOOKUP(O25,deuda!A$1:H$551,8,0))</f>
        <v/>
      </c>
    </row>
    <row r="26" spans="1:20" ht="24.95" customHeight="1">
      <c r="A26" s="71">
        <v>11</v>
      </c>
      <c r="B26" s="5">
        <v>1243</v>
      </c>
      <c r="C26" s="179">
        <v>13</v>
      </c>
      <c r="D26" s="179">
        <v>2</v>
      </c>
      <c r="E26" s="20">
        <v>11.281499999999999</v>
      </c>
      <c r="F26" s="85" t="str">
        <f t="shared" si="0"/>
        <v>SI</v>
      </c>
      <c r="G26" s="392" t="s">
        <v>165</v>
      </c>
      <c r="H26" s="16">
        <f>IF(Hijuelas!$G$5="fracción",IF(F26="NO",0,IF(Hijuelas!$G$6="si",IF(D26=1,E26,E26*0.8),E26)),IF(F26="NO",0,IF(Hijuelas!$G$6="si",IF(D26=1,ROUNDUP(E26,0),ROUNDUP(E26*0.8,0)),ROUNDUP(E26,0))))</f>
        <v>9.0251999999999999</v>
      </c>
      <c r="I26" s="119">
        <v>0</v>
      </c>
      <c r="J26" s="119">
        <f t="shared" si="2"/>
        <v>0.13113662965001829</v>
      </c>
      <c r="K26" s="262"/>
      <c r="L26" s="262"/>
      <c r="M26" s="5"/>
      <c r="N26" s="8"/>
      <c r="O26" s="132" t="str">
        <f t="shared" si="1"/>
        <v>124313</v>
      </c>
      <c r="P26" s="112">
        <f>VLOOKUP(O26,deuda!A$1:H$551,4,0)</f>
        <v>1</v>
      </c>
      <c r="Q26" s="112">
        <f>VLOOKUP(O26,deuda!A$1:H$551,5,0)</f>
        <v>0</v>
      </c>
      <c r="R26" s="112" t="str">
        <f>IF(VLOOKUP(O26,deuda!A$1:H$551,6,0)=0,"",VLOOKUP(O26,deuda!A$1:H$551,6,0))</f>
        <v/>
      </c>
      <c r="S26" s="113" t="str">
        <f>IF((VLOOKUP(O26,deuda!A$1:H$551,7,0))=0,"",VLOOKUP(O26,deuda!A$1:H$551,7,0))</f>
        <v/>
      </c>
      <c r="T26" s="114" t="str">
        <f>IF((VLOOKUP(O26,deuda!A$1:H$551,8,0))=0,"",VLOOKUP(O26,deuda!A$1:H$551,8,0))</f>
        <v/>
      </c>
    </row>
    <row r="27" spans="1:20" ht="24.95" customHeight="1" thickBot="1">
      <c r="A27" s="71">
        <v>12</v>
      </c>
      <c r="B27" s="5">
        <v>1243</v>
      </c>
      <c r="C27" s="179">
        <v>12</v>
      </c>
      <c r="D27" s="179">
        <v>2</v>
      </c>
      <c r="E27" s="20">
        <v>8.8664000000000005</v>
      </c>
      <c r="F27" s="85" t="str">
        <f t="shared" si="0"/>
        <v>SI</v>
      </c>
      <c r="G27" s="392" t="s">
        <v>166</v>
      </c>
      <c r="H27" s="16">
        <f>IF(Hijuelas!$G$5="fracción",IF(F27="NO",0,IF(Hijuelas!$G$6="si",IF(D27=1,E27,E27*0.8),E27)),IF(F27="NO",0,IF(Hijuelas!$G$6="si",IF(D27=1,ROUNDUP(E27,0),ROUNDUP(E27*0.8,0)),ROUNDUP(E27,0))))</f>
        <v>7.0931200000000008</v>
      </c>
      <c r="I27" s="119">
        <v>0</v>
      </c>
      <c r="J27" s="119">
        <f t="shared" si="2"/>
        <v>0.10306340585284958</v>
      </c>
      <c r="K27" s="262"/>
      <c r="L27" s="262"/>
      <c r="M27" s="5"/>
      <c r="N27" s="36"/>
      <c r="O27" s="132" t="str">
        <f t="shared" si="1"/>
        <v>124312</v>
      </c>
      <c r="P27" s="112">
        <f>VLOOKUP(O27,deuda!A$1:H$551,4,0)</f>
        <v>1</v>
      </c>
      <c r="Q27" s="112">
        <f>VLOOKUP(O27,deuda!A$1:H$551,5,0)</f>
        <v>0</v>
      </c>
      <c r="R27" s="112" t="str">
        <f>IF(VLOOKUP(O27,deuda!A$1:H$551,6,0)=0,"",VLOOKUP(O27,deuda!A$1:H$551,6,0))</f>
        <v/>
      </c>
      <c r="S27" s="113" t="str">
        <f>IF((VLOOKUP(O27,deuda!A$1:H$551,7,0))=0,"",VLOOKUP(O27,deuda!A$1:H$551,7,0))</f>
        <v/>
      </c>
      <c r="T27" s="114" t="str">
        <f>IF((VLOOKUP(O27,deuda!A$1:H$551,8,0))=0,"",VLOOKUP(O27,deuda!A$1:H$551,8,0))</f>
        <v/>
      </c>
    </row>
    <row r="28" spans="1:20" ht="24.95" customHeight="1">
      <c r="A28" s="6">
        <v>13</v>
      </c>
      <c r="B28" s="6">
        <v>1243</v>
      </c>
      <c r="C28" s="250">
        <v>14</v>
      </c>
      <c r="D28" s="250">
        <v>2</v>
      </c>
      <c r="E28" s="9">
        <v>4.9997999999999996</v>
      </c>
      <c r="F28" s="85" t="str">
        <f t="shared" si="0"/>
        <v>SI</v>
      </c>
      <c r="G28" s="335" t="s">
        <v>167</v>
      </c>
      <c r="H28" s="16">
        <f>IF(Hijuelas!$G$5="fracción",IF(F28="NO",0,IF(Hijuelas!$G$6="si",IF(D28=1,E28,E28*0.8),E28)),IF(F28="NO",0,IF(Hijuelas!$G$6="si",IF(D28=1,ROUNDUP(E28,0),ROUNDUP(E28*0.8,0)),ROUNDUP(E28,0))))</f>
        <v>3.9998399999999998</v>
      </c>
      <c r="I28" s="119">
        <v>0</v>
      </c>
      <c r="J28" s="119">
        <f t="shared" si="2"/>
        <v>5.8117885114936978E-2</v>
      </c>
      <c r="K28" s="262"/>
      <c r="L28" s="262"/>
      <c r="M28" s="5"/>
      <c r="N28" s="8"/>
      <c r="O28" s="132" t="str">
        <f t="shared" si="1"/>
        <v>124314</v>
      </c>
      <c r="P28" s="112">
        <f>VLOOKUP(O28,deuda!A$1:H$551,4,0)</f>
        <v>1</v>
      </c>
      <c r="Q28" s="112">
        <f>VLOOKUP(O28,deuda!A$1:H$551,5,0)</f>
        <v>0</v>
      </c>
      <c r="R28" s="112" t="str">
        <f>IF(VLOOKUP(O28,deuda!A$1:H$551,6,0)=0,"",VLOOKUP(O28,deuda!A$1:H$551,6,0))</f>
        <v/>
      </c>
      <c r="S28" s="113" t="str">
        <f>IF((VLOOKUP(O28,deuda!A$1:H$551,7,0))=0,"",VLOOKUP(O28,deuda!A$1:H$551,7,0))</f>
        <v/>
      </c>
      <c r="T28" s="114" t="str">
        <f>IF((VLOOKUP(O28,deuda!A$1:H$551,8,0))=0,"",VLOOKUP(O28,deuda!A$1:H$551,8,0))</f>
        <v/>
      </c>
    </row>
    <row r="29" spans="1:20" ht="24.95" customHeight="1">
      <c r="A29" s="6">
        <v>14</v>
      </c>
      <c r="B29" s="6">
        <v>1243</v>
      </c>
      <c r="C29" s="250">
        <v>50</v>
      </c>
      <c r="D29" s="250">
        <v>2</v>
      </c>
      <c r="E29" s="9">
        <v>4.8246000000000002</v>
      </c>
      <c r="F29" s="85" t="str">
        <f t="shared" si="0"/>
        <v>SI</v>
      </c>
      <c r="G29" s="335" t="s">
        <v>168</v>
      </c>
      <c r="H29" s="16">
        <f>IF(Hijuelas!$G$5="fracción",IF(F29="NO",0,IF(Hijuelas!$G$6="si",IF(D29=1,E29,E29*0.8),E29)),IF(F29="NO",0,IF(Hijuelas!$G$6="si",IF(D29=1,ROUNDUP(E29,0),ROUNDUP(E29*0.8,0)),ROUNDUP(E29,0))))</f>
        <v>3.8596800000000004</v>
      </c>
      <c r="I29" s="119">
        <v>0</v>
      </c>
      <c r="J29" s="119">
        <f t="shared" si="2"/>
        <v>5.6081352959223361E-2</v>
      </c>
      <c r="K29" s="262"/>
      <c r="L29" s="262"/>
      <c r="M29" s="5"/>
      <c r="N29" s="8"/>
      <c r="O29" s="132" t="str">
        <f t="shared" si="1"/>
        <v>124350</v>
      </c>
      <c r="P29" s="112">
        <f>VLOOKUP(O29,deuda!A$1:H$551,4,0)</f>
        <v>1</v>
      </c>
      <c r="Q29" s="112">
        <f>VLOOKUP(O29,deuda!A$1:H$551,5,0)</f>
        <v>0</v>
      </c>
      <c r="R29" s="112" t="str">
        <f>IF(VLOOKUP(O29,deuda!A$1:H$551,6,0)=0,"",VLOOKUP(O29,deuda!A$1:H$551,6,0))</f>
        <v/>
      </c>
      <c r="S29" s="113" t="str">
        <f>IF((VLOOKUP(O29,deuda!A$1:H$551,7,0))=0,"",VLOOKUP(O29,deuda!A$1:H$551,7,0))</f>
        <v/>
      </c>
      <c r="T29" s="114" t="str">
        <f>IF((VLOOKUP(O29,deuda!A$1:H$551,8,0))=0,"",VLOOKUP(O29,deuda!A$1:H$551,8,0))</f>
        <v/>
      </c>
    </row>
    <row r="30" spans="1:20" ht="24.95" customHeight="1">
      <c r="A30" s="6">
        <v>15</v>
      </c>
      <c r="B30" s="6">
        <v>1243</v>
      </c>
      <c r="C30" s="250">
        <v>42</v>
      </c>
      <c r="D30" s="250">
        <v>2</v>
      </c>
      <c r="E30" s="9">
        <v>4.1951000000000001</v>
      </c>
      <c r="F30" s="85" t="str">
        <f t="shared" si="0"/>
        <v>SI</v>
      </c>
      <c r="G30" s="335" t="s">
        <v>169</v>
      </c>
      <c r="H30" s="16">
        <f>IF(Hijuelas!$G$5="fracción",IF(F30="NO",0,IF(Hijuelas!$G$6="si",IF(D30=1,E30,E30*0.8),E30)),IF(F30="NO",0,IF(Hijuelas!$G$6="si",IF(D30=1,ROUNDUP(E30,0),ROUNDUP(E30*0.8,0)),ROUNDUP(E30,0))))</f>
        <v>3.3560800000000004</v>
      </c>
      <c r="I30" s="119">
        <v>0</v>
      </c>
      <c r="J30" s="119">
        <f t="shared" si="2"/>
        <v>4.8764018529875629E-2</v>
      </c>
      <c r="K30" s="262"/>
      <c r="L30" s="262"/>
      <c r="M30" s="5"/>
      <c r="N30" s="8"/>
      <c r="O30" s="132" t="str">
        <f t="shared" si="1"/>
        <v>124342</v>
      </c>
      <c r="P30" s="112">
        <f>VLOOKUP(O30,deuda!A$1:H$551,4,0)</f>
        <v>1</v>
      </c>
      <c r="Q30" s="112">
        <f>VLOOKUP(O30,deuda!A$1:H$551,5,0)</f>
        <v>0</v>
      </c>
      <c r="R30" s="112" t="str">
        <f>IF(VLOOKUP(O30,deuda!A$1:H$551,6,0)=0,"",VLOOKUP(O30,deuda!A$1:H$551,6,0))</f>
        <v/>
      </c>
      <c r="S30" s="113" t="str">
        <f>IF((VLOOKUP(O30,deuda!A$1:H$551,7,0))=0,"",VLOOKUP(O30,deuda!A$1:H$551,7,0))</f>
        <v/>
      </c>
      <c r="T30" s="114" t="str">
        <f>IF((VLOOKUP(O30,deuda!A$1:H$551,8,0))=0,"",VLOOKUP(O30,deuda!A$1:H$551,8,0))</f>
        <v/>
      </c>
    </row>
    <row r="31" spans="1:20" ht="24.95" customHeight="1">
      <c r="A31" s="6">
        <v>16</v>
      </c>
      <c r="B31" s="6">
        <v>1243</v>
      </c>
      <c r="C31" s="250">
        <v>3</v>
      </c>
      <c r="D31" s="250">
        <v>2</v>
      </c>
      <c r="E31" s="9">
        <v>0.20380000000000001</v>
      </c>
      <c r="F31" s="85" t="str">
        <f t="shared" si="0"/>
        <v>SI</v>
      </c>
      <c r="G31" s="335" t="s">
        <v>170</v>
      </c>
      <c r="H31" s="16">
        <f>IF(Hijuelas!$G$5="fracción",IF(F31="NO",0,IF(Hijuelas!$G$6="si",IF(D31=1,E31,E31*0.8),E31)),IF(F31="NO",0,IF(Hijuelas!$G$6="si",IF(D31=1,ROUNDUP(E31,0),ROUNDUP(E31*0.8,0)),ROUNDUP(E31,0))))</f>
        <v>0.16304000000000002</v>
      </c>
      <c r="I31" s="119">
        <v>0</v>
      </c>
      <c r="J31" s="119">
        <f t="shared" si="2"/>
        <v>2.3689797564750903E-3</v>
      </c>
      <c r="K31" s="262"/>
      <c r="L31" s="262"/>
      <c r="M31" s="5"/>
      <c r="N31" s="8"/>
      <c r="O31" s="132" t="str">
        <f t="shared" si="1"/>
        <v>12433</v>
      </c>
      <c r="P31" s="112">
        <f>VLOOKUP(O31,deuda!A$1:H$551,4,0)</f>
        <v>1</v>
      </c>
      <c r="Q31" s="112">
        <f>VLOOKUP(O31,deuda!A$1:H$551,5,0)</f>
        <v>2</v>
      </c>
      <c r="R31" s="112" t="str">
        <f>IF(VLOOKUP(O31,deuda!A$1:H$551,6,0)=0,"",VLOOKUP(O31,deuda!A$1:H$551,6,0))</f>
        <v/>
      </c>
      <c r="S31" s="113" t="str">
        <f>IF((VLOOKUP(O31,deuda!A$1:H$551,7,0))=0,"",VLOOKUP(O31,deuda!A$1:H$551,7,0))</f>
        <v/>
      </c>
      <c r="T31" s="114" t="str">
        <f>IF((VLOOKUP(O31,deuda!A$1:H$551,8,0))=0,"",VLOOKUP(O31,deuda!A$1:H$551,8,0))</f>
        <v/>
      </c>
    </row>
    <row r="32" spans="1:20" ht="24.95" customHeight="1">
      <c r="A32" s="6">
        <v>16</v>
      </c>
      <c r="B32" s="6">
        <v>1243</v>
      </c>
      <c r="C32" s="250">
        <v>38</v>
      </c>
      <c r="D32" s="250">
        <v>2</v>
      </c>
      <c r="E32" s="9">
        <v>12.278600000000001</v>
      </c>
      <c r="F32" s="85" t="str">
        <f t="shared" si="0"/>
        <v>SI</v>
      </c>
      <c r="G32" s="335" t="s">
        <v>171</v>
      </c>
      <c r="H32" s="16">
        <f>IF(Hijuelas!$G$5="fracción",IF(F32="NO",0,IF(Hijuelas!$G$6="si",IF(D32=1,E32,E32*0.8),E32)),IF(F32="NO",0,IF(Hijuelas!$G$6="si",IF(D32=1,ROUNDUP(E32,0),ROUNDUP(E32*0.8,0)),ROUNDUP(E32,0))))</f>
        <v>9.8228800000000014</v>
      </c>
      <c r="I32" s="119">
        <v>0</v>
      </c>
      <c r="J32" s="119">
        <f t="shared" si="2"/>
        <v>0.14272696191292955</v>
      </c>
      <c r="K32" s="262"/>
      <c r="L32" s="262"/>
      <c r="M32" s="5"/>
      <c r="N32" s="8"/>
      <c r="O32" s="132" t="str">
        <f t="shared" si="1"/>
        <v>124338</v>
      </c>
      <c r="P32" s="112">
        <f>VLOOKUP(O32,deuda!A$1:H$551,4,0)</f>
        <v>1</v>
      </c>
      <c r="Q32" s="112">
        <f>VLOOKUP(O32,deuda!A$1:H$551,5,0)</f>
        <v>1</v>
      </c>
      <c r="R32" s="112" t="str">
        <f>IF(VLOOKUP(O32,deuda!A$1:H$551,6,0)=0,"",VLOOKUP(O32,deuda!A$1:H$551,6,0))</f>
        <v/>
      </c>
      <c r="S32" s="113" t="str">
        <f>IF((VLOOKUP(O32,deuda!A$1:H$551,7,0))=0,"",VLOOKUP(O32,deuda!A$1:H$551,7,0))</f>
        <v/>
      </c>
      <c r="T32" s="114" t="str">
        <f>IF((VLOOKUP(O32,deuda!A$1:H$551,8,0))=0,"",VLOOKUP(O32,deuda!A$1:H$551,8,0))</f>
        <v/>
      </c>
    </row>
    <row r="33" spans="1:20" ht="24.95" customHeight="1">
      <c r="A33" s="6">
        <v>17</v>
      </c>
      <c r="B33" s="6">
        <v>1243</v>
      </c>
      <c r="C33" s="250">
        <v>7</v>
      </c>
      <c r="D33" s="250">
        <v>2</v>
      </c>
      <c r="E33" s="9">
        <v>11.5434</v>
      </c>
      <c r="F33" s="85" t="str">
        <f t="shared" si="0"/>
        <v>SI</v>
      </c>
      <c r="G33" s="335" t="s">
        <v>172</v>
      </c>
      <c r="H33" s="16">
        <f>IF(Hijuelas!$G$5="fracción",IF(F33="NO",0,IF(Hijuelas!$G$6="si",IF(D33=1,E33,E33*0.8),E33)),IF(F33="NO",0,IF(Hijuelas!$G$6="si",IF(D33=1,ROUNDUP(E33,0),ROUNDUP(E33*0.8,0)),ROUNDUP(E33,0))))</f>
        <v>9.2347200000000011</v>
      </c>
      <c r="I33" s="119">
        <v>0</v>
      </c>
      <c r="J33" s="119">
        <f t="shared" si="2"/>
        <v>0.13418096624580256</v>
      </c>
      <c r="K33" s="262"/>
      <c r="L33" s="262"/>
      <c r="M33" s="5"/>
      <c r="N33" s="8"/>
      <c r="O33" s="132" t="str">
        <f t="shared" si="1"/>
        <v>12437</v>
      </c>
      <c r="P33" s="112">
        <f>VLOOKUP(O33,deuda!A$1:H$551,4,0)</f>
        <v>1</v>
      </c>
      <c r="Q33" s="112">
        <f>VLOOKUP(O33,deuda!A$1:H$551,5,0)</f>
        <v>0</v>
      </c>
      <c r="R33" s="112" t="str">
        <f>IF(VLOOKUP(O33,deuda!A$1:H$551,6,0)=0,"",VLOOKUP(O33,deuda!A$1:H$551,6,0))</f>
        <v/>
      </c>
      <c r="S33" s="113" t="str">
        <f>IF((VLOOKUP(O33,deuda!A$1:H$551,7,0))=0,"",VLOOKUP(O33,deuda!A$1:H$551,7,0))</f>
        <v/>
      </c>
      <c r="T33" s="114" t="str">
        <f>IF((VLOOKUP(O33,deuda!A$1:H$551,8,0))=0,"",VLOOKUP(O33,deuda!A$1:H$551,8,0))</f>
        <v/>
      </c>
    </row>
    <row r="34" spans="1:20" ht="24.95" customHeight="1">
      <c r="A34" s="6">
        <v>17</v>
      </c>
      <c r="B34" s="6">
        <v>1243</v>
      </c>
      <c r="C34" s="250">
        <v>37</v>
      </c>
      <c r="D34" s="250">
        <v>2</v>
      </c>
      <c r="E34" s="9">
        <v>11.900600000000001</v>
      </c>
      <c r="F34" s="85" t="str">
        <f t="shared" si="0"/>
        <v>SI</v>
      </c>
      <c r="G34" s="335" t="s">
        <v>172</v>
      </c>
      <c r="H34" s="16">
        <f>IF(Hijuelas!$G$5="fracción",IF(F34="NO",0,IF(Hijuelas!$G$6="si",IF(D34=1,E34,E34*0.8),E34)),IF(F34="NO",0,IF(Hijuelas!$G$6="si",IF(D34=1,ROUNDUP(E34,0),ROUNDUP(E34*0.8,0)),ROUNDUP(E34,0))))</f>
        <v>9.5204800000000009</v>
      </c>
      <c r="I34" s="119">
        <v>0</v>
      </c>
      <c r="J34" s="119">
        <f t="shared" si="2"/>
        <v>0.13833307404272552</v>
      </c>
      <c r="K34" s="262"/>
      <c r="L34" s="262"/>
      <c r="M34" s="5"/>
      <c r="N34" s="8"/>
      <c r="O34" s="132" t="str">
        <f t="shared" si="1"/>
        <v>124337</v>
      </c>
      <c r="P34" s="112">
        <f>VLOOKUP(O34,deuda!A$1:H$551,4,0)</f>
        <v>1</v>
      </c>
      <c r="Q34" s="112">
        <f>VLOOKUP(O34,deuda!A$1:H$551,5,0)</f>
        <v>0</v>
      </c>
      <c r="R34" s="112" t="str">
        <f>IF(VLOOKUP(O34,deuda!A$1:H$551,6,0)=0,"",VLOOKUP(O34,deuda!A$1:H$551,6,0))</f>
        <v/>
      </c>
      <c r="S34" s="113" t="str">
        <f>IF((VLOOKUP(O34,deuda!A$1:H$551,7,0))=0,"",VLOOKUP(O34,deuda!A$1:H$551,7,0))</f>
        <v/>
      </c>
      <c r="T34" s="114" t="str">
        <f>IF((VLOOKUP(O34,deuda!A$1:H$551,8,0))=0,"",VLOOKUP(O34,deuda!A$1:H$551,8,0))</f>
        <v/>
      </c>
    </row>
    <row r="35" spans="1:20" ht="24.95" customHeight="1">
      <c r="A35" s="6">
        <v>18</v>
      </c>
      <c r="B35" s="6">
        <v>1243</v>
      </c>
      <c r="C35" s="250">
        <v>53</v>
      </c>
      <c r="D35" s="250">
        <v>2</v>
      </c>
      <c r="E35" s="9">
        <v>17.110399999999998</v>
      </c>
      <c r="F35" s="85" t="str">
        <f t="shared" si="0"/>
        <v>SI</v>
      </c>
      <c r="G35" s="335" t="s">
        <v>173</v>
      </c>
      <c r="H35" s="16">
        <f>IF(Hijuelas!$G$5="fracción",IF(F35="NO",0,IF(Hijuelas!$G$6="si",IF(D35=1,E35,E35*0.8),E35)),IF(F35="NO",0,IF(Hijuelas!$G$6="si",IF(D35=1,ROUNDUP(E35,0),ROUNDUP(E35*0.8,0)),ROUNDUP(E35,0))))</f>
        <v>13.688319999999999</v>
      </c>
      <c r="I35" s="119">
        <v>0</v>
      </c>
      <c r="J35" s="119">
        <f t="shared" si="2"/>
        <v>0.19889200797444248</v>
      </c>
      <c r="K35" s="262"/>
      <c r="L35" s="262"/>
      <c r="M35" s="5"/>
      <c r="N35" s="8"/>
      <c r="O35" s="132" t="str">
        <f t="shared" si="1"/>
        <v>124353</v>
      </c>
      <c r="P35" s="112">
        <f>VLOOKUP(O35,deuda!A$1:H$551,4,0)</f>
        <v>1</v>
      </c>
      <c r="Q35" s="112">
        <f>VLOOKUP(O35,deuda!A$1:H$551,5,0)</f>
        <v>0</v>
      </c>
      <c r="R35" s="112" t="str">
        <f>IF(VLOOKUP(O35,deuda!A$1:H$551,6,0)=0,"",VLOOKUP(O35,deuda!A$1:H$551,6,0))</f>
        <v/>
      </c>
      <c r="S35" s="113" t="str">
        <f>IF((VLOOKUP(O35,deuda!A$1:H$551,7,0))=0,"",VLOOKUP(O35,deuda!A$1:H$551,7,0))</f>
        <v/>
      </c>
      <c r="T35" s="114" t="str">
        <f>IF((VLOOKUP(O35,deuda!A$1:H$551,8,0))=0,"",VLOOKUP(O35,deuda!A$1:H$551,8,0))</f>
        <v/>
      </c>
    </row>
    <row r="36" spans="1:20" ht="24.95" customHeight="1">
      <c r="A36" s="6">
        <v>18</v>
      </c>
      <c r="B36" s="6">
        <v>1243</v>
      </c>
      <c r="C36" s="251">
        <v>21</v>
      </c>
      <c r="D36" s="251">
        <v>2</v>
      </c>
      <c r="E36" s="252">
        <v>14.019500000000001</v>
      </c>
      <c r="F36" s="85" t="str">
        <f t="shared" si="0"/>
        <v>SI</v>
      </c>
      <c r="G36" s="336" t="s">
        <v>174</v>
      </c>
      <c r="H36" s="16">
        <f>IF(Hijuelas!$G$5="fracción",IF(F36="NO",0,IF(Hijuelas!$G$6="si",IF(D36=1,E36,E36*0.8),E36)),IF(F36="NO",0,IF(Hijuelas!$G$6="si",IF(D36=1,ROUNDUP(E36,0),ROUNDUP(E36*0.8,0)),ROUNDUP(E36,0))))</f>
        <v>11.215600000000002</v>
      </c>
      <c r="I36" s="119">
        <v>0</v>
      </c>
      <c r="J36" s="119">
        <f t="shared" si="2"/>
        <v>0.16296325660403596</v>
      </c>
      <c r="K36" s="262"/>
      <c r="L36" s="262"/>
      <c r="M36" s="5"/>
      <c r="N36" s="8"/>
      <c r="O36" s="132" t="str">
        <f t="shared" si="1"/>
        <v>124321</v>
      </c>
      <c r="P36" s="112">
        <f>VLOOKUP(O36,deuda!A$1:H$551,4,0)</f>
        <v>1</v>
      </c>
      <c r="Q36" s="112">
        <f>VLOOKUP(O36,deuda!A$1:H$551,5,0)</f>
        <v>0</v>
      </c>
      <c r="R36" s="112" t="str">
        <f>IF(VLOOKUP(O36,deuda!A$1:H$551,6,0)=0,"",VLOOKUP(O36,deuda!A$1:H$551,6,0))</f>
        <v/>
      </c>
      <c r="S36" s="113" t="str">
        <f>IF((VLOOKUP(O36,deuda!A$1:H$551,7,0))=0,"",VLOOKUP(O36,deuda!A$1:H$551,7,0))</f>
        <v/>
      </c>
      <c r="T36" s="114" t="str">
        <f>IF((VLOOKUP(O36,deuda!A$1:H$551,8,0))=0,"",VLOOKUP(O36,deuda!A$1:H$551,8,0))</f>
        <v/>
      </c>
    </row>
    <row r="37" spans="1:20" ht="24.95" customHeight="1">
      <c r="A37" s="6">
        <v>19</v>
      </c>
      <c r="B37" s="6">
        <v>1243</v>
      </c>
      <c r="C37" s="250">
        <v>10</v>
      </c>
      <c r="D37" s="250">
        <v>2</v>
      </c>
      <c r="E37" s="9">
        <v>4.4955999999999996</v>
      </c>
      <c r="F37" s="85" t="str">
        <f t="shared" si="0"/>
        <v>NO</v>
      </c>
      <c r="G37" s="335" t="s">
        <v>175</v>
      </c>
      <c r="H37" s="16">
        <f>IF(Hijuelas!$G$5="fracción",IF(F37="NO",0,IF(Hijuelas!$G$6="si",IF(D37=1,E37,E37*0.8),E37)),IF(F37="NO",0,IF(Hijuelas!$G$6="si",IF(D37=1,ROUNDUP(E37,0),ROUNDUP(E37*0.8,0)),ROUNDUP(E37,0))))</f>
        <v>0</v>
      </c>
      <c r="I37" s="119">
        <v>0</v>
      </c>
      <c r="J37" s="119">
        <f t="shared" si="2"/>
        <v>0</v>
      </c>
      <c r="K37" s="262"/>
      <c r="L37" s="262"/>
      <c r="M37" s="5"/>
      <c r="N37" s="8"/>
      <c r="O37" s="132" t="str">
        <f t="shared" si="1"/>
        <v>124310</v>
      </c>
      <c r="P37" s="112">
        <f>VLOOKUP(O37,deuda!A$1:H$551,4,0)</f>
        <v>0</v>
      </c>
      <c r="Q37" s="112">
        <f>VLOOKUP(O37,deuda!A$1:H$551,5,0)</f>
        <v>174</v>
      </c>
      <c r="R37" s="112" t="str">
        <f>IF(VLOOKUP(O37,deuda!A$1:H$551,6,0)=0,"",VLOOKUP(O37,deuda!A$1:H$551,6,0))</f>
        <v/>
      </c>
      <c r="S37" s="113" t="str">
        <f>IF((VLOOKUP(O37,deuda!A$1:H$551,7,0))=0,"",VLOOKUP(O37,deuda!A$1:H$551,7,0))</f>
        <v/>
      </c>
      <c r="T37" s="114" t="str">
        <f>IF((VLOOKUP(O37,deuda!A$1:H$551,8,0))=0,"",VLOOKUP(O37,deuda!A$1:H$551,8,0))</f>
        <v/>
      </c>
    </row>
    <row r="38" spans="1:20" ht="24.95" customHeight="1">
      <c r="A38" s="6">
        <v>20</v>
      </c>
      <c r="B38" s="6">
        <v>1243</v>
      </c>
      <c r="C38" s="250">
        <v>6</v>
      </c>
      <c r="D38" s="250">
        <v>2</v>
      </c>
      <c r="E38" s="9">
        <v>17.027200000000001</v>
      </c>
      <c r="F38" s="85" t="str">
        <f t="shared" si="0"/>
        <v>SI</v>
      </c>
      <c r="G38" s="335" t="s">
        <v>176</v>
      </c>
      <c r="H38" s="16">
        <f>IF(Hijuelas!$G$5="fracción",IF(F38="NO",0,IF(Hijuelas!$G$6="si",IF(D38=1,E38,E38*0.8),E38)),IF(F38="NO",0,IF(Hijuelas!$G$6="si",IF(D38=1,ROUNDUP(E38,0),ROUNDUP(E38*0.8,0)),ROUNDUP(E38,0))))</f>
        <v>13.621760000000002</v>
      </c>
      <c r="I38" s="119">
        <v>0</v>
      </c>
      <c r="J38" s="119">
        <f t="shared" si="2"/>
        <v>0.19792488768131825</v>
      </c>
      <c r="K38" s="262"/>
      <c r="L38" s="262"/>
      <c r="M38" s="5"/>
      <c r="N38" s="8"/>
      <c r="O38" s="132" t="str">
        <f t="shared" si="1"/>
        <v>12436</v>
      </c>
      <c r="P38" s="112">
        <f>VLOOKUP(O38,deuda!A$1:H$551,4,0)</f>
        <v>1</v>
      </c>
      <c r="Q38" s="112">
        <f>VLOOKUP(O38,deuda!A$1:H$551,5,0)</f>
        <v>0</v>
      </c>
      <c r="R38" s="112" t="str">
        <f>IF(VLOOKUP(O38,deuda!A$1:H$551,6,0)=0,"",VLOOKUP(O38,deuda!A$1:H$551,6,0))</f>
        <v/>
      </c>
      <c r="S38" s="113" t="str">
        <f>IF((VLOOKUP(O38,deuda!A$1:H$551,7,0))=0,"",VLOOKUP(O38,deuda!A$1:H$551,7,0))</f>
        <v/>
      </c>
      <c r="T38" s="114" t="str">
        <f>IF((VLOOKUP(O38,deuda!A$1:H$551,8,0))=0,"",VLOOKUP(O38,deuda!A$1:H$551,8,0))</f>
        <v/>
      </c>
    </row>
    <row r="39" spans="1:20" ht="24.95" customHeight="1">
      <c r="A39" s="6">
        <v>21</v>
      </c>
      <c r="B39" s="6">
        <v>1243</v>
      </c>
      <c r="C39" s="250">
        <v>11</v>
      </c>
      <c r="D39" s="250">
        <v>2</v>
      </c>
      <c r="E39" s="9">
        <v>12</v>
      </c>
      <c r="F39" s="85" t="str">
        <f t="shared" si="0"/>
        <v>SI</v>
      </c>
      <c r="G39" s="335" t="s">
        <v>177</v>
      </c>
      <c r="H39" s="16">
        <f>IF(Hijuelas!$G$5="fracción",IF(F39="NO",0,IF(Hijuelas!$G$6="si",IF(D39=1,E39,E39*0.8),E39)),IF(F39="NO",0,IF(Hijuelas!$G$6="si",IF(D39=1,ROUNDUP(E39,0),ROUNDUP(E39*0.8,0)),ROUNDUP(E39,0))))</f>
        <v>9.6000000000000014</v>
      </c>
      <c r="I39" s="119">
        <v>0</v>
      </c>
      <c r="J39" s="119">
        <f t="shared" si="2"/>
        <v>0.13948850381600139</v>
      </c>
      <c r="K39" s="262"/>
      <c r="L39" s="262"/>
      <c r="M39" s="5"/>
      <c r="N39" s="342"/>
      <c r="O39" s="132" t="str">
        <f t="shared" si="1"/>
        <v>124311</v>
      </c>
      <c r="P39" s="112">
        <f>VLOOKUP(O39,deuda!A$1:H$551,4,0)</f>
        <v>1</v>
      </c>
      <c r="Q39" s="112">
        <f>VLOOKUP(O39,deuda!A$1:H$551,5,0)</f>
        <v>0</v>
      </c>
      <c r="R39" s="112" t="str">
        <f>IF(VLOOKUP(O39,deuda!A$1:H$551,6,0)=0,"",VLOOKUP(O39,deuda!A$1:H$551,6,0))</f>
        <v/>
      </c>
      <c r="S39" s="113" t="str">
        <f>IF((VLOOKUP(O39,deuda!A$1:H$551,7,0))=0,"",VLOOKUP(O39,deuda!A$1:H$551,7,0))</f>
        <v/>
      </c>
      <c r="T39" s="114" t="str">
        <f>IF((VLOOKUP(O39,deuda!A$1:H$551,8,0))=0,"",VLOOKUP(O39,deuda!A$1:H$551,8,0))</f>
        <v/>
      </c>
    </row>
    <row r="40" spans="1:20" ht="24.95" customHeight="1" thickBot="1">
      <c r="A40" s="29">
        <v>22</v>
      </c>
      <c r="B40" s="29">
        <v>1243</v>
      </c>
      <c r="C40" s="256">
        <v>49</v>
      </c>
      <c r="D40" s="256">
        <v>2</v>
      </c>
      <c r="E40" s="35">
        <v>58.054299999999998</v>
      </c>
      <c r="F40" s="85" t="str">
        <f t="shared" si="0"/>
        <v>SI</v>
      </c>
      <c r="G40" s="337" t="s">
        <v>178</v>
      </c>
      <c r="H40" s="34">
        <f>IF(Hijuelas!$G$5="fracción",IF(F40="NO",0,IF(Hijuelas!$G$6="si",IF(D40=1,E40,E40*0.8),E40)),IF(F40="NO",0,IF(Hijuelas!$G$6="si",IF(D40=1,ROUNDUP(E40,0),ROUNDUP(E40*0.8,0)),ROUNDUP(E40,0))))</f>
        <v>46.443440000000002</v>
      </c>
      <c r="I40" s="120">
        <v>0</v>
      </c>
      <c r="J40" s="120">
        <f>+$J$10*H40/60</f>
        <v>0.67482562059044082</v>
      </c>
      <c r="K40" s="262"/>
      <c r="L40" s="262"/>
      <c r="M40" s="27"/>
      <c r="N40" s="132"/>
      <c r="O40" s="132" t="str">
        <f t="shared" si="1"/>
        <v>124349</v>
      </c>
      <c r="P40" s="112">
        <f>VLOOKUP(O40,deuda!A$1:H$551,4,0)</f>
        <v>1</v>
      </c>
      <c r="Q40" s="112">
        <f>VLOOKUP(O40,deuda!A$1:H$551,5,0)</f>
        <v>2</v>
      </c>
      <c r="R40" s="112" t="str">
        <f>IF(VLOOKUP(O40,deuda!A$1:H$551,6,0)=0,"",VLOOKUP(O40,deuda!A$1:H$551,6,0))</f>
        <v/>
      </c>
      <c r="S40" s="113" t="str">
        <f>IF((VLOOKUP(O40,deuda!A$1:H$551,7,0))=0,"",VLOOKUP(O40,deuda!A$1:H$551,7,0))</f>
        <v/>
      </c>
      <c r="T40" s="114" t="str">
        <f>IF((VLOOKUP(O40,deuda!A$1:H$551,8,0))=0,"",VLOOKUP(O40,deuda!A$1:H$551,8,0))</f>
        <v/>
      </c>
    </row>
    <row r="41" spans="1:20" s="10" customFormat="1" ht="30" customHeight="1" thickBot="1">
      <c r="A41" s="13"/>
      <c r="E41" s="443">
        <f>SUM(E13:E40)</f>
        <v>331.21190000000001</v>
      </c>
      <c r="F41" s="17"/>
      <c r="H41" s="444">
        <f>SUM(H13:H40)</f>
        <v>257.36887999999999</v>
      </c>
      <c r="I41" s="445">
        <f>SUM(I13:I40)</f>
        <v>0</v>
      </c>
      <c r="J41" s="446">
        <f>SUM(J13:J40)</f>
        <v>3.739583333333333</v>
      </c>
      <c r="K41" s="273"/>
      <c r="L41" s="273"/>
      <c r="P41" s="13"/>
      <c r="Q41" s="13"/>
      <c r="R41" s="13"/>
      <c r="S41" s="255"/>
      <c r="T41" s="255"/>
    </row>
    <row r="42" spans="1:20" s="10" customFormat="1" ht="30" customHeight="1">
      <c r="A42" s="13"/>
      <c r="E42" s="17"/>
      <c r="F42" s="17"/>
      <c r="H42" s="19"/>
      <c r="I42" s="433"/>
      <c r="J42" s="94"/>
      <c r="K42" s="273"/>
      <c r="L42" s="273"/>
      <c r="P42" s="13"/>
      <c r="Q42" s="13"/>
      <c r="R42" s="13"/>
      <c r="S42" s="255"/>
      <c r="T42" s="255"/>
    </row>
    <row r="43" spans="1:20" s="10" customFormat="1" ht="30" customHeight="1">
      <c r="A43" s="13"/>
      <c r="E43" s="17"/>
      <c r="F43" s="17"/>
      <c r="G43" s="106"/>
      <c r="H43" s="19"/>
      <c r="I43" s="433"/>
      <c r="J43" s="94"/>
      <c r="K43" s="254"/>
      <c r="L43" s="254"/>
      <c r="P43" s="13"/>
      <c r="Q43" s="13"/>
      <c r="R43" s="13"/>
      <c r="S43" s="255"/>
      <c r="T43" s="255"/>
    </row>
    <row r="44" spans="1:20" s="10" customFormat="1" ht="30" customHeight="1">
      <c r="A44" s="13"/>
      <c r="E44" s="17"/>
      <c r="F44" s="17"/>
      <c r="H44" s="19"/>
      <c r="I44" s="433"/>
      <c r="J44" s="94"/>
      <c r="K44" s="273"/>
      <c r="L44" s="273"/>
      <c r="P44" s="13"/>
      <c r="Q44" s="13"/>
      <c r="R44" s="13"/>
      <c r="S44" s="255"/>
      <c r="T44" s="255"/>
    </row>
    <row r="45" spans="1:20" s="10" customFormat="1" ht="30" customHeight="1">
      <c r="A45" s="13"/>
      <c r="E45" s="13"/>
      <c r="F45" s="17"/>
      <c r="H45" s="19"/>
      <c r="I45" s="433"/>
      <c r="J45" s="94"/>
      <c r="K45" s="273"/>
      <c r="L45" s="273"/>
      <c r="P45" s="13"/>
      <c r="Q45" s="13"/>
      <c r="R45" s="13"/>
      <c r="S45" s="255"/>
      <c r="T45" s="255"/>
    </row>
    <row r="46" spans="1:20" s="10" customFormat="1" ht="30" customHeight="1">
      <c r="A46" s="13"/>
      <c r="E46" s="13"/>
      <c r="F46" s="17"/>
      <c r="H46" s="19"/>
      <c r="I46" s="433"/>
      <c r="J46" s="94"/>
      <c r="K46" s="273"/>
      <c r="L46" s="273"/>
      <c r="P46" s="13"/>
      <c r="Q46" s="13"/>
      <c r="R46" s="13"/>
      <c r="S46" s="255"/>
      <c r="T46" s="255"/>
    </row>
    <row r="47" spans="1:20" s="10" customFormat="1" ht="30" customHeight="1">
      <c r="A47" s="13"/>
      <c r="E47" s="17"/>
      <c r="F47" s="17"/>
      <c r="H47" s="19"/>
      <c r="I47" s="433"/>
      <c r="J47" s="94"/>
      <c r="K47" s="273"/>
      <c r="L47" s="273"/>
      <c r="P47" s="13"/>
      <c r="Q47" s="13"/>
      <c r="R47" s="13"/>
      <c r="S47" s="255"/>
      <c r="T47" s="255"/>
    </row>
    <row r="48" spans="1:20" s="10" customFormat="1" ht="30" customHeight="1">
      <c r="A48" s="13"/>
      <c r="E48" s="17"/>
      <c r="F48" s="17"/>
      <c r="H48" s="19"/>
      <c r="I48" s="433"/>
      <c r="J48" s="94"/>
      <c r="K48" s="273"/>
      <c r="L48" s="273"/>
      <c r="P48" s="13"/>
      <c r="Q48" s="13"/>
      <c r="R48" s="13"/>
      <c r="S48" s="255"/>
      <c r="T48" s="255"/>
    </row>
    <row r="49" spans="1:20" s="10" customFormat="1" ht="30" customHeight="1">
      <c r="A49" s="13"/>
      <c r="E49" s="17"/>
      <c r="F49" s="17"/>
      <c r="H49" s="19"/>
      <c r="I49" s="433"/>
      <c r="J49" s="94"/>
      <c r="K49" s="273"/>
      <c r="L49" s="273"/>
      <c r="P49" s="13"/>
      <c r="Q49" s="13"/>
      <c r="R49" s="13"/>
      <c r="S49" s="255"/>
      <c r="T49" s="255"/>
    </row>
    <row r="50" spans="1:20" s="10" customFormat="1" ht="30" customHeight="1">
      <c r="A50" s="13"/>
      <c r="E50" s="13"/>
      <c r="F50" s="17"/>
      <c r="H50" s="19"/>
      <c r="I50" s="433"/>
      <c r="J50" s="94"/>
      <c r="K50" s="273"/>
      <c r="L50" s="273"/>
      <c r="P50" s="13"/>
      <c r="Q50" s="13"/>
      <c r="R50" s="13"/>
      <c r="S50" s="255"/>
      <c r="T50" s="255"/>
    </row>
    <row r="51" spans="1:20" s="10" customFormat="1" ht="30" customHeight="1">
      <c r="A51" s="13"/>
      <c r="E51" s="17"/>
      <c r="F51" s="17"/>
      <c r="H51" s="19"/>
      <c r="I51" s="433"/>
      <c r="J51" s="94"/>
      <c r="K51" s="273"/>
      <c r="L51" s="273"/>
      <c r="P51" s="13"/>
      <c r="Q51" s="13"/>
      <c r="R51" s="13"/>
      <c r="S51" s="255"/>
      <c r="T51" s="255"/>
    </row>
    <row r="52" spans="1:20" s="10" customFormat="1" ht="30" customHeight="1">
      <c r="A52" s="13"/>
      <c r="E52" s="13"/>
      <c r="F52" s="17"/>
      <c r="H52" s="19"/>
      <c r="I52" s="433"/>
      <c r="J52" s="94"/>
      <c r="K52" s="273"/>
      <c r="L52" s="273"/>
      <c r="P52" s="13"/>
      <c r="Q52" s="13"/>
      <c r="R52" s="13"/>
      <c r="S52" s="255"/>
      <c r="T52" s="255"/>
    </row>
    <row r="53" spans="1:20" s="10" customFormat="1" ht="30" customHeight="1">
      <c r="A53" s="13"/>
      <c r="E53" s="17"/>
      <c r="F53" s="17"/>
      <c r="H53" s="19"/>
      <c r="I53" s="433"/>
      <c r="J53" s="94"/>
      <c r="K53" s="273"/>
      <c r="L53" s="273"/>
      <c r="P53" s="13"/>
      <c r="Q53" s="13"/>
      <c r="R53" s="13"/>
      <c r="S53" s="255"/>
      <c r="T53" s="255"/>
    </row>
    <row r="54" spans="1:20" s="10" customFormat="1" ht="30" customHeight="1">
      <c r="A54" s="13"/>
      <c r="E54" s="17"/>
      <c r="F54" s="17"/>
      <c r="H54" s="19"/>
      <c r="I54" s="433"/>
      <c r="J54" s="94"/>
      <c r="K54" s="273"/>
      <c r="L54" s="273"/>
      <c r="P54" s="13"/>
      <c r="Q54" s="13"/>
      <c r="R54" s="13"/>
      <c r="S54" s="255"/>
      <c r="T54" s="255"/>
    </row>
    <row r="55" spans="1:20" s="10" customFormat="1" ht="30" customHeight="1">
      <c r="A55" s="13"/>
      <c r="E55" s="17"/>
      <c r="F55" s="17"/>
      <c r="H55" s="19"/>
      <c r="I55" s="433"/>
      <c r="J55" s="94"/>
      <c r="K55" s="273"/>
      <c r="L55" s="273"/>
      <c r="P55" s="13"/>
      <c r="Q55" s="13"/>
      <c r="R55" s="13"/>
      <c r="S55" s="255"/>
      <c r="T55" s="255"/>
    </row>
    <row r="56" spans="1:20" s="10" customFormat="1" ht="30" customHeight="1">
      <c r="A56" s="13"/>
      <c r="E56" s="17"/>
      <c r="F56" s="17"/>
      <c r="H56" s="19"/>
      <c r="I56" s="433"/>
      <c r="J56" s="94"/>
      <c r="K56" s="273"/>
      <c r="L56" s="273"/>
      <c r="P56" s="13"/>
      <c r="Q56" s="13"/>
      <c r="R56" s="13"/>
      <c r="S56" s="255"/>
      <c r="T56" s="255"/>
    </row>
    <row r="57" spans="1:20">
      <c r="A57" s="10"/>
      <c r="B57" s="10"/>
      <c r="C57" s="10"/>
      <c r="D57" s="10"/>
      <c r="E57" s="17"/>
      <c r="F57" s="17"/>
      <c r="G57" s="18"/>
      <c r="H57" s="19"/>
      <c r="I57" s="94"/>
      <c r="J57" s="94"/>
      <c r="K57" s="10"/>
      <c r="L57" s="10"/>
      <c r="M57" s="10"/>
      <c r="N57" s="10"/>
      <c r="O57" s="10"/>
    </row>
    <row r="60" spans="1:20">
      <c r="D60" s="14"/>
    </row>
    <row r="61" spans="1:20">
      <c r="I61" s="178"/>
    </row>
    <row r="64" spans="1:20">
      <c r="C64" t="s">
        <v>179</v>
      </c>
      <c r="E64" t="s">
        <v>180</v>
      </c>
      <c r="F64" t="s">
        <v>181</v>
      </c>
    </row>
    <row r="65" spans="3:6">
      <c r="C65" s="14">
        <f>+H57</f>
        <v>0</v>
      </c>
      <c r="E65">
        <v>1.1399999999999999</v>
      </c>
      <c r="F65" s="177">
        <f>+C65*E65</f>
        <v>0</v>
      </c>
    </row>
  </sheetData>
  <mergeCells count="5">
    <mergeCell ref="C6:E6"/>
    <mergeCell ref="C7:E7"/>
    <mergeCell ref="A10:B10"/>
    <mergeCell ref="A6:B6"/>
    <mergeCell ref="A7:B7"/>
  </mergeCells>
  <phoneticPr fontId="0" type="noConversion"/>
  <dataValidations disablePrompts="1"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56" xr:uid="{00000000-0002-0000-0600-000000000000}">
      <formula1>2</formula1>
      <formula2>2</formula2>
    </dataValidation>
  </dataValidations>
  <pageMargins left="0.75" right="0.75" top="0.31496062992125984" bottom="0.19685039370078741" header="0" footer="0"/>
  <pageSetup paperSize="9" scale="75" orientation="landscape" horizontalDpi="300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3"/>
  <dimension ref="A1:I373"/>
  <sheetViews>
    <sheetView view="pageBreakPreview" zoomScale="60" zoomScaleNormal="60" workbookViewId="0" xr3:uid="{85D5C41F-068E-5C55-9968-509E7C2A5619}">
      <selection activeCell="E63" sqref="E63"/>
    </sheetView>
  </sheetViews>
  <sheetFormatPr defaultRowHeight="12.75"/>
  <cols>
    <col min="1" max="2" width="11.42578125" customWidth="1"/>
    <col min="3" max="3" width="11.85546875" bestFit="1" customWidth="1"/>
    <col min="4" max="4" width="22.28515625" bestFit="1" customWidth="1"/>
    <col min="5" max="5" width="15.7109375" customWidth="1"/>
    <col min="6" max="6" width="11.85546875" bestFit="1" customWidth="1"/>
    <col min="7" max="7" width="23.5703125" customWidth="1"/>
    <col min="8" max="256" width="11.42578125" customWidth="1"/>
  </cols>
  <sheetData>
    <row r="1" spans="1:9">
      <c r="A1" s="378"/>
      <c r="B1" s="379"/>
      <c r="C1" s="379"/>
      <c r="D1" s="379"/>
      <c r="E1" s="379"/>
      <c r="F1" s="379"/>
      <c r="G1" s="380"/>
      <c r="H1" s="76"/>
      <c r="I1" s="76"/>
    </row>
    <row r="2" spans="1:9">
      <c r="A2" s="381"/>
      <c r="B2" s="109" t="str">
        <f>+'2_1'!$C$2</f>
        <v>CUADRO DE TURNO SAN PEDRO Y SAN PABLO</v>
      </c>
      <c r="C2" s="76"/>
      <c r="D2" s="76"/>
      <c r="E2" s="76"/>
      <c r="F2" s="76"/>
      <c r="G2" s="382"/>
      <c r="H2" s="76"/>
      <c r="I2" s="76"/>
    </row>
    <row r="3" spans="1:9">
      <c r="A3" s="381"/>
      <c r="B3" s="76"/>
      <c r="C3" s="76"/>
      <c r="D3" s="76"/>
      <c r="E3" s="76"/>
      <c r="F3" s="76"/>
      <c r="G3" s="382"/>
      <c r="H3" s="76"/>
      <c r="I3" s="76"/>
    </row>
    <row r="4" spans="1:9">
      <c r="A4" s="381"/>
      <c r="B4" s="76" t="s">
        <v>182</v>
      </c>
      <c r="C4" s="76"/>
      <c r="D4" s="76"/>
      <c r="E4" s="76"/>
      <c r="F4" s="76"/>
      <c r="G4" s="383" t="s">
        <v>134</v>
      </c>
      <c r="H4" s="76"/>
      <c r="I4" s="76"/>
    </row>
    <row r="5" spans="1:9">
      <c r="A5" s="381"/>
      <c r="B5" s="76" t="s">
        <v>91</v>
      </c>
      <c r="C5" s="76"/>
      <c r="D5" s="76"/>
      <c r="E5" s="76"/>
      <c r="F5" s="76"/>
      <c r="G5" s="383">
        <v>1</v>
      </c>
      <c r="H5" s="76"/>
      <c r="I5" s="76"/>
    </row>
    <row r="6" spans="1:9">
      <c r="A6" s="381"/>
      <c r="B6" s="76"/>
      <c r="C6" s="76"/>
      <c r="D6" s="76"/>
      <c r="E6" s="76"/>
      <c r="F6" s="76"/>
      <c r="G6" s="382"/>
      <c r="H6" s="76"/>
      <c r="I6" s="76"/>
    </row>
    <row r="7" spans="1:9">
      <c r="A7" s="381"/>
      <c r="B7" s="635" t="s">
        <v>183</v>
      </c>
      <c r="C7" s="331"/>
      <c r="D7" s="76"/>
      <c r="E7" s="635" t="s">
        <v>184</v>
      </c>
      <c r="F7" s="102"/>
      <c r="G7" s="382"/>
      <c r="H7" s="76"/>
      <c r="I7" s="76"/>
    </row>
    <row r="8" spans="1:9">
      <c r="A8" s="381"/>
      <c r="B8" s="635" t="s">
        <v>185</v>
      </c>
      <c r="C8" s="374"/>
      <c r="D8" s="76"/>
      <c r="E8" s="635" t="s">
        <v>186</v>
      </c>
      <c r="F8" s="368" t="str">
        <f>IF(VLOOKUP(G5,'1_1'!$A$12:$D$40,4,0)=2,"Eventual 80%","Definitivo 100%")</f>
        <v>Eventual 80%</v>
      </c>
      <c r="G8" s="382"/>
      <c r="H8" s="76"/>
      <c r="I8" s="76"/>
    </row>
    <row r="9" spans="1:9">
      <c r="A9" s="381"/>
      <c r="B9" s="635" t="s">
        <v>187</v>
      </c>
      <c r="C9" s="375"/>
      <c r="D9" s="76"/>
      <c r="E9" s="635" t="s">
        <v>188</v>
      </c>
      <c r="F9" s="369" t="str">
        <f>+Hijuelas!$G$5</f>
        <v>fracción</v>
      </c>
      <c r="G9" s="384"/>
      <c r="H9" s="76"/>
      <c r="I9" s="76"/>
    </row>
    <row r="10" spans="1:9" ht="15.75">
      <c r="A10" s="381"/>
      <c r="B10" s="76"/>
      <c r="C10" s="635" t="s">
        <v>189</v>
      </c>
      <c r="D10" s="107"/>
      <c r="E10" s="127"/>
      <c r="F10" s="128">
        <f>WEEKDAY(D10)</f>
        <v>7</v>
      </c>
      <c r="G10" s="385" t="s">
        <v>70</v>
      </c>
      <c r="H10" s="76"/>
      <c r="I10" s="76"/>
    </row>
    <row r="11" spans="1:9" ht="15.75">
      <c r="A11" s="381"/>
      <c r="B11" s="76"/>
      <c r="C11" s="635" t="s">
        <v>190</v>
      </c>
      <c r="D11" s="107"/>
      <c r="E11" s="127"/>
      <c r="F11" s="128">
        <f>WEEKDAY(D11)</f>
        <v>7</v>
      </c>
      <c r="G11" s="385">
        <f>WEEKDAY(D11)</f>
        <v>7</v>
      </c>
      <c r="H11" s="76"/>
      <c r="I11" s="76"/>
    </row>
    <row r="12" spans="1:9">
      <c r="A12" s="381"/>
      <c r="B12" s="76"/>
      <c r="C12" s="76"/>
      <c r="D12" s="76"/>
      <c r="E12" s="76"/>
      <c r="F12" s="106"/>
      <c r="G12" s="384"/>
      <c r="H12" s="76"/>
      <c r="I12" s="76">
        <f>17*5</f>
        <v>85</v>
      </c>
    </row>
    <row r="13" spans="1:9">
      <c r="A13" s="381"/>
      <c r="B13" s="108" t="str">
        <f>+Mensajes!$B$7</f>
        <v>PARA CUALQUIER MODIFICACION EN EL CUADRO DE TURNO COMUNIQUESE CON SU TOMERO</v>
      </c>
      <c r="C13" s="76"/>
      <c r="D13" s="76"/>
      <c r="E13" s="76"/>
      <c r="F13" s="76"/>
      <c r="G13" s="382"/>
      <c r="H13" s="76"/>
      <c r="I13" s="76"/>
    </row>
    <row r="14" spans="1:9">
      <c r="A14" s="381"/>
      <c r="B14" s="108" t="str">
        <f>+Mensajes!$B$12</f>
        <v>Recuerde que con 1 (una) cuotas vigentes impagas se restringirá el servicio.</v>
      </c>
      <c r="C14" s="76"/>
      <c r="D14" s="76"/>
      <c r="E14" s="76"/>
      <c r="F14" s="76"/>
      <c r="G14" s="382"/>
      <c r="H14" s="76"/>
      <c r="I14" s="76"/>
    </row>
    <row r="15" spans="1:9">
      <c r="A15" s="381"/>
      <c r="B15" s="108"/>
      <c r="C15" s="76"/>
      <c r="D15" s="76"/>
      <c r="E15" s="76"/>
      <c r="F15" s="76"/>
      <c r="G15" s="382"/>
      <c r="H15" s="76"/>
      <c r="I15" s="76"/>
    </row>
    <row r="16" spans="1:9" ht="13.5" thickBot="1">
      <c r="A16" s="386"/>
      <c r="B16" s="387" t="str">
        <f>IF(DSUM('2_1'!$A$12:$P$20,16,G4:G5)=COUNTIF('2_1'!$A$12:$A$20,G5),"","Regularice su Deuda")</f>
        <v/>
      </c>
      <c r="C16" s="326"/>
      <c r="D16" s="326"/>
      <c r="E16" s="326"/>
      <c r="F16" s="326"/>
      <c r="G16" s="388"/>
      <c r="H16" s="76"/>
      <c r="I16" s="76"/>
    </row>
    <row r="17" spans="1:8" ht="13.5" thickBot="1"/>
    <row r="18" spans="1:8">
      <c r="A18" s="378"/>
      <c r="B18" s="379"/>
      <c r="C18" s="379"/>
      <c r="D18" s="379"/>
      <c r="E18" s="379"/>
      <c r="F18" s="379"/>
      <c r="G18" s="380"/>
      <c r="H18" s="76"/>
    </row>
    <row r="19" spans="1:8">
      <c r="A19" s="381"/>
      <c r="B19" s="109" t="str">
        <f>+'2_1'!$C$2</f>
        <v>CUADRO DE TURNO SAN PEDRO Y SAN PABLO</v>
      </c>
      <c r="C19" s="76"/>
      <c r="D19" s="76"/>
      <c r="E19" s="76"/>
      <c r="F19" s="76"/>
      <c r="G19" s="382"/>
      <c r="H19" s="76"/>
    </row>
    <row r="20" spans="1:8">
      <c r="A20" s="381"/>
      <c r="B20" s="76"/>
      <c r="C20" s="76"/>
      <c r="D20" s="76"/>
      <c r="E20" s="76"/>
      <c r="F20" s="76"/>
      <c r="G20" s="382"/>
      <c r="H20" s="76"/>
    </row>
    <row r="21" spans="1:8">
      <c r="A21" s="381"/>
      <c r="B21" s="76" t="s">
        <v>182</v>
      </c>
      <c r="C21" s="76"/>
      <c r="D21" s="76"/>
      <c r="E21" s="76"/>
      <c r="F21" s="76"/>
      <c r="G21" s="383" t="s">
        <v>134</v>
      </c>
      <c r="H21" s="76"/>
    </row>
    <row r="22" spans="1:8">
      <c r="A22" s="381"/>
      <c r="B22" s="76" t="s">
        <v>91</v>
      </c>
      <c r="C22" s="76"/>
      <c r="D22" s="76"/>
      <c r="E22" s="76"/>
      <c r="F22" s="76"/>
      <c r="G22" s="383">
        <v>2</v>
      </c>
      <c r="H22" s="76"/>
    </row>
    <row r="23" spans="1:8">
      <c r="A23" s="381"/>
      <c r="B23" s="76"/>
      <c r="C23" s="76"/>
      <c r="D23" s="76"/>
      <c r="E23" s="76"/>
      <c r="F23" s="76"/>
      <c r="G23" s="382"/>
      <c r="H23" s="76"/>
    </row>
    <row r="24" spans="1:8">
      <c r="A24" s="381"/>
      <c r="B24" s="635" t="s">
        <v>183</v>
      </c>
      <c r="C24" s="331"/>
      <c r="D24" s="76"/>
      <c r="E24" s="635" t="s">
        <v>184</v>
      </c>
      <c r="F24" s="102"/>
      <c r="G24" s="382"/>
      <c r="H24" s="76"/>
    </row>
    <row r="25" spans="1:8">
      <c r="A25" s="381"/>
      <c r="B25" s="635" t="s">
        <v>185</v>
      </c>
      <c r="C25" s="374"/>
      <c r="D25" s="76"/>
      <c r="E25" s="635" t="s">
        <v>186</v>
      </c>
      <c r="F25" s="368" t="str">
        <f>IF(VLOOKUP(G22,'1_1'!$A$12:$D$40,4,0)=2,"Eventual 80%","Definitivo 100%")</f>
        <v>Eventual 80%</v>
      </c>
      <c r="G25" s="382"/>
      <c r="H25" s="76"/>
    </row>
    <row r="26" spans="1:8">
      <c r="A26" s="381"/>
      <c r="B26" s="635" t="s">
        <v>187</v>
      </c>
      <c r="C26" s="375"/>
      <c r="D26" s="76"/>
      <c r="E26" s="635" t="s">
        <v>188</v>
      </c>
      <c r="F26" s="369" t="str">
        <f>+Hijuelas!$G$5</f>
        <v>fracción</v>
      </c>
      <c r="G26" s="384"/>
      <c r="H26" s="76"/>
    </row>
    <row r="27" spans="1:8" ht="15.75">
      <c r="A27" s="381"/>
      <c r="B27" s="76"/>
      <c r="C27" s="635" t="s">
        <v>189</v>
      </c>
      <c r="D27" s="107"/>
      <c r="E27" s="127"/>
      <c r="F27" s="128">
        <f>WEEKDAY(D27)</f>
        <v>7</v>
      </c>
      <c r="G27" s="385" t="s">
        <v>70</v>
      </c>
      <c r="H27" s="76"/>
    </row>
    <row r="28" spans="1:8" ht="15.75">
      <c r="A28" s="381"/>
      <c r="B28" s="76"/>
      <c r="C28" s="635" t="s">
        <v>190</v>
      </c>
      <c r="D28" s="107"/>
      <c r="E28" s="127"/>
      <c r="F28" s="128">
        <f>WEEKDAY(D28)</f>
        <v>7</v>
      </c>
      <c r="G28" s="385">
        <f>WEEKDAY(D28)</f>
        <v>7</v>
      </c>
      <c r="H28" s="76"/>
    </row>
    <row r="29" spans="1:8">
      <c r="A29" s="381"/>
      <c r="B29" s="76"/>
      <c r="C29" s="76"/>
      <c r="D29" s="76"/>
      <c r="E29" s="76"/>
      <c r="F29" s="106"/>
      <c r="G29" s="384"/>
      <c r="H29" s="76"/>
    </row>
    <row r="30" spans="1:8">
      <c r="A30" s="381"/>
      <c r="B30" s="108" t="str">
        <f>+Mensajes!$B$7</f>
        <v>PARA CUALQUIER MODIFICACION EN EL CUADRO DE TURNO COMUNIQUESE CON SU TOMERO</v>
      </c>
      <c r="C30" s="76"/>
      <c r="D30" s="76"/>
      <c r="E30" s="76"/>
      <c r="F30" s="76"/>
      <c r="G30" s="382"/>
      <c r="H30" s="76"/>
    </row>
    <row r="31" spans="1:8">
      <c r="A31" s="381"/>
      <c r="B31" s="108" t="str">
        <f>+Mensajes!$B$12</f>
        <v>Recuerde que con 1 (una) cuotas vigentes impagas se restringirá el servicio.</v>
      </c>
      <c r="C31" s="76"/>
      <c r="D31" s="76"/>
      <c r="E31" s="76"/>
      <c r="F31" s="76"/>
      <c r="G31" s="382"/>
      <c r="H31" s="76"/>
    </row>
    <row r="32" spans="1:8">
      <c r="A32" s="381"/>
      <c r="B32" s="108"/>
      <c r="C32" s="76"/>
      <c r="D32" s="76"/>
      <c r="E32" s="76"/>
      <c r="F32" s="76"/>
      <c r="G32" s="382"/>
      <c r="H32" s="76"/>
    </row>
    <row r="33" spans="1:8" ht="13.5" thickBot="1">
      <c r="A33" s="386"/>
      <c r="B33" s="387" t="str">
        <f>IF(DSUM('2_1'!$A$12:$P$20,16,G21:G22)=COUNTIF('2_1'!$A$12:$A$20,G22),"","Regularice su Deuda")</f>
        <v/>
      </c>
      <c r="C33" s="326"/>
      <c r="D33" s="326"/>
      <c r="E33" s="326"/>
      <c r="F33" s="326"/>
      <c r="G33" s="388"/>
      <c r="H33" s="76"/>
    </row>
    <row r="34" spans="1:8" ht="13.5" thickBot="1"/>
    <row r="35" spans="1:8">
      <c r="A35" s="378"/>
      <c r="B35" s="379"/>
      <c r="C35" s="379"/>
      <c r="D35" s="379"/>
      <c r="E35" s="379"/>
      <c r="F35" s="379"/>
      <c r="G35" s="380"/>
      <c r="H35" s="76"/>
    </row>
    <row r="36" spans="1:8">
      <c r="A36" s="381"/>
      <c r="B36" s="109" t="str">
        <f>+'2_1'!$C$2</f>
        <v>CUADRO DE TURNO SAN PEDRO Y SAN PABLO</v>
      </c>
      <c r="C36" s="76"/>
      <c r="D36" s="76"/>
      <c r="E36" s="76"/>
      <c r="F36" s="76"/>
      <c r="G36" s="382"/>
      <c r="H36" s="76"/>
    </row>
    <row r="37" spans="1:8">
      <c r="A37" s="381"/>
      <c r="B37" s="76"/>
      <c r="C37" s="76"/>
      <c r="D37" s="76"/>
      <c r="E37" s="76"/>
      <c r="F37" s="76"/>
      <c r="G37" s="382"/>
      <c r="H37" s="76"/>
    </row>
    <row r="38" spans="1:8">
      <c r="A38" s="381"/>
      <c r="B38" s="76" t="s">
        <v>182</v>
      </c>
      <c r="C38" s="76"/>
      <c r="D38" s="76"/>
      <c r="E38" s="76"/>
      <c r="F38" s="76"/>
      <c r="G38" s="383" t="s">
        <v>134</v>
      </c>
      <c r="H38" s="76"/>
    </row>
    <row r="39" spans="1:8">
      <c r="A39" s="381"/>
      <c r="B39" s="76" t="s">
        <v>91</v>
      </c>
      <c r="C39" s="76"/>
      <c r="D39" s="76"/>
      <c r="E39" s="76"/>
      <c r="F39" s="76"/>
      <c r="G39" s="383">
        <v>3</v>
      </c>
      <c r="H39" s="76"/>
    </row>
    <row r="40" spans="1:8">
      <c r="A40" s="381"/>
      <c r="B40" s="76"/>
      <c r="C40" s="76"/>
      <c r="D40" s="76"/>
      <c r="E40" s="76"/>
      <c r="F40" s="76"/>
      <c r="G40" s="382"/>
      <c r="H40" s="76"/>
    </row>
    <row r="41" spans="1:8">
      <c r="A41" s="381"/>
      <c r="B41" s="635" t="s">
        <v>183</v>
      </c>
      <c r="C41" s="331"/>
      <c r="D41" s="76"/>
      <c r="E41" s="635" t="s">
        <v>184</v>
      </c>
      <c r="F41" s="102"/>
      <c r="G41" s="382"/>
      <c r="H41" s="76"/>
    </row>
    <row r="42" spans="1:8">
      <c r="A42" s="381"/>
      <c r="B42" s="635" t="s">
        <v>185</v>
      </c>
      <c r="C42" s="374"/>
      <c r="D42" s="76"/>
      <c r="E42" s="635" t="s">
        <v>186</v>
      </c>
      <c r="F42" s="368" t="str">
        <f>IF(VLOOKUP(G39,'1_1'!$A$12:$D$40,4,0)=2,"Eventual 80%","Definitivo 100%")</f>
        <v>Eventual 80%</v>
      </c>
      <c r="G42" s="382"/>
      <c r="H42" s="76"/>
    </row>
    <row r="43" spans="1:8">
      <c r="A43" s="381"/>
      <c r="B43" s="635" t="s">
        <v>187</v>
      </c>
      <c r="C43" s="375"/>
      <c r="D43" s="76"/>
      <c r="E43" s="635" t="s">
        <v>188</v>
      </c>
      <c r="F43" s="369" t="str">
        <f>+Hijuelas!$G$5</f>
        <v>fracción</v>
      </c>
      <c r="G43" s="384"/>
      <c r="H43" s="76"/>
    </row>
    <row r="44" spans="1:8" ht="15.75">
      <c r="A44" s="381"/>
      <c r="B44" s="76"/>
      <c r="C44" s="635" t="s">
        <v>189</v>
      </c>
      <c r="D44" s="107"/>
      <c r="E44" s="127"/>
      <c r="F44" s="128">
        <f>WEEKDAY(D44)</f>
        <v>7</v>
      </c>
      <c r="G44" s="385" t="s">
        <v>70</v>
      </c>
      <c r="H44" s="76"/>
    </row>
    <row r="45" spans="1:8" ht="15.75">
      <c r="A45" s="381"/>
      <c r="B45" s="76"/>
      <c r="C45" s="635" t="s">
        <v>190</v>
      </c>
      <c r="D45" s="107"/>
      <c r="E45" s="127"/>
      <c r="F45" s="128">
        <f>WEEKDAY(D45)</f>
        <v>7</v>
      </c>
      <c r="G45" s="385">
        <f>WEEKDAY(D45)</f>
        <v>7</v>
      </c>
      <c r="H45" s="76"/>
    </row>
    <row r="46" spans="1:8">
      <c r="A46" s="381"/>
      <c r="B46" s="76"/>
      <c r="C46" s="76"/>
      <c r="D46" s="76"/>
      <c r="E46" s="76"/>
      <c r="F46" s="106"/>
      <c r="G46" s="384"/>
      <c r="H46" s="76"/>
    </row>
    <row r="47" spans="1:8">
      <c r="A47" s="381"/>
      <c r="B47" s="108" t="str">
        <f>+Mensajes!$B$7</f>
        <v>PARA CUALQUIER MODIFICACION EN EL CUADRO DE TURNO COMUNIQUESE CON SU TOMERO</v>
      </c>
      <c r="C47" s="76"/>
      <c r="D47" s="76"/>
      <c r="E47" s="76"/>
      <c r="F47" s="76"/>
      <c r="G47" s="382"/>
      <c r="H47" s="76"/>
    </row>
    <row r="48" spans="1:8">
      <c r="A48" s="381"/>
      <c r="B48" s="108" t="str">
        <f>+Mensajes!$B$12</f>
        <v>Recuerde que con 1 (una) cuotas vigentes impagas se restringirá el servicio.</v>
      </c>
      <c r="C48" s="76"/>
      <c r="D48" s="76"/>
      <c r="E48" s="76"/>
      <c r="F48" s="76"/>
      <c r="G48" s="382"/>
      <c r="H48" s="76"/>
    </row>
    <row r="49" spans="1:8">
      <c r="A49" s="381"/>
      <c r="B49" s="108"/>
      <c r="C49" s="76"/>
      <c r="D49" s="76"/>
      <c r="E49" s="76"/>
      <c r="F49" s="76"/>
      <c r="G49" s="382"/>
      <c r="H49" s="76"/>
    </row>
    <row r="50" spans="1:8" ht="13.5" thickBot="1">
      <c r="A50" s="386"/>
      <c r="B50" s="387" t="str">
        <f>IF(DSUM('2_1'!$A$12:$P$20,16,G38:G39)=COUNTIF('2_1'!$A$12:$A$20,G39),"","Regularice su Deuda")</f>
        <v>Regularice su Deuda</v>
      </c>
      <c r="C50" s="326"/>
      <c r="D50" s="326"/>
      <c r="E50" s="326"/>
      <c r="F50" s="326"/>
      <c r="G50" s="388"/>
      <c r="H50" s="76"/>
    </row>
    <row r="51" spans="1:8" ht="13.5" thickBot="1"/>
    <row r="52" spans="1:8">
      <c r="A52" s="378"/>
      <c r="B52" s="379"/>
      <c r="C52" s="379"/>
      <c r="D52" s="379"/>
      <c r="E52" s="379"/>
      <c r="F52" s="379"/>
      <c r="G52" s="380"/>
      <c r="H52" s="76"/>
    </row>
    <row r="53" spans="1:8">
      <c r="A53" s="381"/>
      <c r="B53" s="109" t="str">
        <f>+'2_1'!$C$2</f>
        <v>CUADRO DE TURNO SAN PEDRO Y SAN PABLO</v>
      </c>
      <c r="C53" s="76"/>
      <c r="D53" s="76"/>
      <c r="E53" s="76"/>
      <c r="F53" s="76"/>
      <c r="G53" s="382"/>
      <c r="H53" s="76"/>
    </row>
    <row r="54" spans="1:8">
      <c r="A54" s="381"/>
      <c r="B54" s="76"/>
      <c r="C54" s="76"/>
      <c r="D54" s="76"/>
      <c r="E54" s="76"/>
      <c r="F54" s="76"/>
      <c r="G54" s="382"/>
      <c r="H54" s="76"/>
    </row>
    <row r="55" spans="1:8">
      <c r="A55" s="381"/>
      <c r="B55" s="76" t="s">
        <v>182</v>
      </c>
      <c r="C55" s="76"/>
      <c r="D55" s="76"/>
      <c r="E55" s="76"/>
      <c r="F55" s="76"/>
      <c r="G55" s="383" t="s">
        <v>134</v>
      </c>
      <c r="H55" s="76"/>
    </row>
    <row r="56" spans="1:8">
      <c r="A56" s="381"/>
      <c r="B56" s="76" t="s">
        <v>91</v>
      </c>
      <c r="C56" s="76"/>
      <c r="D56" s="76"/>
      <c r="E56" s="76"/>
      <c r="F56" s="76"/>
      <c r="G56" s="383">
        <v>4</v>
      </c>
      <c r="H56" s="76"/>
    </row>
    <row r="57" spans="1:8">
      <c r="A57" s="381"/>
      <c r="B57" s="76"/>
      <c r="C57" s="76"/>
      <c r="D57" s="76"/>
      <c r="E57" s="76"/>
      <c r="F57" s="76"/>
      <c r="G57" s="382"/>
      <c r="H57" s="76"/>
    </row>
    <row r="58" spans="1:8">
      <c r="A58" s="381"/>
      <c r="B58" s="635" t="s">
        <v>183</v>
      </c>
      <c r="C58" s="331"/>
      <c r="D58" s="76"/>
      <c r="E58" s="635" t="s">
        <v>184</v>
      </c>
      <c r="F58" s="102"/>
      <c r="G58" s="382"/>
      <c r="H58" s="76"/>
    </row>
    <row r="59" spans="1:8">
      <c r="A59" s="381"/>
      <c r="B59" s="635" t="s">
        <v>185</v>
      </c>
      <c r="C59" s="374"/>
      <c r="D59" s="76"/>
      <c r="E59" s="635" t="s">
        <v>186</v>
      </c>
      <c r="F59" s="368" t="str">
        <f>IF(VLOOKUP(G56,'1_1'!$A$12:$D$40,4,0)=2,"Eventual 80%","Definitivo 100%")</f>
        <v>Eventual 80%</v>
      </c>
      <c r="G59" s="382"/>
      <c r="H59" s="76"/>
    </row>
    <row r="60" spans="1:8">
      <c r="A60" s="381"/>
      <c r="B60" s="635" t="s">
        <v>187</v>
      </c>
      <c r="C60" s="375"/>
      <c r="D60" s="76"/>
      <c r="E60" s="635" t="s">
        <v>188</v>
      </c>
      <c r="F60" s="369" t="str">
        <f>+Hijuelas!$G$5</f>
        <v>fracción</v>
      </c>
      <c r="G60" s="384"/>
      <c r="H60" s="76"/>
    </row>
    <row r="61" spans="1:8" ht="15.75">
      <c r="A61" s="381"/>
      <c r="B61" s="76"/>
      <c r="C61" s="635" t="s">
        <v>189</v>
      </c>
      <c r="D61" s="107"/>
      <c r="E61" s="127" t="str">
        <f>IF(F61=1,"Domingo",IF(F61=2,"Lunes",IF(F61=3,"Martes",IF(F61=4,"Miercoles",IF(F61=5,"Jueves",IF(F61=6,"Viernes",IF(F61=7,"Sábado",0)))))))</f>
        <v>Sábado</v>
      </c>
      <c r="F61" s="128">
        <f>WEEKDAY(D61)</f>
        <v>7</v>
      </c>
      <c r="G61" s="385" t="s">
        <v>70</v>
      </c>
      <c r="H61" s="76"/>
    </row>
    <row r="62" spans="1:8" ht="15.75">
      <c r="A62" s="381"/>
      <c r="B62" s="76"/>
      <c r="C62" s="635" t="s">
        <v>190</v>
      </c>
      <c r="D62" s="107"/>
      <c r="E62" s="127"/>
      <c r="F62" s="128">
        <f>WEEKDAY(D62)</f>
        <v>7</v>
      </c>
      <c r="G62" s="385">
        <f>WEEKDAY(D62)</f>
        <v>7</v>
      </c>
      <c r="H62" s="76"/>
    </row>
    <row r="63" spans="1:8">
      <c r="A63" s="381"/>
      <c r="B63" s="76"/>
      <c r="C63" s="76"/>
      <c r="D63" s="76"/>
      <c r="E63" s="76"/>
      <c r="F63" s="106"/>
      <c r="G63" s="384"/>
      <c r="H63" s="76"/>
    </row>
    <row r="64" spans="1:8">
      <c r="A64" s="381"/>
      <c r="B64" s="108" t="str">
        <f>+Mensajes!$B$7</f>
        <v>PARA CUALQUIER MODIFICACION EN EL CUADRO DE TURNO COMUNIQUESE CON SU TOMERO</v>
      </c>
      <c r="C64" s="76"/>
      <c r="D64" s="76"/>
      <c r="E64" s="76"/>
      <c r="F64" s="76"/>
      <c r="G64" s="382"/>
      <c r="H64" s="76"/>
    </row>
    <row r="65" spans="1:8">
      <c r="A65" s="381"/>
      <c r="B65" s="108" t="str">
        <f>+Mensajes!$B$12</f>
        <v>Recuerde que con 1 (una) cuotas vigentes impagas se restringirá el servicio.</v>
      </c>
      <c r="C65" s="76"/>
      <c r="D65" s="76"/>
      <c r="E65" s="76"/>
      <c r="F65" s="76"/>
      <c r="G65" s="382"/>
      <c r="H65" s="76"/>
    </row>
    <row r="66" spans="1:8">
      <c r="A66" s="381"/>
      <c r="B66" s="108"/>
      <c r="C66" s="76"/>
      <c r="D66" s="76"/>
      <c r="E66" s="76"/>
      <c r="F66" s="76"/>
      <c r="G66" s="382"/>
      <c r="H66" s="76"/>
    </row>
    <row r="67" spans="1:8" ht="13.5" thickBot="1">
      <c r="A67" s="386"/>
      <c r="B67" s="387" t="str">
        <f>IF(DSUM('2_1'!$A$12:$P$20,16,G55:G56)=COUNTIF('2_1'!$A$12:$A$20,G56),"","Regularice su Deuda")</f>
        <v/>
      </c>
      <c r="C67" s="326"/>
      <c r="D67" s="326"/>
      <c r="E67" s="326"/>
      <c r="F67" s="326"/>
      <c r="G67" s="388"/>
      <c r="H67" s="76"/>
    </row>
    <row r="68" spans="1:8" ht="13.5" thickBot="1"/>
    <row r="69" spans="1:8">
      <c r="A69" s="378"/>
      <c r="B69" s="379"/>
      <c r="C69" s="379"/>
      <c r="D69" s="379"/>
      <c r="E69" s="379"/>
      <c r="F69" s="379"/>
      <c r="G69" s="380"/>
      <c r="H69" s="76"/>
    </row>
    <row r="70" spans="1:8">
      <c r="A70" s="381"/>
      <c r="B70" s="109" t="str">
        <f>+'2_1'!$C$2</f>
        <v>CUADRO DE TURNO SAN PEDRO Y SAN PABLO</v>
      </c>
      <c r="C70" s="76"/>
      <c r="D70" s="76"/>
      <c r="E70" s="76"/>
      <c r="F70" s="76"/>
      <c r="G70" s="382"/>
      <c r="H70" s="76"/>
    </row>
    <row r="71" spans="1:8">
      <c r="A71" s="381"/>
      <c r="B71" s="76"/>
      <c r="C71" s="76"/>
      <c r="D71" s="76"/>
      <c r="E71" s="76"/>
      <c r="F71" s="76"/>
      <c r="G71" s="382"/>
      <c r="H71" s="76"/>
    </row>
    <row r="72" spans="1:8">
      <c r="A72" s="381"/>
      <c r="B72" s="76" t="s">
        <v>182</v>
      </c>
      <c r="C72" s="76" t="str">
        <f>VLOOKUP(G73,'1_1'!$A$12:$G$40,7,0)</f>
        <v>MU#OZ, ALBERTO REIMUNDO</v>
      </c>
      <c r="D72" s="76"/>
      <c r="E72" s="76"/>
      <c r="F72" s="76"/>
      <c r="G72" s="383" t="s">
        <v>134</v>
      </c>
      <c r="H72" s="76"/>
    </row>
    <row r="73" spans="1:8">
      <c r="A73" s="381"/>
      <c r="B73" s="76" t="s">
        <v>91</v>
      </c>
      <c r="C73" s="76">
        <f>+'1_1'!H70</f>
        <v>0</v>
      </c>
      <c r="D73" s="76"/>
      <c r="E73" s="76"/>
      <c r="F73" s="76"/>
      <c r="G73" s="383">
        <v>5</v>
      </c>
      <c r="H73" s="76"/>
    </row>
    <row r="74" spans="1:8">
      <c r="A74" s="381"/>
      <c r="B74" s="76"/>
      <c r="C74" s="76"/>
      <c r="D74" s="76"/>
      <c r="E74" s="76"/>
      <c r="F74" s="76"/>
      <c r="G74" s="382"/>
      <c r="H74" s="76"/>
    </row>
    <row r="75" spans="1:8">
      <c r="A75" s="381"/>
      <c r="B75" s="635" t="s">
        <v>183</v>
      </c>
      <c r="C75" s="331">
        <f>VLOOKUP(G73,'1_1'!$A$12:$C$40,2,0)</f>
        <v>1243</v>
      </c>
      <c r="D75" s="76"/>
      <c r="E75" s="635" t="s">
        <v>184</v>
      </c>
      <c r="F75" s="102">
        <f>DSUM('1_1'!A$12:J$40,'1_1'!$J$12,G72:G73)</f>
        <v>2.6687637992596467E-2</v>
      </c>
      <c r="G75" s="382"/>
      <c r="H75" s="76"/>
    </row>
    <row r="76" spans="1:8">
      <c r="A76" s="381"/>
      <c r="B76" s="635" t="s">
        <v>185</v>
      </c>
      <c r="C76" s="374">
        <v>8</v>
      </c>
      <c r="D76" s="76"/>
      <c r="E76" s="635" t="s">
        <v>186</v>
      </c>
      <c r="F76" s="368" t="str">
        <f>IF(VLOOKUP(G73,'1_1'!$A$12:$D$40,4,0)=2,"Eventual 80%","Definitivo 100%")</f>
        <v>Eventual 80%</v>
      </c>
      <c r="G76" s="382"/>
      <c r="H76" s="76"/>
    </row>
    <row r="77" spans="1:8">
      <c r="A77" s="381"/>
      <c r="B77" s="635" t="s">
        <v>187</v>
      </c>
      <c r="C77" s="375">
        <f>DSUM('1_1'!$A$12:$H$40,'1_1'!$H$12,G72:G73)</f>
        <v>1.8367200000000001</v>
      </c>
      <c r="D77" s="76"/>
      <c r="E77" s="635" t="s">
        <v>188</v>
      </c>
      <c r="F77" s="369" t="str">
        <f>+Hijuelas!$G$5</f>
        <v>fracción</v>
      </c>
      <c r="G77" s="384"/>
      <c r="H77" s="76"/>
    </row>
    <row r="78" spans="1:8" ht="15.75">
      <c r="A78" s="381"/>
      <c r="B78" s="76"/>
      <c r="C78" s="635" t="s">
        <v>189</v>
      </c>
      <c r="D78" s="107">
        <f>DMIN('1_1'!A$12:K$40,'1_1'!$K$12,G72:G73)</f>
        <v>0</v>
      </c>
      <c r="E78" s="127" t="str">
        <f>IF(F78=1,"Domingo",IF(F78=2,"Lunes",IF(F78=3,"Martes",IF(F78=4,"Miercoles",IF(F78=5,"Jueves",IF(F78=6,"Viernes",IF(F78=7,"Sábado",0)))))))</f>
        <v>Sábado</v>
      </c>
      <c r="F78" s="128">
        <f>WEEKDAY(D78)</f>
        <v>7</v>
      </c>
      <c r="G78" s="385" t="s">
        <v>70</v>
      </c>
      <c r="H78" s="76"/>
    </row>
    <row r="79" spans="1:8" ht="15.75">
      <c r="A79" s="381"/>
      <c r="B79" s="76"/>
      <c r="C79" s="635" t="s">
        <v>190</v>
      </c>
      <c r="D79" s="107">
        <f>DMAX('1_1'!A$12:L$40,'1_1'!$L$12,G72:G73)</f>
        <v>0</v>
      </c>
      <c r="E79" s="127" t="str">
        <f>IF(F79=1,"Domingo",IF(F79=2,"Lunes",IF(F79=3,"Martes",IF(F79=4,"Miercoles",IF(F79=5,"Jueves",IF(F79=6,"Viernes",IF(F79=7,"Sábado",0)))))))</f>
        <v>Sábado</v>
      </c>
      <c r="F79" s="128">
        <f>WEEKDAY(D79)</f>
        <v>7</v>
      </c>
      <c r="G79" s="385">
        <f>WEEKDAY(D79)</f>
        <v>7</v>
      </c>
      <c r="H79" s="76"/>
    </row>
    <row r="80" spans="1:8">
      <c r="A80" s="381"/>
      <c r="B80" s="76"/>
      <c r="C80" s="76"/>
      <c r="D80" s="76"/>
      <c r="E80" s="76"/>
      <c r="F80" s="106"/>
      <c r="G80" s="384"/>
      <c r="H80" s="76"/>
    </row>
    <row r="81" spans="1:8">
      <c r="A81" s="381"/>
      <c r="B81" s="108" t="str">
        <f>+Mensajes!$B$7</f>
        <v>PARA CUALQUIER MODIFICACION EN EL CUADRO DE TURNO COMUNIQUESE CON SU TOMERO</v>
      </c>
      <c r="C81" s="76"/>
      <c r="D81" s="76"/>
      <c r="E81" s="76"/>
      <c r="F81" s="76"/>
      <c r="G81" s="382"/>
      <c r="H81" s="76"/>
    </row>
    <row r="82" spans="1:8">
      <c r="A82" s="381"/>
      <c r="B82" s="108" t="str">
        <f>+Mensajes!$B$12</f>
        <v>Recuerde que con 1 (una) cuotas vigentes impagas se restringirá el servicio.</v>
      </c>
      <c r="C82" s="76"/>
      <c r="D82" s="76"/>
      <c r="E82" s="76"/>
      <c r="F82" s="76"/>
      <c r="G82" s="382"/>
      <c r="H82" s="76"/>
    </row>
    <row r="83" spans="1:8">
      <c r="A83" s="381"/>
      <c r="B83" s="108"/>
      <c r="C83" s="76"/>
      <c r="D83" s="76"/>
      <c r="E83" s="76"/>
      <c r="F83" s="76"/>
      <c r="G83" s="382"/>
      <c r="H83" s="76"/>
    </row>
    <row r="84" spans="1:8" ht="13.5" thickBot="1">
      <c r="A84" s="386"/>
      <c r="B84" s="387" t="str">
        <f>IF(DSUM('2_1'!$A$12:$P$20,16,G72:G73)=COUNTIF('2_1'!$A$12:$A$20,G73),"","Regularice su Deuda")</f>
        <v/>
      </c>
      <c r="C84" s="326"/>
      <c r="D84" s="326"/>
      <c r="E84" s="326"/>
      <c r="F84" s="326"/>
      <c r="G84" s="388"/>
      <c r="H84" s="76"/>
    </row>
    <row r="85" spans="1:8" ht="13.5" thickBot="1"/>
    <row r="86" spans="1:8">
      <c r="A86" s="378"/>
      <c r="B86" s="379"/>
      <c r="C86" s="379"/>
      <c r="D86" s="379"/>
      <c r="E86" s="379"/>
      <c r="F86" s="379"/>
      <c r="G86" s="380"/>
      <c r="H86" s="76"/>
    </row>
    <row r="87" spans="1:8">
      <c r="A87" s="381"/>
      <c r="B87" s="109" t="str">
        <f>+'2_1'!$C$2</f>
        <v>CUADRO DE TURNO SAN PEDRO Y SAN PABLO</v>
      </c>
      <c r="C87" s="76"/>
      <c r="D87" s="76"/>
      <c r="E87" s="76"/>
      <c r="F87" s="76"/>
      <c r="G87" s="382"/>
      <c r="H87" s="76"/>
    </row>
    <row r="88" spans="1:8">
      <c r="A88" s="381"/>
      <c r="B88" s="76"/>
      <c r="C88" s="76"/>
      <c r="D88" s="76"/>
      <c r="E88" s="76"/>
      <c r="F88" s="76"/>
      <c r="G88" s="382"/>
      <c r="H88" s="76"/>
    </row>
    <row r="89" spans="1:8">
      <c r="A89" s="381"/>
      <c r="B89" s="76" t="s">
        <v>182</v>
      </c>
      <c r="C89" s="76" t="str">
        <f>VLOOKUP(G90,'1_1'!$A$12:$G$40,7,0)</f>
        <v>PALAZZETTI, JUAN ROBERTO</v>
      </c>
      <c r="D89" s="76"/>
      <c r="E89" s="76"/>
      <c r="F89" s="76"/>
      <c r="G89" s="383" t="s">
        <v>134</v>
      </c>
      <c r="H89" s="76"/>
    </row>
    <row r="90" spans="1:8">
      <c r="A90" s="381"/>
      <c r="B90" s="76" t="s">
        <v>91</v>
      </c>
      <c r="C90" s="76">
        <f>+'1_1'!H87</f>
        <v>0</v>
      </c>
      <c r="D90" s="76"/>
      <c r="E90" s="76"/>
      <c r="F90" s="76"/>
      <c r="G90" s="383">
        <v>6</v>
      </c>
      <c r="H90" s="76"/>
    </row>
    <row r="91" spans="1:8">
      <c r="A91" s="381"/>
      <c r="B91" s="76"/>
      <c r="C91" s="76"/>
      <c r="D91" s="76"/>
      <c r="E91" s="76"/>
      <c r="F91" s="76"/>
      <c r="G91" s="382"/>
      <c r="H91" s="76"/>
    </row>
    <row r="92" spans="1:8">
      <c r="A92" s="381"/>
      <c r="B92" s="635" t="s">
        <v>183</v>
      </c>
      <c r="C92" s="331">
        <f>VLOOKUP(G90,'1_1'!$A$12:$C$40,2,0)</f>
        <v>1243</v>
      </c>
      <c r="D92" s="76"/>
      <c r="E92" s="635" t="s">
        <v>184</v>
      </c>
      <c r="F92" s="102">
        <f>DSUM('1_1'!A$12:J$40,'1_1'!$J$12,G89:G90)</f>
        <v>0.17034568566849784</v>
      </c>
      <c r="G92" s="382"/>
      <c r="H92" s="76"/>
    </row>
    <row r="93" spans="1:8">
      <c r="A93" s="381"/>
      <c r="B93" s="635" t="s">
        <v>185</v>
      </c>
      <c r="C93" s="374">
        <v>9</v>
      </c>
      <c r="D93" s="76"/>
      <c r="E93" s="635" t="s">
        <v>186</v>
      </c>
      <c r="F93" s="368" t="str">
        <f>IF(VLOOKUP(G90,'1_1'!$A$12:$D$40,4,0)=2,"Eventual 80%","Definitivo 100%")</f>
        <v>Eventual 80%</v>
      </c>
      <c r="G93" s="382"/>
      <c r="H93" s="76"/>
    </row>
    <row r="94" spans="1:8">
      <c r="A94" s="381"/>
      <c r="B94" s="635" t="s">
        <v>187</v>
      </c>
      <c r="C94" s="375">
        <f>DSUM('1_1'!$A$12:$H$40,'1_1'!$H$12,G89:G90)</f>
        <v>11.723680000000002</v>
      </c>
      <c r="D94" s="76"/>
      <c r="E94" s="635" t="s">
        <v>188</v>
      </c>
      <c r="F94" s="369" t="str">
        <f>+Hijuelas!$G$5</f>
        <v>fracción</v>
      </c>
      <c r="G94" s="384"/>
      <c r="H94" s="76"/>
    </row>
    <row r="95" spans="1:8" ht="15.75">
      <c r="A95" s="381"/>
      <c r="B95" s="76"/>
      <c r="C95" s="635" t="s">
        <v>189</v>
      </c>
      <c r="D95" s="107">
        <f>DMIN('1_1'!A$12:K$40,'1_1'!$K$12,G89:G90)</f>
        <v>0</v>
      </c>
      <c r="E95" s="127" t="str">
        <f>IF(F95=1,"Domingo",IF(F95=2,"Lunes",IF(F95=3,"Martes",IF(F95=4,"Miercoles",IF(F95=5,"Jueves",IF(F95=6,"Viernes",IF(F95=7,"Sábado",0)))))))</f>
        <v>Sábado</v>
      </c>
      <c r="F95" s="128">
        <f>WEEKDAY(D95)</f>
        <v>7</v>
      </c>
      <c r="G95" s="385" t="s">
        <v>70</v>
      </c>
      <c r="H95" s="76"/>
    </row>
    <row r="96" spans="1:8" ht="15.75">
      <c r="A96" s="381"/>
      <c r="B96" s="76"/>
      <c r="C96" s="635" t="s">
        <v>190</v>
      </c>
      <c r="D96" s="107">
        <f>DMAX('1_1'!A$12:L$40,'1_1'!$L$12,G89:G90)</f>
        <v>0</v>
      </c>
      <c r="E96" s="127" t="str">
        <f>IF(F96=1,"Domingo",IF(F96=2,"Lunes",IF(F96=3,"Martes",IF(F96=4,"Miercoles",IF(F96=5,"Jueves",IF(F96=6,"Viernes",IF(F96=7,"Sábado",0)))))))</f>
        <v>Sábado</v>
      </c>
      <c r="F96" s="128">
        <f>WEEKDAY(D96)</f>
        <v>7</v>
      </c>
      <c r="G96" s="385">
        <f>WEEKDAY(D96)</f>
        <v>7</v>
      </c>
      <c r="H96" s="76"/>
    </row>
    <row r="97" spans="1:8">
      <c r="A97" s="381"/>
      <c r="B97" s="76"/>
      <c r="C97" s="76"/>
      <c r="D97" s="76"/>
      <c r="E97" s="76"/>
      <c r="F97" s="106"/>
      <c r="G97" s="384"/>
      <c r="H97" s="76"/>
    </row>
    <row r="98" spans="1:8">
      <c r="A98" s="381"/>
      <c r="B98" s="108" t="str">
        <f>+Mensajes!$B$7</f>
        <v>PARA CUALQUIER MODIFICACION EN EL CUADRO DE TURNO COMUNIQUESE CON SU TOMERO</v>
      </c>
      <c r="C98" s="76"/>
      <c r="D98" s="76"/>
      <c r="E98" s="76"/>
      <c r="F98" s="76"/>
      <c r="G98" s="382"/>
      <c r="H98" s="76"/>
    </row>
    <row r="99" spans="1:8">
      <c r="A99" s="381"/>
      <c r="B99" s="108" t="str">
        <f>+Mensajes!$B$12</f>
        <v>Recuerde que con 1 (una) cuotas vigentes impagas se restringirá el servicio.</v>
      </c>
      <c r="C99" s="76"/>
      <c r="D99" s="76"/>
      <c r="E99" s="76"/>
      <c r="F99" s="76"/>
      <c r="G99" s="382"/>
      <c r="H99" s="76"/>
    </row>
    <row r="100" spans="1:8">
      <c r="A100" s="381"/>
      <c r="B100" s="108"/>
      <c r="C100" s="76"/>
      <c r="D100" s="76"/>
      <c r="E100" s="76"/>
      <c r="F100" s="76"/>
      <c r="G100" s="382"/>
      <c r="H100" s="76"/>
    </row>
    <row r="101" spans="1:8" ht="13.5" thickBot="1">
      <c r="A101" s="386"/>
      <c r="B101" s="387" t="str">
        <f>IF(DSUM('2_1'!$A$12:$P$20,16,G89:G90)=COUNTIF('2_1'!$A$12:$A$20,G90),"","Regularice su Deuda")</f>
        <v/>
      </c>
      <c r="C101" s="326"/>
      <c r="D101" s="326"/>
      <c r="E101" s="326"/>
      <c r="F101" s="326"/>
      <c r="G101" s="388"/>
      <c r="H101" s="76"/>
    </row>
    <row r="102" spans="1:8" ht="13.5" thickBot="1"/>
    <row r="103" spans="1:8">
      <c r="A103" s="378"/>
      <c r="B103" s="379"/>
      <c r="C103" s="379"/>
      <c r="D103" s="379"/>
      <c r="E103" s="379"/>
      <c r="F103" s="379"/>
      <c r="G103" s="380"/>
      <c r="H103" s="76"/>
    </row>
    <row r="104" spans="1:8">
      <c r="A104" s="381"/>
      <c r="B104" s="109" t="str">
        <f>+'2_1'!$C$2</f>
        <v>CUADRO DE TURNO SAN PEDRO Y SAN PABLO</v>
      </c>
      <c r="C104" s="76"/>
      <c r="D104" s="76"/>
      <c r="E104" s="76"/>
      <c r="F104" s="76"/>
      <c r="G104" s="382"/>
      <c r="H104" s="76"/>
    </row>
    <row r="105" spans="1:8">
      <c r="A105" s="381"/>
      <c r="B105" s="76"/>
      <c r="C105" s="76"/>
      <c r="D105" s="76"/>
      <c r="E105" s="76"/>
      <c r="F105" s="76"/>
      <c r="G105" s="382"/>
      <c r="H105" s="76"/>
    </row>
    <row r="106" spans="1:8">
      <c r="A106" s="381"/>
      <c r="B106" s="76" t="s">
        <v>182</v>
      </c>
      <c r="C106" s="76" t="str">
        <f>VLOOKUP(G107,'1_1'!$A$12:$G$40,7,0)</f>
        <v>MASIERO, MAURICIO AMADEO ANDRES U MASIERO, DUILIO CLINIO</v>
      </c>
      <c r="D106" s="76"/>
      <c r="E106" s="76"/>
      <c r="F106" s="76"/>
      <c r="G106" s="383" t="s">
        <v>134</v>
      </c>
      <c r="H106" s="76"/>
    </row>
    <row r="107" spans="1:8">
      <c r="A107" s="381"/>
      <c r="B107" s="76" t="s">
        <v>91</v>
      </c>
      <c r="C107" s="76">
        <f>+'1_1'!H104</f>
        <v>0</v>
      </c>
      <c r="D107" s="76"/>
      <c r="E107" s="76"/>
      <c r="F107" s="76"/>
      <c r="G107" s="383">
        <v>7</v>
      </c>
      <c r="H107" s="76"/>
    </row>
    <row r="108" spans="1:8">
      <c r="A108" s="381"/>
      <c r="B108" s="76"/>
      <c r="C108" s="76"/>
      <c r="D108" s="76"/>
      <c r="E108" s="76"/>
      <c r="F108" s="76"/>
      <c r="G108" s="382"/>
      <c r="H108" s="76"/>
    </row>
    <row r="109" spans="1:8">
      <c r="A109" s="381"/>
      <c r="B109" s="635" t="s">
        <v>183</v>
      </c>
      <c r="C109" s="331">
        <f>VLOOKUP(G107,'1_1'!$A$12:$C$40,2,0)</f>
        <v>1243</v>
      </c>
      <c r="D109" s="76"/>
      <c r="E109" s="635" t="s">
        <v>184</v>
      </c>
      <c r="F109" s="102">
        <f>DSUM('1_1'!A$12:J$40,'1_1'!$J$12,G106:G107)</f>
        <v>0.11613812827720275</v>
      </c>
      <c r="G109" s="382"/>
      <c r="H109" s="76"/>
    </row>
    <row r="110" spans="1:8">
      <c r="A110" s="381"/>
      <c r="B110" s="635" t="s">
        <v>185</v>
      </c>
      <c r="C110" s="374">
        <v>10</v>
      </c>
      <c r="D110" s="76"/>
      <c r="E110" s="635" t="s">
        <v>186</v>
      </c>
      <c r="F110" s="368" t="str">
        <f>IF(VLOOKUP(G107,'1_1'!$A$12:$D$40,4,0)=2,"Eventual 80%","Definitivo 100%")</f>
        <v>Eventual 80%</v>
      </c>
      <c r="G110" s="382"/>
      <c r="H110" s="76"/>
    </row>
    <row r="111" spans="1:8">
      <c r="A111" s="381"/>
      <c r="B111" s="635" t="s">
        <v>187</v>
      </c>
      <c r="C111" s="375">
        <f>DSUM('1_1'!$A$12:$H$40,'1_1'!$H$12,G106:G107)</f>
        <v>7.9929600000000001</v>
      </c>
      <c r="D111" s="76"/>
      <c r="E111" s="635" t="s">
        <v>188</v>
      </c>
      <c r="F111" s="369" t="str">
        <f>+Hijuelas!$G$5</f>
        <v>fracción</v>
      </c>
      <c r="G111" s="384"/>
      <c r="H111" s="76"/>
    </row>
    <row r="112" spans="1:8" ht="15.75">
      <c r="A112" s="381"/>
      <c r="B112" s="76"/>
      <c r="C112" s="635" t="s">
        <v>189</v>
      </c>
      <c r="D112" s="107">
        <f>DMIN('1_1'!A$12:K$40,'1_1'!$K$12,G106:G107)</f>
        <v>0</v>
      </c>
      <c r="E112" s="127" t="str">
        <f>IF(F112=1,"Domingo",IF(F112=2,"Lunes",IF(F112=3,"Martes",IF(F112=4,"Miercoles",IF(F112=5,"Jueves",IF(F112=6,"Viernes",IF(F112=7,"Sábado",0)))))))</f>
        <v>Sábado</v>
      </c>
      <c r="F112" s="128">
        <f>WEEKDAY(D112)</f>
        <v>7</v>
      </c>
      <c r="G112" s="385" t="s">
        <v>70</v>
      </c>
      <c r="H112" s="76"/>
    </row>
    <row r="113" spans="1:8" ht="15.75">
      <c r="A113" s="381"/>
      <c r="B113" s="76"/>
      <c r="C113" s="635" t="s">
        <v>190</v>
      </c>
      <c r="D113" s="107">
        <f>DMAX('1_1'!A$12:L$40,'1_1'!$L$12,G106:G107)</f>
        <v>0</v>
      </c>
      <c r="E113" s="127" t="str">
        <f>IF(F113=1,"Domingo",IF(F113=2,"Lunes",IF(F113=3,"Martes",IF(F113=4,"Miercoles",IF(F113=5,"Jueves",IF(F113=6,"Viernes",IF(F113=7,"Sábado",0)))))))</f>
        <v>Sábado</v>
      </c>
      <c r="F113" s="128">
        <f>WEEKDAY(D113)</f>
        <v>7</v>
      </c>
      <c r="G113" s="385">
        <f>WEEKDAY(D113)</f>
        <v>7</v>
      </c>
      <c r="H113" s="76"/>
    </row>
    <row r="114" spans="1:8">
      <c r="A114" s="381"/>
      <c r="B114" s="76"/>
      <c r="C114" s="76"/>
      <c r="D114" s="76"/>
      <c r="E114" s="76"/>
      <c r="F114" s="106"/>
      <c r="G114" s="384"/>
      <c r="H114" s="76"/>
    </row>
    <row r="115" spans="1:8">
      <c r="A115" s="381"/>
      <c r="B115" s="108" t="str">
        <f>+Mensajes!$B$7</f>
        <v>PARA CUALQUIER MODIFICACION EN EL CUADRO DE TURNO COMUNIQUESE CON SU TOMERO</v>
      </c>
      <c r="C115" s="76"/>
      <c r="D115" s="76"/>
      <c r="E115" s="76"/>
      <c r="F115" s="76"/>
      <c r="G115" s="382"/>
      <c r="H115" s="76"/>
    </row>
    <row r="116" spans="1:8">
      <c r="A116" s="381"/>
      <c r="B116" s="108" t="str">
        <f>+Mensajes!$B$12</f>
        <v>Recuerde que con 1 (una) cuotas vigentes impagas se restringirá el servicio.</v>
      </c>
      <c r="C116" s="76"/>
      <c r="D116" s="76"/>
      <c r="E116" s="76"/>
      <c r="F116" s="76"/>
      <c r="G116" s="382"/>
      <c r="H116" s="76"/>
    </row>
    <row r="117" spans="1:8">
      <c r="A117" s="381"/>
      <c r="B117" s="108"/>
      <c r="C117" s="76"/>
      <c r="D117" s="76"/>
      <c r="E117" s="76"/>
      <c r="F117" s="76"/>
      <c r="G117" s="382"/>
      <c r="H117" s="76"/>
    </row>
    <row r="118" spans="1:8" ht="13.5" thickBot="1">
      <c r="A118" s="386"/>
      <c r="B118" s="387" t="str">
        <f>IF(DSUM('2_1'!$A$12:$P$20,16,G106:G107)=COUNTIF('2_1'!$A$12:$A$20,G107),"","Regularice su Deuda")</f>
        <v/>
      </c>
      <c r="C118" s="326"/>
      <c r="D118" s="326"/>
      <c r="E118" s="326"/>
      <c r="F118" s="326"/>
      <c r="G118" s="388"/>
      <c r="H118" s="76"/>
    </row>
    <row r="119" spans="1:8" ht="13.5" thickBot="1"/>
    <row r="120" spans="1:8">
      <c r="A120" s="378"/>
      <c r="B120" s="379"/>
      <c r="C120" s="379"/>
      <c r="D120" s="379"/>
      <c r="E120" s="379"/>
      <c r="F120" s="379"/>
      <c r="G120" s="380"/>
      <c r="H120" s="76"/>
    </row>
    <row r="121" spans="1:8">
      <c r="A121" s="381"/>
      <c r="B121" s="109" t="str">
        <f>+'2_1'!$C$2</f>
        <v>CUADRO DE TURNO SAN PEDRO Y SAN PABLO</v>
      </c>
      <c r="C121" s="76"/>
      <c r="D121" s="76"/>
      <c r="E121" s="76"/>
      <c r="F121" s="76"/>
      <c r="G121" s="382"/>
      <c r="H121" s="76"/>
    </row>
    <row r="122" spans="1:8">
      <c r="A122" s="381"/>
      <c r="B122" s="76"/>
      <c r="C122" s="76"/>
      <c r="D122" s="76"/>
      <c r="E122" s="76"/>
      <c r="F122" s="76"/>
      <c r="G122" s="382"/>
      <c r="H122" s="76"/>
    </row>
    <row r="123" spans="1:8">
      <c r="A123" s="381"/>
      <c r="B123" s="76" t="s">
        <v>182</v>
      </c>
      <c r="C123" s="76" t="str">
        <f>VLOOKUP(G124,'1_1'!$A$12:$G$40,7,0)</f>
        <v>PALAZZETTI, JUAN ROBERTO PEDRO Y FERNANDEZ, JUAN HILARIO</v>
      </c>
      <c r="D123" s="76"/>
      <c r="E123" s="76"/>
      <c r="F123" s="76"/>
      <c r="G123" s="383" t="s">
        <v>134</v>
      </c>
      <c r="H123" s="76"/>
    </row>
    <row r="124" spans="1:8">
      <c r="A124" s="381"/>
      <c r="B124" s="76" t="s">
        <v>91</v>
      </c>
      <c r="C124" s="76">
        <f>+'1_1'!H121</f>
        <v>0</v>
      </c>
      <c r="D124" s="76"/>
      <c r="E124" s="76"/>
      <c r="F124" s="76"/>
      <c r="G124" s="383">
        <v>8</v>
      </c>
      <c r="H124" s="76"/>
    </row>
    <row r="125" spans="1:8">
      <c r="A125" s="381"/>
      <c r="B125" s="76"/>
      <c r="C125" s="76"/>
      <c r="D125" s="76"/>
      <c r="E125" s="76"/>
      <c r="F125" s="76"/>
      <c r="G125" s="382"/>
      <c r="H125" s="76"/>
    </row>
    <row r="126" spans="1:8">
      <c r="A126" s="381"/>
      <c r="B126" s="635" t="s">
        <v>183</v>
      </c>
      <c r="C126" s="331">
        <f>VLOOKUP(G124,'1_1'!$A$12:$C$40,2,0)</f>
        <v>1243</v>
      </c>
      <c r="D126" s="76"/>
      <c r="E126" s="635" t="s">
        <v>184</v>
      </c>
      <c r="F126" s="102">
        <f>DSUM('1_1'!A$12:J$40,'1_1'!$J$12,G123:G124)</f>
        <v>0.2889701965262208</v>
      </c>
      <c r="G126" s="382"/>
      <c r="H126" s="76"/>
    </row>
    <row r="127" spans="1:8">
      <c r="A127" s="381"/>
      <c r="B127" s="635" t="s">
        <v>185</v>
      </c>
      <c r="C127" s="374">
        <v>11</v>
      </c>
      <c r="D127" s="76"/>
      <c r="E127" s="635" t="s">
        <v>186</v>
      </c>
      <c r="F127" s="368" t="str">
        <f>IF(VLOOKUP(G124,'1_1'!$A$12:$D$40,4,0)=2,"Eventual 80%","Definitivo 100%")</f>
        <v>Eventual 80%</v>
      </c>
      <c r="G127" s="382"/>
      <c r="H127" s="76"/>
    </row>
    <row r="128" spans="1:8">
      <c r="A128" s="381"/>
      <c r="B128" s="635" t="s">
        <v>187</v>
      </c>
      <c r="C128" s="375">
        <f>DSUM('1_1'!$A$12:$H$40,'1_1'!$H$12,G123:G124)</f>
        <v>19.88776</v>
      </c>
      <c r="D128" s="76"/>
      <c r="E128" s="635" t="s">
        <v>188</v>
      </c>
      <c r="F128" s="369" t="str">
        <f>+Hijuelas!$G$5</f>
        <v>fracción</v>
      </c>
      <c r="G128" s="384"/>
      <c r="H128" s="76"/>
    </row>
    <row r="129" spans="1:8" ht="15.75">
      <c r="A129" s="381"/>
      <c r="B129" s="76"/>
      <c r="C129" s="635" t="s">
        <v>189</v>
      </c>
      <c r="D129" s="107">
        <f>DMIN('1_1'!A$12:K$40,'1_1'!$K$12,G123:G124)</f>
        <v>0</v>
      </c>
      <c r="E129" s="127" t="str">
        <f>IF(F129=1,"Domingo",IF(F129=2,"Lunes",IF(F129=3,"Martes",IF(F129=4,"Miercoles",IF(F129=5,"Jueves",IF(F129=6,"Viernes",IF(F129=7,"Sábado",0)))))))</f>
        <v>Sábado</v>
      </c>
      <c r="F129" s="128">
        <f>WEEKDAY(D129)</f>
        <v>7</v>
      </c>
      <c r="G129" s="385" t="s">
        <v>70</v>
      </c>
      <c r="H129" s="76"/>
    </row>
    <row r="130" spans="1:8" ht="15.75">
      <c r="A130" s="381"/>
      <c r="B130" s="76"/>
      <c r="C130" s="635" t="s">
        <v>190</v>
      </c>
      <c r="D130" s="107">
        <f>DMAX('1_1'!A$12:L$40,'1_1'!$L$12,G123:G124)</f>
        <v>0</v>
      </c>
      <c r="E130" s="127" t="str">
        <f>IF(F130=1,"Domingo",IF(F130=2,"Lunes",IF(F130=3,"Martes",IF(F130=4,"Miercoles",IF(F130=5,"Jueves",IF(F130=6,"Viernes",IF(F130=7,"Sábado",0)))))))</f>
        <v>Sábado</v>
      </c>
      <c r="F130" s="128">
        <f>WEEKDAY(D130)</f>
        <v>7</v>
      </c>
      <c r="G130" s="385">
        <f>WEEKDAY(D130)</f>
        <v>7</v>
      </c>
      <c r="H130" s="76"/>
    </row>
    <row r="131" spans="1:8">
      <c r="A131" s="381"/>
      <c r="B131" s="76"/>
      <c r="C131" s="76"/>
      <c r="D131" s="76"/>
      <c r="E131" s="76"/>
      <c r="F131" s="106"/>
      <c r="G131" s="384"/>
      <c r="H131" s="76"/>
    </row>
    <row r="132" spans="1:8">
      <c r="A132" s="381"/>
      <c r="B132" s="108" t="str">
        <f>+Mensajes!$B$7</f>
        <v>PARA CUALQUIER MODIFICACION EN EL CUADRO DE TURNO COMUNIQUESE CON SU TOMERO</v>
      </c>
      <c r="C132" s="76"/>
      <c r="D132" s="76"/>
      <c r="E132" s="76"/>
      <c r="F132" s="76"/>
      <c r="G132" s="382"/>
      <c r="H132" s="76"/>
    </row>
    <row r="133" spans="1:8">
      <c r="A133" s="381"/>
      <c r="B133" s="108" t="str">
        <f>+Mensajes!$B$12</f>
        <v>Recuerde que con 1 (una) cuotas vigentes impagas se restringirá el servicio.</v>
      </c>
      <c r="C133" s="76"/>
      <c r="D133" s="76"/>
      <c r="E133" s="76"/>
      <c r="F133" s="76"/>
      <c r="G133" s="382"/>
      <c r="H133" s="76"/>
    </row>
    <row r="134" spans="1:8">
      <c r="A134" s="381"/>
      <c r="B134" s="108"/>
      <c r="C134" s="76"/>
      <c r="D134" s="76"/>
      <c r="E134" s="76"/>
      <c r="F134" s="76"/>
      <c r="G134" s="382"/>
      <c r="H134" s="76"/>
    </row>
    <row r="135" spans="1:8" ht="13.5" thickBot="1">
      <c r="A135" s="386"/>
      <c r="B135" s="387" t="str">
        <f>IF(DSUM('2_1'!$A$12:$P$20,16,G123:G124)=COUNTIF('2_1'!$A$12:$A$20,G124),"","Regularice su Deuda")</f>
        <v/>
      </c>
      <c r="C135" s="326"/>
      <c r="D135" s="326"/>
      <c r="E135" s="326"/>
      <c r="F135" s="326"/>
      <c r="G135" s="388"/>
      <c r="H135" s="76"/>
    </row>
    <row r="136" spans="1:8" ht="13.5" thickBot="1"/>
    <row r="137" spans="1:8">
      <c r="A137" s="378"/>
      <c r="B137" s="379"/>
      <c r="C137" s="379"/>
      <c r="D137" s="379"/>
      <c r="E137" s="379"/>
      <c r="F137" s="379"/>
      <c r="G137" s="380"/>
      <c r="H137" s="76"/>
    </row>
    <row r="138" spans="1:8">
      <c r="A138" s="381"/>
      <c r="B138" s="109" t="str">
        <f>+'2_1'!$C$2</f>
        <v>CUADRO DE TURNO SAN PEDRO Y SAN PABLO</v>
      </c>
      <c r="C138" s="76"/>
      <c r="D138" s="76"/>
      <c r="E138" s="76"/>
      <c r="F138" s="76"/>
      <c r="G138" s="382"/>
      <c r="H138" s="76"/>
    </row>
    <row r="139" spans="1:8">
      <c r="A139" s="381"/>
      <c r="B139" s="76"/>
      <c r="C139" s="76"/>
      <c r="D139" s="76"/>
      <c r="E139" s="76"/>
      <c r="F139" s="76"/>
      <c r="G139" s="382"/>
      <c r="H139" s="76"/>
    </row>
    <row r="140" spans="1:8">
      <c r="A140" s="381"/>
      <c r="B140" s="76" t="s">
        <v>182</v>
      </c>
      <c r="C140" s="76" t="str">
        <f>VLOOKUP(G141,'1_1'!$A$12:$G$40,7,0)</f>
        <v>ELASKAR, IBRAHIN ABIB Y NAZAR, JOSE</v>
      </c>
      <c r="D140" s="76"/>
      <c r="E140" s="76"/>
      <c r="F140" s="76"/>
      <c r="G140" s="383" t="s">
        <v>134</v>
      </c>
      <c r="H140" s="76"/>
    </row>
    <row r="141" spans="1:8">
      <c r="A141" s="381"/>
      <c r="B141" s="76" t="s">
        <v>91</v>
      </c>
      <c r="C141" s="76">
        <f>+'1_1'!H138</f>
        <v>0</v>
      </c>
      <c r="D141" s="76"/>
      <c r="E141" s="76"/>
      <c r="F141" s="76"/>
      <c r="G141" s="383">
        <v>9</v>
      </c>
      <c r="H141" s="76"/>
    </row>
    <row r="142" spans="1:8">
      <c r="A142" s="381"/>
      <c r="B142" s="76"/>
      <c r="C142" s="76"/>
      <c r="D142" s="76"/>
      <c r="E142" s="76"/>
      <c r="F142" s="76"/>
      <c r="G142" s="382"/>
      <c r="H142" s="76"/>
    </row>
    <row r="143" spans="1:8">
      <c r="A143" s="381"/>
      <c r="B143" s="635" t="s">
        <v>183</v>
      </c>
      <c r="C143" s="331">
        <f>VLOOKUP(G141,'1_1'!$A$12:$C$40,2,0)</f>
        <v>1243</v>
      </c>
      <c r="D143" s="76"/>
      <c r="E143" s="635" t="s">
        <v>184</v>
      </c>
      <c r="F143" s="102">
        <f>DSUM('1_1'!A$12:J$40,'1_1'!$J$12,G140:G141)</f>
        <v>0.37793247704747113</v>
      </c>
      <c r="G143" s="382"/>
      <c r="H143" s="76"/>
    </row>
    <row r="144" spans="1:8">
      <c r="A144" s="381"/>
      <c r="B144" s="635" t="s">
        <v>185</v>
      </c>
      <c r="C144" s="374">
        <v>12</v>
      </c>
      <c r="D144" s="76"/>
      <c r="E144" s="635" t="s">
        <v>186</v>
      </c>
      <c r="F144" s="368" t="str">
        <f>IF(VLOOKUP(G141,'1_1'!$A$12:$D$40,4,0)=2,"Eventual 80%","Definitivo 100%")</f>
        <v>Eventual 80%</v>
      </c>
      <c r="G144" s="382"/>
      <c r="H144" s="76"/>
    </row>
    <row r="145" spans="1:8">
      <c r="A145" s="381"/>
      <c r="B145" s="635" t="s">
        <v>187</v>
      </c>
      <c r="C145" s="375">
        <f>DSUM('1_1'!$A$12:$H$40,'1_1'!$H$12,G140:G141)</f>
        <v>26.010400000000001</v>
      </c>
      <c r="D145" s="76"/>
      <c r="E145" s="635" t="s">
        <v>188</v>
      </c>
      <c r="F145" s="369" t="str">
        <f>+Hijuelas!$G$5</f>
        <v>fracción</v>
      </c>
      <c r="G145" s="384"/>
      <c r="H145" s="76"/>
    </row>
    <row r="146" spans="1:8" ht="15.75">
      <c r="A146" s="381"/>
      <c r="B146" s="76"/>
      <c r="C146" s="635" t="s">
        <v>189</v>
      </c>
      <c r="D146" s="107">
        <f>DMIN('1_1'!A$12:K$40,'1_1'!$K$12,G140:G141)</f>
        <v>0</v>
      </c>
      <c r="E146" s="127" t="str">
        <f>IF(F146=1,"Domingo",IF(F146=2,"Lunes",IF(F146=3,"Martes",IF(F146=4,"Miercoles",IF(F146=5,"Jueves",IF(F146=6,"Viernes",IF(F146=7,"Sábado",0)))))))</f>
        <v>Sábado</v>
      </c>
      <c r="F146" s="128">
        <f>WEEKDAY(D146)</f>
        <v>7</v>
      </c>
      <c r="G146" s="385" t="s">
        <v>70</v>
      </c>
      <c r="H146" s="76"/>
    </row>
    <row r="147" spans="1:8" ht="15.75">
      <c r="A147" s="381"/>
      <c r="B147" s="76"/>
      <c r="C147" s="635" t="s">
        <v>190</v>
      </c>
      <c r="D147" s="107">
        <f>DMAX('1_1'!A$12:L$40,'1_1'!$L$12,G140:G141)</f>
        <v>0</v>
      </c>
      <c r="E147" s="127" t="str">
        <f>IF(F147=1,"Domingo",IF(F147=2,"Lunes",IF(F147=3,"Martes",IF(F147=4,"Miercoles",IF(F147=5,"Jueves",IF(F147=6,"Viernes",IF(F147=7,"Sábado",0)))))))</f>
        <v>Sábado</v>
      </c>
      <c r="F147" s="128">
        <f>WEEKDAY(D147)</f>
        <v>7</v>
      </c>
      <c r="G147" s="385">
        <f>WEEKDAY(D147)</f>
        <v>7</v>
      </c>
      <c r="H147" s="76"/>
    </row>
    <row r="148" spans="1:8">
      <c r="A148" s="381"/>
      <c r="B148" s="76"/>
      <c r="C148" s="76"/>
      <c r="D148" s="76"/>
      <c r="E148" s="76"/>
      <c r="F148" s="106"/>
      <c r="G148" s="384"/>
      <c r="H148" s="76"/>
    </row>
    <row r="149" spans="1:8">
      <c r="A149" s="381"/>
      <c r="B149" s="108" t="str">
        <f>+Mensajes!$B$7</f>
        <v>PARA CUALQUIER MODIFICACION EN EL CUADRO DE TURNO COMUNIQUESE CON SU TOMERO</v>
      </c>
      <c r="C149" s="76"/>
      <c r="D149" s="76"/>
      <c r="E149" s="76"/>
      <c r="F149" s="76"/>
      <c r="G149" s="382"/>
      <c r="H149" s="76"/>
    </row>
    <row r="150" spans="1:8">
      <c r="A150" s="381"/>
      <c r="B150" s="108" t="str">
        <f>+Mensajes!$B$12</f>
        <v>Recuerde que con 1 (una) cuotas vigentes impagas se restringirá el servicio.</v>
      </c>
      <c r="C150" s="76"/>
      <c r="D150" s="76"/>
      <c r="E150" s="76"/>
      <c r="F150" s="76"/>
      <c r="G150" s="382"/>
      <c r="H150" s="76"/>
    </row>
    <row r="151" spans="1:8">
      <c r="A151" s="381"/>
      <c r="B151" s="108"/>
      <c r="C151" s="76"/>
      <c r="D151" s="76"/>
      <c r="E151" s="76"/>
      <c r="F151" s="76"/>
      <c r="G151" s="382"/>
      <c r="H151" s="76"/>
    </row>
    <row r="152" spans="1:8" ht="13.5" thickBot="1">
      <c r="A152" s="386"/>
      <c r="B152" s="387" t="str">
        <f>IF(DSUM('2_1'!$A$12:$P$20,16,G140:G141)=COUNTIF('2_1'!$A$12:$A$20,G141),"","Regularice su Deuda")</f>
        <v/>
      </c>
      <c r="C152" s="326"/>
      <c r="D152" s="326"/>
      <c r="E152" s="326"/>
      <c r="F152" s="326"/>
      <c r="G152" s="388"/>
      <c r="H152" s="76"/>
    </row>
    <row r="153" spans="1:8" ht="13.5" thickBot="1"/>
    <row r="154" spans="1:8">
      <c r="A154" s="378"/>
      <c r="B154" s="379"/>
      <c r="C154" s="379"/>
      <c r="D154" s="379"/>
      <c r="E154" s="379"/>
      <c r="F154" s="379"/>
      <c r="G154" s="380"/>
      <c r="H154" s="76"/>
    </row>
    <row r="155" spans="1:8">
      <c r="A155" s="381"/>
      <c r="B155" s="109" t="str">
        <f>+'2_1'!$C$2</f>
        <v>CUADRO DE TURNO SAN PEDRO Y SAN PABLO</v>
      </c>
      <c r="C155" s="76"/>
      <c r="D155" s="76"/>
      <c r="E155" s="76"/>
      <c r="F155" s="76"/>
      <c r="G155" s="382"/>
      <c r="H155" s="76"/>
    </row>
    <row r="156" spans="1:8">
      <c r="A156" s="381"/>
      <c r="B156" s="76"/>
      <c r="C156" s="76"/>
      <c r="D156" s="76"/>
      <c r="E156" s="76"/>
      <c r="F156" s="76"/>
      <c r="G156" s="382"/>
      <c r="H156" s="76"/>
    </row>
    <row r="157" spans="1:8">
      <c r="A157" s="381"/>
      <c r="B157" s="76" t="s">
        <v>182</v>
      </c>
      <c r="C157" s="76" t="str">
        <f>VLOOKUP(G158,'1_1'!$A$12:$G$40,7,0)</f>
        <v>ARANDA, BELEN</v>
      </c>
      <c r="D157" s="76"/>
      <c r="E157" s="76"/>
      <c r="F157" s="76"/>
      <c r="G157" s="383" t="s">
        <v>134</v>
      </c>
      <c r="H157" s="76"/>
    </row>
    <row r="158" spans="1:8">
      <c r="A158" s="381"/>
      <c r="B158" s="76" t="s">
        <v>91</v>
      </c>
      <c r="C158" s="76">
        <f>+'1_1'!H155</f>
        <v>0</v>
      </c>
      <c r="D158" s="76"/>
      <c r="E158" s="76"/>
      <c r="F158" s="76"/>
      <c r="G158" s="383">
        <v>10</v>
      </c>
      <c r="H158" s="76"/>
    </row>
    <row r="159" spans="1:8">
      <c r="A159" s="381"/>
      <c r="B159" s="76"/>
      <c r="C159" s="76"/>
      <c r="D159" s="76"/>
      <c r="E159" s="76"/>
      <c r="F159" s="76"/>
      <c r="G159" s="382"/>
      <c r="H159" s="76"/>
    </row>
    <row r="160" spans="1:8">
      <c r="A160" s="381"/>
      <c r="B160" s="635" t="s">
        <v>183</v>
      </c>
      <c r="C160" s="331">
        <f>VLOOKUP(G158,'1_1'!$A$12:$C$40,2,0)</f>
        <v>1243</v>
      </c>
      <c r="D160" s="76"/>
      <c r="E160" s="635" t="s">
        <v>184</v>
      </c>
      <c r="F160" s="102">
        <f>DSUM('1_1'!A$12:J$40,'1_1'!$J$12,G157:G158)</f>
        <v>0.25168840666879905</v>
      </c>
      <c r="G160" s="382"/>
      <c r="H160" s="76"/>
    </row>
    <row r="161" spans="1:8">
      <c r="A161" s="381"/>
      <c r="B161" s="635" t="s">
        <v>185</v>
      </c>
      <c r="C161" s="374">
        <v>13</v>
      </c>
      <c r="D161" s="76"/>
      <c r="E161" s="635" t="s">
        <v>186</v>
      </c>
      <c r="F161" s="368" t="str">
        <f>IF(VLOOKUP(G158,'1_1'!$A$12:$D$40,4,0)=2,"Eventual 80%","Definitivo 100%")</f>
        <v>Eventual 80%</v>
      </c>
      <c r="G161" s="382"/>
      <c r="H161" s="76"/>
    </row>
    <row r="162" spans="1:8">
      <c r="A162" s="381"/>
      <c r="B162" s="635" t="s">
        <v>187</v>
      </c>
      <c r="C162" s="375">
        <f>DSUM('1_1'!$A$12:$H$40,'1_1'!$H$12,G157:G158)</f>
        <v>17.321920000000002</v>
      </c>
      <c r="D162" s="76"/>
      <c r="E162" s="635" t="s">
        <v>188</v>
      </c>
      <c r="F162" s="369" t="str">
        <f>+Hijuelas!$G$5</f>
        <v>fracción</v>
      </c>
      <c r="G162" s="384"/>
      <c r="H162" s="76"/>
    </row>
    <row r="163" spans="1:8" ht="15.75">
      <c r="A163" s="381"/>
      <c r="B163" s="76"/>
      <c r="C163" s="635" t="s">
        <v>189</v>
      </c>
      <c r="D163" s="107">
        <f>DMIN('1_1'!A$12:K$40,'1_1'!$K$12,G157:G158)</f>
        <v>0</v>
      </c>
      <c r="E163" s="127" t="str">
        <f>IF(F163=1,"Domingo",IF(F163=2,"Lunes",IF(F163=3,"Martes",IF(F163=4,"Miercoles",IF(F163=5,"Jueves",IF(F163=6,"Viernes",IF(F163=7,"Sábado",0)))))))</f>
        <v>Sábado</v>
      </c>
      <c r="F163" s="128">
        <f>WEEKDAY(D163)</f>
        <v>7</v>
      </c>
      <c r="G163" s="385" t="s">
        <v>70</v>
      </c>
      <c r="H163" s="76"/>
    </row>
    <row r="164" spans="1:8" ht="15.75">
      <c r="A164" s="381"/>
      <c r="B164" s="76"/>
      <c r="C164" s="635" t="s">
        <v>190</v>
      </c>
      <c r="D164" s="107">
        <f>DMAX('1_1'!A$12:L$40,'1_1'!$L$12,G157:G158)</f>
        <v>0</v>
      </c>
      <c r="E164" s="127" t="str">
        <f>IF(F164=1,"Domingo",IF(F164=2,"Lunes",IF(F164=3,"Martes",IF(F164=4,"Miercoles",IF(F164=5,"Jueves",IF(F164=6,"Viernes",IF(F164=7,"Sábado",0)))))))</f>
        <v>Sábado</v>
      </c>
      <c r="F164" s="128">
        <f>WEEKDAY(D164)</f>
        <v>7</v>
      </c>
      <c r="G164" s="385">
        <f>WEEKDAY(D164)</f>
        <v>7</v>
      </c>
      <c r="H164" s="76"/>
    </row>
    <row r="165" spans="1:8">
      <c r="A165" s="381"/>
      <c r="B165" s="76"/>
      <c r="C165" s="76"/>
      <c r="D165" s="76"/>
      <c r="E165" s="76"/>
      <c r="F165" s="106"/>
      <c r="G165" s="384"/>
      <c r="H165" s="76"/>
    </row>
    <row r="166" spans="1:8">
      <c r="A166" s="381"/>
      <c r="B166" s="108" t="str">
        <f>+Mensajes!$B$7</f>
        <v>PARA CUALQUIER MODIFICACION EN EL CUADRO DE TURNO COMUNIQUESE CON SU TOMERO</v>
      </c>
      <c r="C166" s="76"/>
      <c r="D166" s="76"/>
      <c r="E166" s="76"/>
      <c r="F166" s="76"/>
      <c r="G166" s="382"/>
      <c r="H166" s="76"/>
    </row>
    <row r="167" spans="1:8">
      <c r="A167" s="381"/>
      <c r="B167" s="108" t="str">
        <f>+Mensajes!$B$12</f>
        <v>Recuerde que con 1 (una) cuotas vigentes impagas se restringirá el servicio.</v>
      </c>
      <c r="C167" s="76"/>
      <c r="D167" s="76"/>
      <c r="E167" s="76"/>
      <c r="F167" s="76"/>
      <c r="G167" s="382"/>
      <c r="H167" s="76"/>
    </row>
    <row r="168" spans="1:8">
      <c r="A168" s="381"/>
      <c r="B168" s="108"/>
      <c r="C168" s="76"/>
      <c r="D168" s="76"/>
      <c r="E168" s="76"/>
      <c r="F168" s="76"/>
      <c r="G168" s="382"/>
      <c r="H168" s="76"/>
    </row>
    <row r="169" spans="1:8" ht="13.5" thickBot="1">
      <c r="A169" s="386"/>
      <c r="B169" s="387" t="str">
        <f>IF(DSUM('2_1'!$A$12:$P$20,16,G157:G158)=COUNTIF('2_1'!$A$12:$A$20,G158),"","Regularice su Deuda")</f>
        <v/>
      </c>
      <c r="C169" s="326"/>
      <c r="D169" s="326"/>
      <c r="E169" s="326"/>
      <c r="F169" s="326"/>
      <c r="G169" s="388"/>
      <c r="H169" s="76"/>
    </row>
    <row r="170" spans="1:8" ht="13.5" thickBot="1"/>
    <row r="171" spans="1:8">
      <c r="A171" s="378"/>
      <c r="B171" s="379"/>
      <c r="C171" s="379"/>
      <c r="D171" s="379"/>
      <c r="E171" s="379"/>
      <c r="F171" s="379"/>
      <c r="G171" s="380"/>
      <c r="H171" s="76"/>
    </row>
    <row r="172" spans="1:8">
      <c r="A172" s="381"/>
      <c r="B172" s="109" t="str">
        <f>+'2_1'!$C$2</f>
        <v>CUADRO DE TURNO SAN PEDRO Y SAN PABLO</v>
      </c>
      <c r="C172" s="76"/>
      <c r="D172" s="76"/>
      <c r="E172" s="76"/>
      <c r="F172" s="76"/>
      <c r="G172" s="382"/>
      <c r="H172" s="76"/>
    </row>
    <row r="173" spans="1:8">
      <c r="A173" s="381"/>
      <c r="B173" s="76"/>
      <c r="C173" s="76"/>
      <c r="D173" s="76"/>
      <c r="E173" s="76"/>
      <c r="F173" s="76"/>
      <c r="G173" s="382"/>
      <c r="H173" s="76"/>
    </row>
    <row r="174" spans="1:8">
      <c r="A174" s="381"/>
      <c r="B174" s="76" t="s">
        <v>182</v>
      </c>
      <c r="C174" s="76" t="str">
        <f>VLOOKUP(G175,'1_1'!$A$12:$G$40,7,0)</f>
        <v>MASCHKE, MIGUEL ANGEL BERNABE</v>
      </c>
      <c r="D174" s="76"/>
      <c r="E174" s="76"/>
      <c r="F174" s="76"/>
      <c r="G174" s="383" t="s">
        <v>134</v>
      </c>
      <c r="H174" s="76"/>
    </row>
    <row r="175" spans="1:8">
      <c r="A175" s="381"/>
      <c r="B175" s="76" t="s">
        <v>91</v>
      </c>
      <c r="C175" s="76">
        <f>+'1_1'!H172</f>
        <v>0</v>
      </c>
      <c r="D175" s="76"/>
      <c r="E175" s="76"/>
      <c r="F175" s="76"/>
      <c r="G175" s="383">
        <v>11</v>
      </c>
      <c r="H175" s="76"/>
    </row>
    <row r="176" spans="1:8">
      <c r="A176" s="381"/>
      <c r="B176" s="76"/>
      <c r="C176" s="76"/>
      <c r="D176" s="76"/>
      <c r="E176" s="76"/>
      <c r="F176" s="76"/>
      <c r="G176" s="382"/>
      <c r="H176" s="76"/>
    </row>
    <row r="177" spans="1:8">
      <c r="A177" s="381"/>
      <c r="B177" s="635" t="s">
        <v>183</v>
      </c>
      <c r="C177" s="331">
        <f>VLOOKUP(G175,'1_1'!$A$12:$C$40,2,0)</f>
        <v>1243</v>
      </c>
      <c r="D177" s="76"/>
      <c r="E177" s="635" t="s">
        <v>184</v>
      </c>
      <c r="F177" s="102">
        <f>DSUM('1_1'!A$12:J$40,'1_1'!$J$12,G174:G175)</f>
        <v>0.26208959943667887</v>
      </c>
      <c r="G177" s="382"/>
      <c r="H177" s="76"/>
    </row>
    <row r="178" spans="1:8">
      <c r="A178" s="381"/>
      <c r="B178" s="635" t="s">
        <v>185</v>
      </c>
      <c r="C178" s="374">
        <v>14</v>
      </c>
      <c r="D178" s="76"/>
      <c r="E178" s="635" t="s">
        <v>186</v>
      </c>
      <c r="F178" s="368" t="str">
        <f>IF(VLOOKUP(G175,'1_1'!$A$12:$D$40,4,0)=2,"Eventual 80%","Definitivo 100%")</f>
        <v>Eventual 80%</v>
      </c>
      <c r="G178" s="382"/>
      <c r="H178" s="76"/>
    </row>
    <row r="179" spans="1:8">
      <c r="A179" s="381"/>
      <c r="B179" s="635" t="s">
        <v>187</v>
      </c>
      <c r="C179" s="375">
        <f>DSUM('1_1'!$A$12:$H$40,'1_1'!$H$12,G174:G175)</f>
        <v>18.037759999999999</v>
      </c>
      <c r="D179" s="76"/>
      <c r="E179" s="635" t="s">
        <v>188</v>
      </c>
      <c r="F179" s="369" t="str">
        <f>+Hijuelas!$G$5</f>
        <v>fracción</v>
      </c>
      <c r="G179" s="384"/>
      <c r="H179" s="76"/>
    </row>
    <row r="180" spans="1:8" ht="15.75">
      <c r="A180" s="381"/>
      <c r="B180" s="76"/>
      <c r="C180" s="635" t="s">
        <v>189</v>
      </c>
      <c r="D180" s="107">
        <f>DMIN('1_1'!A$12:K$40,'1_1'!$K$12,G174:G175)</f>
        <v>0</v>
      </c>
      <c r="E180" s="127" t="str">
        <f>IF(F180=1,"Domingo",IF(F180=2,"Lunes",IF(F180=3,"Martes",IF(F180=4,"Miercoles",IF(F180=5,"Jueves",IF(F180=6,"Viernes",IF(F180=7,"Sábado",0)))))))</f>
        <v>Sábado</v>
      </c>
      <c r="F180" s="128">
        <f>WEEKDAY(D180)</f>
        <v>7</v>
      </c>
      <c r="G180" s="385" t="s">
        <v>70</v>
      </c>
      <c r="H180" s="76"/>
    </row>
    <row r="181" spans="1:8" ht="15.75">
      <c r="A181" s="381"/>
      <c r="B181" s="76"/>
      <c r="C181" s="635" t="s">
        <v>190</v>
      </c>
      <c r="D181" s="107">
        <f>DMAX('1_1'!A$12:L$40,'1_1'!$L$12,G174:G175)</f>
        <v>0</v>
      </c>
      <c r="E181" s="127" t="str">
        <f>IF(F181=1,"Domingo",IF(F181=2,"Lunes",IF(F181=3,"Martes",IF(F181=4,"Miercoles",IF(F181=5,"Jueves",IF(F181=6,"Viernes",IF(F181=7,"Sábado",0)))))))</f>
        <v>Sábado</v>
      </c>
      <c r="F181" s="128">
        <f>WEEKDAY(D181)</f>
        <v>7</v>
      </c>
      <c r="G181" s="385">
        <f>WEEKDAY(D181)</f>
        <v>7</v>
      </c>
      <c r="H181" s="76"/>
    </row>
    <row r="182" spans="1:8">
      <c r="A182" s="381"/>
      <c r="B182" s="76"/>
      <c r="C182" s="76"/>
      <c r="D182" s="76"/>
      <c r="E182" s="76"/>
      <c r="F182" s="106"/>
      <c r="G182" s="384"/>
      <c r="H182" s="76"/>
    </row>
    <row r="183" spans="1:8">
      <c r="A183" s="381"/>
      <c r="B183" s="108" t="str">
        <f>+Mensajes!$B$7</f>
        <v>PARA CUALQUIER MODIFICACION EN EL CUADRO DE TURNO COMUNIQUESE CON SU TOMERO</v>
      </c>
      <c r="C183" s="76"/>
      <c r="D183" s="76"/>
      <c r="E183" s="76"/>
      <c r="F183" s="76"/>
      <c r="G183" s="382"/>
      <c r="H183" s="76"/>
    </row>
    <row r="184" spans="1:8">
      <c r="A184" s="381"/>
      <c r="B184" s="108" t="str">
        <f>+Mensajes!$B$12</f>
        <v>Recuerde que con 1 (una) cuotas vigentes impagas se restringirá el servicio.</v>
      </c>
      <c r="C184" s="76"/>
      <c r="D184" s="76"/>
      <c r="E184" s="76"/>
      <c r="F184" s="76"/>
      <c r="G184" s="382"/>
      <c r="H184" s="76"/>
    </row>
    <row r="185" spans="1:8">
      <c r="A185" s="381"/>
      <c r="B185" s="108"/>
      <c r="C185" s="76"/>
      <c r="D185" s="76"/>
      <c r="E185" s="76"/>
      <c r="F185" s="76"/>
      <c r="G185" s="382"/>
      <c r="H185" s="76"/>
    </row>
    <row r="186" spans="1:8" ht="13.5" thickBot="1">
      <c r="A186" s="386"/>
      <c r="B186" s="387" t="str">
        <f>IF(DSUM('2_1'!$A$12:$P$20,16,G174:G175)=COUNTIF('2_1'!$A$12:$A$20,G175),"","Regularice su Deuda")</f>
        <v/>
      </c>
      <c r="C186" s="326"/>
      <c r="D186" s="326"/>
      <c r="E186" s="326"/>
      <c r="F186" s="326"/>
      <c r="G186" s="388"/>
      <c r="H186" s="76"/>
    </row>
    <row r="187" spans="1:8" ht="13.5" thickBot="1"/>
    <row r="188" spans="1:8">
      <c r="A188" s="378"/>
      <c r="B188" s="379"/>
      <c r="C188" s="379"/>
      <c r="D188" s="379"/>
      <c r="E188" s="379"/>
      <c r="F188" s="379"/>
      <c r="G188" s="380"/>
      <c r="H188" s="76"/>
    </row>
    <row r="189" spans="1:8">
      <c r="A189" s="381"/>
      <c r="B189" s="109" t="str">
        <f>+'2_1'!$C$2</f>
        <v>CUADRO DE TURNO SAN PEDRO Y SAN PABLO</v>
      </c>
      <c r="C189" s="76"/>
      <c r="D189" s="76"/>
      <c r="E189" s="76"/>
      <c r="F189" s="76"/>
      <c r="G189" s="382"/>
      <c r="H189" s="76"/>
    </row>
    <row r="190" spans="1:8">
      <c r="A190" s="381"/>
      <c r="B190" s="76"/>
      <c r="C190" s="76"/>
      <c r="D190" s="76"/>
      <c r="E190" s="76"/>
      <c r="F190" s="76"/>
      <c r="G190" s="382"/>
      <c r="H190" s="76"/>
    </row>
    <row r="191" spans="1:8">
      <c r="A191" s="381"/>
      <c r="B191" s="76" t="s">
        <v>182</v>
      </c>
      <c r="C191" s="76" t="str">
        <f>VLOOKUP(G192,'1_1'!$A$12:$G$40,7,0)</f>
        <v>CRISPIN ALBIS CRUZ, NORMA HUANCA Y ALBIS CRUZ, JOAQUIN</v>
      </c>
      <c r="D191" s="76"/>
      <c r="E191" s="76"/>
      <c r="F191" s="76"/>
      <c r="G191" s="383" t="s">
        <v>134</v>
      </c>
      <c r="H191" s="76"/>
    </row>
    <row r="192" spans="1:8">
      <c r="A192" s="381"/>
      <c r="B192" s="76" t="s">
        <v>91</v>
      </c>
      <c r="C192" s="76">
        <f>+'1_1'!H189</f>
        <v>0</v>
      </c>
      <c r="D192" s="76"/>
      <c r="E192" s="76"/>
      <c r="F192" s="76"/>
      <c r="G192" s="383">
        <v>12</v>
      </c>
      <c r="H192" s="76"/>
    </row>
    <row r="193" spans="1:8">
      <c r="A193" s="381"/>
      <c r="B193" s="76"/>
      <c r="C193" s="76"/>
      <c r="D193" s="76"/>
      <c r="E193" s="76"/>
      <c r="F193" s="76"/>
      <c r="G193" s="382"/>
      <c r="H193" s="76"/>
    </row>
    <row r="194" spans="1:8">
      <c r="A194" s="381"/>
      <c r="B194" s="635" t="s">
        <v>183</v>
      </c>
      <c r="C194" s="331">
        <f>VLOOKUP(G192,'1_1'!$A$12:$C$40,2,0)</f>
        <v>1243</v>
      </c>
      <c r="D194" s="76"/>
      <c r="E194" s="635" t="s">
        <v>184</v>
      </c>
      <c r="F194" s="102">
        <f>DSUM('1_1'!A$12:J$40,'1_1'!$J$12,G191:G192)</f>
        <v>0.10306340585284958</v>
      </c>
      <c r="G194" s="382"/>
      <c r="H194" s="76"/>
    </row>
    <row r="195" spans="1:8">
      <c r="A195" s="381"/>
      <c r="B195" s="635" t="s">
        <v>185</v>
      </c>
      <c r="C195" s="374">
        <v>15</v>
      </c>
      <c r="D195" s="76"/>
      <c r="E195" s="635" t="s">
        <v>186</v>
      </c>
      <c r="F195" s="368" t="str">
        <f>IF(VLOOKUP(G192,'1_1'!$A$12:$D$40,4,0)=2,"Eventual 80%","Definitivo 100%")</f>
        <v>Eventual 80%</v>
      </c>
      <c r="G195" s="382"/>
      <c r="H195" s="76"/>
    </row>
    <row r="196" spans="1:8">
      <c r="A196" s="381"/>
      <c r="B196" s="635" t="s">
        <v>187</v>
      </c>
      <c r="C196" s="375">
        <f>DSUM('1_1'!$A$12:$H$40,'1_1'!$H$12,G191:G192)</f>
        <v>7.0931200000000008</v>
      </c>
      <c r="D196" s="76"/>
      <c r="E196" s="635" t="s">
        <v>188</v>
      </c>
      <c r="F196" s="369" t="str">
        <f>+Hijuelas!$G$5</f>
        <v>fracción</v>
      </c>
      <c r="G196" s="384"/>
      <c r="H196" s="76"/>
    </row>
    <row r="197" spans="1:8" ht="15.75">
      <c r="A197" s="381"/>
      <c r="B197" s="76"/>
      <c r="C197" s="635" t="s">
        <v>189</v>
      </c>
      <c r="D197" s="107">
        <f>DMIN('1_1'!A$12:K$40,'1_1'!$K$12,G191:G192)</f>
        <v>0</v>
      </c>
      <c r="E197" s="127" t="str">
        <f>IF(F197=1,"Domingo",IF(F197=2,"Lunes",IF(F197=3,"Martes",IF(F197=4,"Miercoles",IF(F197=5,"Jueves",IF(F197=6,"Viernes",IF(F197=7,"Sábado",0)))))))</f>
        <v>Sábado</v>
      </c>
      <c r="F197" s="128">
        <f>WEEKDAY(D197)</f>
        <v>7</v>
      </c>
      <c r="G197" s="385" t="s">
        <v>70</v>
      </c>
      <c r="H197" s="76"/>
    </row>
    <row r="198" spans="1:8" ht="15.75">
      <c r="A198" s="381"/>
      <c r="B198" s="76"/>
      <c r="C198" s="635" t="s">
        <v>190</v>
      </c>
      <c r="D198" s="107">
        <f>DMAX('1_1'!A$12:L$40,'1_1'!$L$12,G191:G192)</f>
        <v>0</v>
      </c>
      <c r="E198" s="127" t="str">
        <f>IF(F198=1,"Domingo",IF(F198=2,"Lunes",IF(F198=3,"Martes",IF(F198=4,"Miercoles",IF(F198=5,"Jueves",IF(F198=6,"Viernes",IF(F198=7,"Sábado",0)))))))</f>
        <v>Sábado</v>
      </c>
      <c r="F198" s="128">
        <f>WEEKDAY(D198)</f>
        <v>7</v>
      </c>
      <c r="G198" s="385">
        <f>WEEKDAY(D198)</f>
        <v>7</v>
      </c>
      <c r="H198" s="76"/>
    </row>
    <row r="199" spans="1:8">
      <c r="A199" s="381"/>
      <c r="B199" s="76"/>
      <c r="C199" s="76"/>
      <c r="D199" s="76"/>
      <c r="E199" s="76"/>
      <c r="F199" s="106"/>
      <c r="G199" s="384"/>
      <c r="H199" s="76"/>
    </row>
    <row r="200" spans="1:8">
      <c r="A200" s="381"/>
      <c r="B200" s="108" t="str">
        <f>+Mensajes!$B$7</f>
        <v>PARA CUALQUIER MODIFICACION EN EL CUADRO DE TURNO COMUNIQUESE CON SU TOMERO</v>
      </c>
      <c r="C200" s="76"/>
      <c r="D200" s="76"/>
      <c r="E200" s="76"/>
      <c r="F200" s="76"/>
      <c r="G200" s="382"/>
      <c r="H200" s="76"/>
    </row>
    <row r="201" spans="1:8">
      <c r="A201" s="381"/>
      <c r="B201" s="108" t="str">
        <f>+Mensajes!$B$12</f>
        <v>Recuerde que con 1 (una) cuotas vigentes impagas se restringirá el servicio.</v>
      </c>
      <c r="C201" s="76"/>
      <c r="D201" s="76"/>
      <c r="E201" s="76"/>
      <c r="F201" s="76"/>
      <c r="G201" s="382"/>
      <c r="H201" s="76"/>
    </row>
    <row r="202" spans="1:8">
      <c r="A202" s="381"/>
      <c r="B202" s="108"/>
      <c r="C202" s="76"/>
      <c r="D202" s="76"/>
      <c r="E202" s="76"/>
      <c r="F202" s="76"/>
      <c r="G202" s="382"/>
      <c r="H202" s="76"/>
    </row>
    <row r="203" spans="1:8" ht="13.5" thickBot="1">
      <c r="A203" s="386"/>
      <c r="B203" s="387" t="str">
        <f>IF(DSUM('2_1'!$A$12:$P$20,16,G191:G192)=COUNTIF('2_1'!$A$12:$A$20,G192),"","Regularice su Deuda")</f>
        <v/>
      </c>
      <c r="C203" s="326"/>
      <c r="D203" s="326"/>
      <c r="E203" s="326"/>
      <c r="F203" s="326"/>
      <c r="G203" s="388"/>
      <c r="H203" s="76"/>
    </row>
    <row r="204" spans="1:8" ht="13.5" thickBot="1"/>
    <row r="205" spans="1:8">
      <c r="A205" s="378"/>
      <c r="B205" s="379"/>
      <c r="C205" s="379"/>
      <c r="D205" s="379"/>
      <c r="E205" s="379"/>
      <c r="F205" s="379"/>
      <c r="G205" s="380"/>
      <c r="H205" s="76"/>
    </row>
    <row r="206" spans="1:8">
      <c r="A206" s="381"/>
      <c r="B206" s="109" t="str">
        <f>+'2_1'!$C$2</f>
        <v>CUADRO DE TURNO SAN PEDRO Y SAN PABLO</v>
      </c>
      <c r="C206" s="76"/>
      <c r="D206" s="76"/>
      <c r="E206" s="76"/>
      <c r="F206" s="76"/>
      <c r="G206" s="382"/>
      <c r="H206" s="76"/>
    </row>
    <row r="207" spans="1:8">
      <c r="A207" s="381"/>
      <c r="B207" s="76"/>
      <c r="C207" s="76"/>
      <c r="D207" s="76"/>
      <c r="E207" s="76"/>
      <c r="F207" s="76"/>
      <c r="G207" s="382"/>
      <c r="H207" s="76"/>
    </row>
    <row r="208" spans="1:8">
      <c r="A208" s="381"/>
      <c r="B208" s="76" t="s">
        <v>182</v>
      </c>
      <c r="C208" s="76" t="str">
        <f>VLOOKUP(G209,'1_1'!$A$12:$G$40,7,0)</f>
        <v>CALDENTEY PATRICIO</v>
      </c>
      <c r="D208" s="76"/>
      <c r="E208" s="76"/>
      <c r="F208" s="76"/>
      <c r="G208" s="383" t="s">
        <v>134</v>
      </c>
      <c r="H208" s="76"/>
    </row>
    <row r="209" spans="1:8">
      <c r="A209" s="381"/>
      <c r="B209" s="76" t="s">
        <v>91</v>
      </c>
      <c r="C209" s="76">
        <f>+'1_1'!H206</f>
        <v>0</v>
      </c>
      <c r="D209" s="76"/>
      <c r="E209" s="76"/>
      <c r="F209" s="76"/>
      <c r="G209" s="383">
        <v>13</v>
      </c>
      <c r="H209" s="76"/>
    </row>
    <row r="210" spans="1:8">
      <c r="A210" s="381"/>
      <c r="B210" s="76"/>
      <c r="C210" s="76"/>
      <c r="D210" s="76"/>
      <c r="E210" s="76"/>
      <c r="F210" s="76"/>
      <c r="G210" s="382"/>
      <c r="H210" s="76"/>
    </row>
    <row r="211" spans="1:8">
      <c r="A211" s="381"/>
      <c r="B211" s="635" t="s">
        <v>183</v>
      </c>
      <c r="C211" s="331">
        <f>VLOOKUP(G209,'1_1'!$A$12:$C$40,2,0)</f>
        <v>1243</v>
      </c>
      <c r="D211" s="76"/>
      <c r="E211" s="635" t="s">
        <v>184</v>
      </c>
      <c r="F211" s="102">
        <f>DSUM('1_1'!A$12:J$40,'1_1'!$J$12,G208:G209)</f>
        <v>5.8117885114936978E-2</v>
      </c>
      <c r="G211" s="382"/>
      <c r="H211" s="76"/>
    </row>
    <row r="212" spans="1:8">
      <c r="A212" s="381"/>
      <c r="B212" s="635" t="s">
        <v>185</v>
      </c>
      <c r="C212" s="374">
        <v>16</v>
      </c>
      <c r="D212" s="76"/>
      <c r="E212" s="635" t="s">
        <v>186</v>
      </c>
      <c r="F212" s="368" t="str">
        <f>IF(VLOOKUP(G209,'1_1'!$A$12:$D$40,4,0)=2,"Eventual 80%","Definitivo 100%")</f>
        <v>Eventual 80%</v>
      </c>
      <c r="G212" s="382"/>
      <c r="H212" s="76"/>
    </row>
    <row r="213" spans="1:8">
      <c r="A213" s="381"/>
      <c r="B213" s="635" t="s">
        <v>187</v>
      </c>
      <c r="C213" s="375">
        <f>DSUM('1_1'!$A$12:$H$40,'1_1'!$H$12,G208:G209)</f>
        <v>3.9998399999999998</v>
      </c>
      <c r="D213" s="76"/>
      <c r="E213" s="635" t="s">
        <v>188</v>
      </c>
      <c r="F213" s="369" t="str">
        <f>+Hijuelas!$G$5</f>
        <v>fracción</v>
      </c>
      <c r="G213" s="384"/>
      <c r="H213" s="76"/>
    </row>
    <row r="214" spans="1:8" ht="15.75">
      <c r="A214" s="381"/>
      <c r="B214" s="76"/>
      <c r="C214" s="635" t="s">
        <v>189</v>
      </c>
      <c r="D214" s="107">
        <f>DMIN('1_1'!A$12:K$40,'1_1'!$K$12,G208:G209)</f>
        <v>0</v>
      </c>
      <c r="E214" s="127" t="str">
        <f>IF(F214=1,"Domingo",IF(F214=2,"Lunes",IF(F214=3,"Martes",IF(F214=4,"Miercoles",IF(F214=5,"Jueves",IF(F214=6,"Viernes",IF(F214=7,"Sábado",0)))))))</f>
        <v>Sábado</v>
      </c>
      <c r="F214" s="128">
        <f>WEEKDAY(D214)</f>
        <v>7</v>
      </c>
      <c r="G214" s="385" t="s">
        <v>70</v>
      </c>
      <c r="H214" s="76"/>
    </row>
    <row r="215" spans="1:8" ht="15.75">
      <c r="A215" s="381"/>
      <c r="B215" s="76"/>
      <c r="C215" s="635" t="s">
        <v>190</v>
      </c>
      <c r="D215" s="107">
        <f>DMAX('1_1'!A$12:L$40,'1_1'!$L$12,G208:G209)</f>
        <v>0</v>
      </c>
      <c r="E215" s="127" t="str">
        <f>IF(F215=1,"Domingo",IF(F215=2,"Lunes",IF(F215=3,"Martes",IF(F215=4,"Miercoles",IF(F215=5,"Jueves",IF(F215=6,"Viernes",IF(F215=7,"Sábado",0)))))))</f>
        <v>Sábado</v>
      </c>
      <c r="F215" s="128">
        <f>WEEKDAY(D215)</f>
        <v>7</v>
      </c>
      <c r="G215" s="385">
        <f>WEEKDAY(D215)</f>
        <v>7</v>
      </c>
      <c r="H215" s="76"/>
    </row>
    <row r="216" spans="1:8">
      <c r="A216" s="381"/>
      <c r="B216" s="76"/>
      <c r="C216" s="76"/>
      <c r="D216" s="76"/>
      <c r="E216" s="76"/>
      <c r="F216" s="106"/>
      <c r="G216" s="384"/>
      <c r="H216" s="76"/>
    </row>
    <row r="217" spans="1:8">
      <c r="A217" s="381"/>
      <c r="B217" s="108" t="str">
        <f>+Mensajes!$B$7</f>
        <v>PARA CUALQUIER MODIFICACION EN EL CUADRO DE TURNO COMUNIQUESE CON SU TOMERO</v>
      </c>
      <c r="C217" s="76"/>
      <c r="D217" s="76"/>
      <c r="E217" s="76"/>
      <c r="F217" s="76"/>
      <c r="G217" s="382"/>
      <c r="H217" s="76"/>
    </row>
    <row r="218" spans="1:8">
      <c r="A218" s="381"/>
      <c r="B218" s="108" t="str">
        <f>+Mensajes!$B$12</f>
        <v>Recuerde que con 1 (una) cuotas vigentes impagas se restringirá el servicio.</v>
      </c>
      <c r="C218" s="76"/>
      <c r="D218" s="76"/>
      <c r="E218" s="76"/>
      <c r="F218" s="76"/>
      <c r="G218" s="382"/>
      <c r="H218" s="76"/>
    </row>
    <row r="219" spans="1:8">
      <c r="A219" s="381"/>
      <c r="B219" s="108"/>
      <c r="C219" s="76"/>
      <c r="D219" s="76"/>
      <c r="E219" s="76"/>
      <c r="F219" s="76"/>
      <c r="G219" s="382"/>
      <c r="H219" s="76"/>
    </row>
    <row r="220" spans="1:8" ht="13.5" thickBot="1">
      <c r="A220" s="386"/>
      <c r="B220" s="387" t="str">
        <f>IF(DSUM('2_1'!$A$12:$P$20,16,G208:G209)=COUNTIF('2_1'!$A$12:$A$20,G209),"","Regularice su Deuda")</f>
        <v/>
      </c>
      <c r="C220" s="326"/>
      <c r="D220" s="326"/>
      <c r="E220" s="326"/>
      <c r="F220" s="326"/>
      <c r="G220" s="388"/>
      <c r="H220" s="76"/>
    </row>
    <row r="221" spans="1:8" ht="13.5" thickBot="1"/>
    <row r="222" spans="1:8">
      <c r="A222" s="378"/>
      <c r="B222" s="379"/>
      <c r="C222" s="379"/>
      <c r="D222" s="379"/>
      <c r="E222" s="379"/>
      <c r="F222" s="379"/>
      <c r="G222" s="380"/>
      <c r="H222" s="76"/>
    </row>
    <row r="223" spans="1:8">
      <c r="A223" s="381"/>
      <c r="B223" s="109" t="str">
        <f>+'2_1'!$C$2</f>
        <v>CUADRO DE TURNO SAN PEDRO Y SAN PABLO</v>
      </c>
      <c r="C223" s="76"/>
      <c r="D223" s="76"/>
      <c r="E223" s="76"/>
      <c r="F223" s="76"/>
      <c r="G223" s="382"/>
      <c r="H223" s="76"/>
    </row>
    <row r="224" spans="1:8">
      <c r="A224" s="381"/>
      <c r="B224" s="76"/>
      <c r="C224" s="76"/>
      <c r="D224" s="76"/>
      <c r="E224" s="76"/>
      <c r="F224" s="76"/>
      <c r="G224" s="382"/>
      <c r="H224" s="76"/>
    </row>
    <row r="225" spans="1:8">
      <c r="A225" s="381"/>
      <c r="B225" s="76" t="s">
        <v>182</v>
      </c>
      <c r="C225" s="76" t="str">
        <f>VLOOKUP(G226,'1_1'!$A$12:$G$40,7,0)</f>
        <v>SANJURJO, ALDO BENITO</v>
      </c>
      <c r="D225" s="76"/>
      <c r="E225" s="76"/>
      <c r="F225" s="76"/>
      <c r="G225" s="383" t="s">
        <v>134</v>
      </c>
      <c r="H225" s="76"/>
    </row>
    <row r="226" spans="1:8">
      <c r="A226" s="381"/>
      <c r="B226" s="76" t="s">
        <v>91</v>
      </c>
      <c r="C226" s="76">
        <f>+'1_1'!H223</f>
        <v>0</v>
      </c>
      <c r="D226" s="76"/>
      <c r="E226" s="76"/>
      <c r="F226" s="76"/>
      <c r="G226" s="383">
        <v>14</v>
      </c>
      <c r="H226" s="76"/>
    </row>
    <row r="227" spans="1:8">
      <c r="A227" s="381"/>
      <c r="B227" s="76"/>
      <c r="C227" s="76"/>
      <c r="D227" s="76"/>
      <c r="E227" s="76"/>
      <c r="F227" s="76"/>
      <c r="G227" s="382"/>
      <c r="H227" s="76"/>
    </row>
    <row r="228" spans="1:8">
      <c r="A228" s="381"/>
      <c r="B228" s="635" t="s">
        <v>183</v>
      </c>
      <c r="C228" s="331">
        <f>VLOOKUP(G226,'1_1'!$A$12:$C$40,2,0)</f>
        <v>1243</v>
      </c>
      <c r="D228" s="76"/>
      <c r="E228" s="635" t="s">
        <v>184</v>
      </c>
      <c r="F228" s="102">
        <f>DSUM('1_1'!A$12:J$40,'1_1'!$J$12,G225:G226)</f>
        <v>5.6081352959223361E-2</v>
      </c>
      <c r="G228" s="382"/>
      <c r="H228" s="76"/>
    </row>
    <row r="229" spans="1:8">
      <c r="A229" s="381"/>
      <c r="B229" s="635" t="s">
        <v>185</v>
      </c>
      <c r="C229" s="374">
        <v>17</v>
      </c>
      <c r="D229" s="76"/>
      <c r="E229" s="635" t="s">
        <v>186</v>
      </c>
      <c r="F229" s="368" t="str">
        <f>IF(VLOOKUP(G226,'1_1'!$A$12:$D$40,4,0)=2,"Eventual 80%","Definitivo 100%")</f>
        <v>Eventual 80%</v>
      </c>
      <c r="G229" s="382"/>
      <c r="H229" s="76"/>
    </row>
    <row r="230" spans="1:8">
      <c r="A230" s="381"/>
      <c r="B230" s="635" t="s">
        <v>187</v>
      </c>
      <c r="C230" s="375">
        <f>DSUM('1_1'!$A$12:$H$40,'1_1'!$H$12,G225:G226)</f>
        <v>3.8596800000000004</v>
      </c>
      <c r="D230" s="76"/>
      <c r="E230" s="635" t="s">
        <v>188</v>
      </c>
      <c r="F230" s="369" t="str">
        <f>+Hijuelas!$G$5</f>
        <v>fracción</v>
      </c>
      <c r="G230" s="384"/>
      <c r="H230" s="76"/>
    </row>
    <row r="231" spans="1:8" ht="15.75">
      <c r="A231" s="381"/>
      <c r="B231" s="76"/>
      <c r="C231" s="635" t="s">
        <v>189</v>
      </c>
      <c r="D231" s="107">
        <f>DMIN('1_1'!A$12:K$40,'1_1'!$K$12,G225:G226)</f>
        <v>0</v>
      </c>
      <c r="E231" s="127" t="str">
        <f>IF(F231=1,"Domingo",IF(F231=2,"Lunes",IF(F231=3,"Martes",IF(F231=4,"Miercoles",IF(F231=5,"Jueves",IF(F231=6,"Viernes",IF(F231=7,"Sábado",0)))))))</f>
        <v>Sábado</v>
      </c>
      <c r="F231" s="128">
        <f>WEEKDAY(D231)</f>
        <v>7</v>
      </c>
      <c r="G231" s="385" t="s">
        <v>70</v>
      </c>
      <c r="H231" s="76"/>
    </row>
    <row r="232" spans="1:8" ht="15.75">
      <c r="A232" s="381"/>
      <c r="B232" s="76"/>
      <c r="C232" s="635" t="s">
        <v>190</v>
      </c>
      <c r="D232" s="107">
        <f>DMAX('1_1'!A$12:L$40,'1_1'!$L$12,G225:G226)</f>
        <v>0</v>
      </c>
      <c r="E232" s="127" t="str">
        <f>IF(F232=1,"Domingo",IF(F232=2,"Lunes",IF(F232=3,"Martes",IF(F232=4,"Miercoles",IF(F232=5,"Jueves",IF(F232=6,"Viernes",IF(F232=7,"Sábado",0)))))))</f>
        <v>Sábado</v>
      </c>
      <c r="F232" s="128">
        <f>WEEKDAY(D232)</f>
        <v>7</v>
      </c>
      <c r="G232" s="385">
        <f>WEEKDAY(D232)</f>
        <v>7</v>
      </c>
      <c r="H232" s="76"/>
    </row>
    <row r="233" spans="1:8">
      <c r="A233" s="381"/>
      <c r="B233" s="76"/>
      <c r="C233" s="76"/>
      <c r="D233" s="76"/>
      <c r="E233" s="76"/>
      <c r="F233" s="106"/>
      <c r="G233" s="384"/>
      <c r="H233" s="76"/>
    </row>
    <row r="234" spans="1:8">
      <c r="A234" s="381"/>
      <c r="B234" s="108" t="str">
        <f>+Mensajes!$B$7</f>
        <v>PARA CUALQUIER MODIFICACION EN EL CUADRO DE TURNO COMUNIQUESE CON SU TOMERO</v>
      </c>
      <c r="C234" s="76"/>
      <c r="D234" s="76"/>
      <c r="E234" s="76"/>
      <c r="F234" s="76"/>
      <c r="G234" s="382"/>
      <c r="H234" s="76"/>
    </row>
    <row r="235" spans="1:8">
      <c r="A235" s="381"/>
      <c r="B235" s="108" t="str">
        <f>+Mensajes!$B$12</f>
        <v>Recuerde que con 1 (una) cuotas vigentes impagas se restringirá el servicio.</v>
      </c>
      <c r="C235" s="76"/>
      <c r="D235" s="76"/>
      <c r="E235" s="76"/>
      <c r="F235" s="76"/>
      <c r="G235" s="382"/>
      <c r="H235" s="76"/>
    </row>
    <row r="236" spans="1:8">
      <c r="A236" s="381"/>
      <c r="B236" s="108"/>
      <c r="C236" s="76"/>
      <c r="D236" s="76"/>
      <c r="E236" s="76"/>
      <c r="F236" s="76"/>
      <c r="G236" s="382"/>
      <c r="H236" s="76"/>
    </row>
    <row r="237" spans="1:8" ht="13.5" thickBot="1">
      <c r="A237" s="386"/>
      <c r="B237" s="387" t="str">
        <f>IF(DSUM('2_1'!$A$12:$P$20,16,G225:G226)=COUNTIF('2_1'!$A$12:$A$20,G226),"","Regularice su Deuda")</f>
        <v/>
      </c>
      <c r="C237" s="326"/>
      <c r="D237" s="326"/>
      <c r="E237" s="326"/>
      <c r="F237" s="326"/>
      <c r="G237" s="388"/>
      <c r="H237" s="76"/>
    </row>
    <row r="238" spans="1:8" ht="13.5" thickBot="1"/>
    <row r="239" spans="1:8">
      <c r="A239" s="378"/>
      <c r="B239" s="379"/>
      <c r="C239" s="379"/>
      <c r="D239" s="379"/>
      <c r="E239" s="379"/>
      <c r="F239" s="379"/>
      <c r="G239" s="380"/>
      <c r="H239" s="76"/>
    </row>
    <row r="240" spans="1:8">
      <c r="A240" s="381"/>
      <c r="B240" s="109" t="str">
        <f>+'2_1'!$C$2</f>
        <v>CUADRO DE TURNO SAN PEDRO Y SAN PABLO</v>
      </c>
      <c r="C240" s="76"/>
      <c r="D240" s="76"/>
      <c r="E240" s="76"/>
      <c r="F240" s="76"/>
      <c r="G240" s="382"/>
      <c r="H240" s="76"/>
    </row>
    <row r="241" spans="1:8">
      <c r="A241" s="381"/>
      <c r="B241" s="76"/>
      <c r="C241" s="76"/>
      <c r="D241" s="76"/>
      <c r="E241" s="76"/>
      <c r="F241" s="76"/>
      <c r="G241" s="382"/>
      <c r="H241" s="76"/>
    </row>
    <row r="242" spans="1:8">
      <c r="A242" s="381"/>
      <c r="B242" s="76" t="s">
        <v>182</v>
      </c>
      <c r="C242" s="76" t="str">
        <f>VLOOKUP(G243,'1_1'!$A$12:$G$40,7,0)</f>
        <v>SANJURJO, PEDRO HUGO</v>
      </c>
      <c r="D242" s="76"/>
      <c r="E242" s="76"/>
      <c r="F242" s="76"/>
      <c r="G242" s="383" t="s">
        <v>134</v>
      </c>
      <c r="H242" s="76"/>
    </row>
    <row r="243" spans="1:8">
      <c r="A243" s="381"/>
      <c r="B243" s="76" t="s">
        <v>91</v>
      </c>
      <c r="C243" s="76">
        <f>+'1_1'!H240</f>
        <v>0</v>
      </c>
      <c r="D243" s="76"/>
      <c r="E243" s="76"/>
      <c r="F243" s="76"/>
      <c r="G243" s="383">
        <v>15</v>
      </c>
      <c r="H243" s="76"/>
    </row>
    <row r="244" spans="1:8">
      <c r="A244" s="381"/>
      <c r="B244" s="76"/>
      <c r="C244" s="76"/>
      <c r="D244" s="76"/>
      <c r="E244" s="76"/>
      <c r="F244" s="76"/>
      <c r="G244" s="382"/>
      <c r="H244" s="76"/>
    </row>
    <row r="245" spans="1:8">
      <c r="A245" s="381"/>
      <c r="B245" s="635" t="s">
        <v>183</v>
      </c>
      <c r="C245" s="331">
        <f>VLOOKUP(G243,'1_1'!$A$12:$C$40,2,0)</f>
        <v>1243</v>
      </c>
      <c r="D245" s="76"/>
      <c r="E245" s="635" t="s">
        <v>184</v>
      </c>
      <c r="F245" s="102">
        <f>DSUM('1_1'!A$12:J$40,'1_1'!$J$12,G242:G243)</f>
        <v>4.8764018529875629E-2</v>
      </c>
      <c r="G245" s="382"/>
      <c r="H245" s="76"/>
    </row>
    <row r="246" spans="1:8">
      <c r="A246" s="381"/>
      <c r="B246" s="635" t="s">
        <v>185</v>
      </c>
      <c r="C246" s="374">
        <v>18</v>
      </c>
      <c r="D246" s="76"/>
      <c r="E246" s="635" t="s">
        <v>186</v>
      </c>
      <c r="F246" s="368" t="str">
        <f>IF(VLOOKUP(G243,'1_1'!$A$12:$D$40,4,0)=2,"Eventual 80%","Definitivo 100%")</f>
        <v>Eventual 80%</v>
      </c>
      <c r="G246" s="382"/>
      <c r="H246" s="76"/>
    </row>
    <row r="247" spans="1:8">
      <c r="A247" s="381"/>
      <c r="B247" s="635" t="s">
        <v>187</v>
      </c>
      <c r="C247" s="375">
        <f>DSUM('1_1'!$A$12:$H$40,'1_1'!$H$12,G242:G243)</f>
        <v>3.3560800000000004</v>
      </c>
      <c r="D247" s="76"/>
      <c r="E247" s="635" t="s">
        <v>188</v>
      </c>
      <c r="F247" s="369" t="str">
        <f>+Hijuelas!$G$5</f>
        <v>fracción</v>
      </c>
      <c r="G247" s="384"/>
      <c r="H247" s="76"/>
    </row>
    <row r="248" spans="1:8" ht="15.75">
      <c r="A248" s="381"/>
      <c r="B248" s="76"/>
      <c r="C248" s="635" t="s">
        <v>189</v>
      </c>
      <c r="D248" s="107">
        <f>DMIN('1_1'!A$12:K$40,'1_1'!$K$12,G242:G243)</f>
        <v>0</v>
      </c>
      <c r="E248" s="127" t="str">
        <f>IF(F248=1,"Domingo",IF(F248=2,"Lunes",IF(F248=3,"Martes",IF(F248=4,"Miercoles",IF(F248=5,"Jueves",IF(F248=6,"Viernes",IF(F248=7,"Sábado",0)))))))</f>
        <v>Sábado</v>
      </c>
      <c r="F248" s="128">
        <f>WEEKDAY(D248)</f>
        <v>7</v>
      </c>
      <c r="G248" s="385" t="s">
        <v>70</v>
      </c>
      <c r="H248" s="76"/>
    </row>
    <row r="249" spans="1:8" ht="15.75">
      <c r="A249" s="381"/>
      <c r="B249" s="76"/>
      <c r="C249" s="635" t="s">
        <v>190</v>
      </c>
      <c r="D249" s="107">
        <f>DMAX('1_1'!A$12:L$40,'1_1'!$L$12,G242:G243)</f>
        <v>0</v>
      </c>
      <c r="E249" s="127" t="str">
        <f>IF(F249=1,"Domingo",IF(F249=2,"Lunes",IF(F249=3,"Martes",IF(F249=4,"Miercoles",IF(F249=5,"Jueves",IF(F249=6,"Viernes",IF(F249=7,"Sábado",0)))))))</f>
        <v>Sábado</v>
      </c>
      <c r="F249" s="128">
        <f>WEEKDAY(D249)</f>
        <v>7</v>
      </c>
      <c r="G249" s="385">
        <f>WEEKDAY(D249)</f>
        <v>7</v>
      </c>
      <c r="H249" s="76"/>
    </row>
    <row r="250" spans="1:8">
      <c r="A250" s="381"/>
      <c r="B250" s="76"/>
      <c r="C250" s="76"/>
      <c r="D250" s="76"/>
      <c r="E250" s="76"/>
      <c r="F250" s="106"/>
      <c r="G250" s="384"/>
      <c r="H250" s="76"/>
    </row>
    <row r="251" spans="1:8">
      <c r="A251" s="381"/>
      <c r="B251" s="108" t="str">
        <f>+Mensajes!$B$7</f>
        <v>PARA CUALQUIER MODIFICACION EN EL CUADRO DE TURNO COMUNIQUESE CON SU TOMERO</v>
      </c>
      <c r="C251" s="76"/>
      <c r="D251" s="76"/>
      <c r="E251" s="76"/>
      <c r="F251" s="76"/>
      <c r="G251" s="382"/>
      <c r="H251" s="76"/>
    </row>
    <row r="252" spans="1:8">
      <c r="A252" s="381"/>
      <c r="B252" s="108" t="str">
        <f>+Mensajes!$B$12</f>
        <v>Recuerde que con 1 (una) cuotas vigentes impagas se restringirá el servicio.</v>
      </c>
      <c r="C252" s="76"/>
      <c r="D252" s="76"/>
      <c r="E252" s="76"/>
      <c r="F252" s="76"/>
      <c r="G252" s="382"/>
      <c r="H252" s="76"/>
    </row>
    <row r="253" spans="1:8">
      <c r="A253" s="381"/>
      <c r="B253" s="108"/>
      <c r="C253" s="76"/>
      <c r="D253" s="76"/>
      <c r="E253" s="76"/>
      <c r="F253" s="76"/>
      <c r="G253" s="382"/>
      <c r="H253" s="76"/>
    </row>
    <row r="254" spans="1:8" ht="13.5" thickBot="1">
      <c r="A254" s="386"/>
      <c r="B254" s="387" t="str">
        <f>IF(DSUM('2_1'!$A$12:$P$20,16,G242:G243)=COUNTIF('2_1'!$A$12:$A$20,G243),"","Regularice su Deuda")</f>
        <v/>
      </c>
      <c r="C254" s="326"/>
      <c r="D254" s="326"/>
      <c r="E254" s="326"/>
      <c r="F254" s="326"/>
      <c r="G254" s="388"/>
      <c r="H254" s="76"/>
    </row>
    <row r="255" spans="1:8" ht="13.5" thickBot="1"/>
    <row r="256" spans="1:8">
      <c r="A256" s="378"/>
      <c r="B256" s="379"/>
      <c r="C256" s="379"/>
      <c r="D256" s="379"/>
      <c r="E256" s="379"/>
      <c r="F256" s="379"/>
      <c r="G256" s="380"/>
      <c r="H256" s="76"/>
    </row>
    <row r="257" spans="1:8">
      <c r="A257" s="381"/>
      <c r="B257" s="109" t="str">
        <f>+'2_1'!$C$2</f>
        <v>CUADRO DE TURNO SAN PEDRO Y SAN PABLO</v>
      </c>
      <c r="C257" s="76"/>
      <c r="D257" s="76"/>
      <c r="E257" s="76"/>
      <c r="F257" s="76"/>
      <c r="G257" s="382"/>
      <c r="H257" s="76"/>
    </row>
    <row r="258" spans="1:8">
      <c r="A258" s="381"/>
      <c r="B258" s="76"/>
      <c r="C258" s="76"/>
      <c r="D258" s="76"/>
      <c r="E258" s="76"/>
      <c r="F258" s="76"/>
      <c r="G258" s="382"/>
      <c r="H258" s="76"/>
    </row>
    <row r="259" spans="1:8">
      <c r="A259" s="381"/>
      <c r="B259" s="76" t="s">
        <v>182</v>
      </c>
      <c r="C259" s="76" t="str">
        <f>VLOOKUP(G260,'1_1'!$A$12:$G$40,7,0)</f>
        <v xml:space="preserve">MANRESA DE GOMEZ, CATALINA </v>
      </c>
      <c r="D259" s="76"/>
      <c r="E259" s="76"/>
      <c r="F259" s="76"/>
      <c r="G259" s="383" t="s">
        <v>134</v>
      </c>
      <c r="H259" s="76"/>
    </row>
    <row r="260" spans="1:8">
      <c r="A260" s="381"/>
      <c r="B260" s="76" t="s">
        <v>91</v>
      </c>
      <c r="C260" s="76">
        <f>+'1_1'!H257</f>
        <v>0</v>
      </c>
      <c r="D260" s="76"/>
      <c r="E260" s="76"/>
      <c r="F260" s="76"/>
      <c r="G260" s="383">
        <v>16</v>
      </c>
      <c r="H260" s="76"/>
    </row>
    <row r="261" spans="1:8">
      <c r="A261" s="381"/>
      <c r="B261" s="76"/>
      <c r="C261" s="76"/>
      <c r="D261" s="76"/>
      <c r="E261" s="76"/>
      <c r="F261" s="76"/>
      <c r="G261" s="382"/>
      <c r="H261" s="76"/>
    </row>
    <row r="262" spans="1:8">
      <c r="A262" s="381"/>
      <c r="B262" s="635" t="s">
        <v>183</v>
      </c>
      <c r="C262" s="331">
        <f>VLOOKUP(G260,'1_1'!$A$12:$C$40,2,0)</f>
        <v>1243</v>
      </c>
      <c r="D262" s="76"/>
      <c r="E262" s="635" t="s">
        <v>184</v>
      </c>
      <c r="F262" s="102">
        <f>DSUM('1_1'!A$12:J$40,'1_1'!$J$12,G259:G260)</f>
        <v>0.14509594166940465</v>
      </c>
      <c r="G262" s="382"/>
      <c r="H262" s="76"/>
    </row>
    <row r="263" spans="1:8">
      <c r="A263" s="381"/>
      <c r="B263" s="635" t="s">
        <v>185</v>
      </c>
      <c r="C263" s="374">
        <v>19</v>
      </c>
      <c r="D263" s="76"/>
      <c r="E263" s="635" t="s">
        <v>186</v>
      </c>
      <c r="F263" s="368" t="str">
        <f>IF(VLOOKUP(G260,'1_1'!$A$12:$D$40,4,0)=2,"Eventual 80%","Definitivo 100%")</f>
        <v>Eventual 80%</v>
      </c>
      <c r="G263" s="382"/>
      <c r="H263" s="76"/>
    </row>
    <row r="264" spans="1:8">
      <c r="A264" s="381"/>
      <c r="B264" s="635" t="s">
        <v>187</v>
      </c>
      <c r="C264" s="375">
        <f>DSUM('1_1'!$A$12:$H$40,'1_1'!$H$12,G259:G260)</f>
        <v>9.9859200000000019</v>
      </c>
      <c r="D264" s="76"/>
      <c r="E264" s="635" t="s">
        <v>188</v>
      </c>
      <c r="F264" s="369" t="str">
        <f>+Hijuelas!$G$5</f>
        <v>fracción</v>
      </c>
      <c r="G264" s="384"/>
      <c r="H264" s="76"/>
    </row>
    <row r="265" spans="1:8" ht="15.75">
      <c r="A265" s="381"/>
      <c r="B265" s="76"/>
      <c r="C265" s="635" t="s">
        <v>189</v>
      </c>
      <c r="D265" s="107">
        <f>DMIN('1_1'!A$12:K$40,'1_1'!$K$12,G259:G260)</f>
        <v>0</v>
      </c>
      <c r="E265" s="127" t="str">
        <f>IF(F265=1,"Domingo",IF(F265=2,"Lunes",IF(F265=3,"Martes",IF(F265=4,"Miercoles",IF(F265=5,"Jueves",IF(F265=6,"Viernes",IF(F265=7,"Sábado",0)))))))</f>
        <v>Sábado</v>
      </c>
      <c r="F265" s="128">
        <f>WEEKDAY(D265)</f>
        <v>7</v>
      </c>
      <c r="G265" s="385" t="s">
        <v>70</v>
      </c>
      <c r="H265" s="76"/>
    </row>
    <row r="266" spans="1:8" ht="15.75">
      <c r="A266" s="381"/>
      <c r="B266" s="76"/>
      <c r="C266" s="635" t="s">
        <v>190</v>
      </c>
      <c r="D266" s="107">
        <f>DMAX('1_1'!A$12:L$40,'1_1'!$L$12,G259:G260)</f>
        <v>0</v>
      </c>
      <c r="E266" s="127" t="str">
        <f>IF(F266=1,"Domingo",IF(F266=2,"Lunes",IF(F266=3,"Martes",IF(F266=4,"Miercoles",IF(F266=5,"Jueves",IF(F266=6,"Viernes",IF(F266=7,"Sábado",0)))))))</f>
        <v>Sábado</v>
      </c>
      <c r="F266" s="128">
        <f>WEEKDAY(D266)</f>
        <v>7</v>
      </c>
      <c r="G266" s="385">
        <f>WEEKDAY(D266)</f>
        <v>7</v>
      </c>
      <c r="H266" s="76"/>
    </row>
    <row r="267" spans="1:8">
      <c r="A267" s="381"/>
      <c r="B267" s="76"/>
      <c r="C267" s="76"/>
      <c r="D267" s="76"/>
      <c r="E267" s="76"/>
      <c r="F267" s="106"/>
      <c r="G267" s="384"/>
      <c r="H267" s="76"/>
    </row>
    <row r="268" spans="1:8">
      <c r="A268" s="381"/>
      <c r="B268" s="108" t="str">
        <f>+Mensajes!$B$7</f>
        <v>PARA CUALQUIER MODIFICACION EN EL CUADRO DE TURNO COMUNIQUESE CON SU TOMERO</v>
      </c>
      <c r="C268" s="76"/>
      <c r="D268" s="76"/>
      <c r="E268" s="76"/>
      <c r="F268" s="76"/>
      <c r="G268" s="382"/>
      <c r="H268" s="76"/>
    </row>
    <row r="269" spans="1:8">
      <c r="A269" s="381"/>
      <c r="B269" s="108" t="str">
        <f>+Mensajes!$B$12</f>
        <v>Recuerde que con 1 (una) cuotas vigentes impagas se restringirá el servicio.</v>
      </c>
      <c r="C269" s="76"/>
      <c r="D269" s="76"/>
      <c r="E269" s="76"/>
      <c r="F269" s="76"/>
      <c r="G269" s="382"/>
      <c r="H269" s="76"/>
    </row>
    <row r="270" spans="1:8">
      <c r="A270" s="381"/>
      <c r="B270" s="108"/>
      <c r="C270" s="76"/>
      <c r="D270" s="76"/>
      <c r="E270" s="76"/>
      <c r="F270" s="76"/>
      <c r="G270" s="382"/>
      <c r="H270" s="76"/>
    </row>
    <row r="271" spans="1:8" ht="13.5" thickBot="1">
      <c r="A271" s="386"/>
      <c r="B271" s="387" t="str">
        <f>IF(DSUM('2_1'!$A$12:$P$20,16,G259:G260)=COUNTIF('2_1'!$A$12:$A$20,G260),"","Regularice su Deuda")</f>
        <v/>
      </c>
      <c r="C271" s="326"/>
      <c r="D271" s="326"/>
      <c r="E271" s="326"/>
      <c r="F271" s="326"/>
      <c r="G271" s="388"/>
      <c r="H271" s="76"/>
    </row>
    <row r="272" spans="1:8" ht="13.5" thickBot="1"/>
    <row r="273" spans="1:8">
      <c r="A273" s="378"/>
      <c r="B273" s="379"/>
      <c r="C273" s="379"/>
      <c r="D273" s="379"/>
      <c r="E273" s="379"/>
      <c r="F273" s="379"/>
      <c r="G273" s="380"/>
      <c r="H273" s="76"/>
    </row>
    <row r="274" spans="1:8">
      <c r="A274" s="381"/>
      <c r="B274" s="109" t="str">
        <f>+'2_1'!$C$2</f>
        <v>CUADRO DE TURNO SAN PEDRO Y SAN PABLO</v>
      </c>
      <c r="C274" s="76"/>
      <c r="D274" s="76"/>
      <c r="E274" s="76"/>
      <c r="F274" s="76"/>
      <c r="G274" s="382"/>
      <c r="H274" s="76"/>
    </row>
    <row r="275" spans="1:8">
      <c r="A275" s="381"/>
      <c r="B275" s="76"/>
      <c r="C275" s="76"/>
      <c r="D275" s="76"/>
      <c r="E275" s="76"/>
      <c r="F275" s="76"/>
      <c r="G275" s="382"/>
      <c r="H275" s="76"/>
    </row>
    <row r="276" spans="1:8">
      <c r="A276" s="381"/>
      <c r="B276" s="76" t="s">
        <v>182</v>
      </c>
      <c r="C276" s="76" t="str">
        <f>VLOOKUP(G277,'1_1'!$A$12:$G$40,7,0)</f>
        <v>HERAS, PABLO</v>
      </c>
      <c r="D276" s="76"/>
      <c r="E276" s="76"/>
      <c r="F276" s="76"/>
      <c r="G276" s="383" t="s">
        <v>134</v>
      </c>
      <c r="H276" s="76"/>
    </row>
    <row r="277" spans="1:8">
      <c r="A277" s="381"/>
      <c r="B277" s="76" t="s">
        <v>91</v>
      </c>
      <c r="C277" s="76">
        <f>+'1_1'!H274</f>
        <v>0</v>
      </c>
      <c r="D277" s="76"/>
      <c r="E277" s="76"/>
      <c r="F277" s="76"/>
      <c r="G277" s="383">
        <v>17</v>
      </c>
      <c r="H277" s="76"/>
    </row>
    <row r="278" spans="1:8">
      <c r="A278" s="381"/>
      <c r="B278" s="76"/>
      <c r="C278" s="76"/>
      <c r="D278" s="76"/>
      <c r="E278" s="76"/>
      <c r="F278" s="76"/>
      <c r="G278" s="382"/>
      <c r="H278" s="76"/>
    </row>
    <row r="279" spans="1:8">
      <c r="A279" s="381"/>
      <c r="B279" s="635" t="s">
        <v>183</v>
      </c>
      <c r="C279" s="331">
        <f>VLOOKUP(G277,'1_1'!$A$12:$C$40,2,0)</f>
        <v>1243</v>
      </c>
      <c r="D279" s="76"/>
      <c r="E279" s="635" t="s">
        <v>184</v>
      </c>
      <c r="F279" s="102">
        <f>DSUM('1_1'!A$12:J$40,'1_1'!$J$12,G276:G277)</f>
        <v>0.2725140402885281</v>
      </c>
      <c r="G279" s="382"/>
      <c r="H279" s="76"/>
    </row>
    <row r="280" spans="1:8">
      <c r="A280" s="381"/>
      <c r="B280" s="635" t="s">
        <v>185</v>
      </c>
      <c r="C280" s="374">
        <v>20</v>
      </c>
      <c r="D280" s="76"/>
      <c r="E280" s="635" t="s">
        <v>186</v>
      </c>
      <c r="F280" s="368" t="str">
        <f>IF(VLOOKUP(G277,'1_1'!$A$12:$D$40,4,0)=2,"Eventual 80%","Definitivo 100%")</f>
        <v>Eventual 80%</v>
      </c>
      <c r="G280" s="382"/>
      <c r="H280" s="76"/>
    </row>
    <row r="281" spans="1:8">
      <c r="A281" s="381"/>
      <c r="B281" s="635" t="s">
        <v>187</v>
      </c>
      <c r="C281" s="375">
        <f>DSUM('1_1'!$A$12:$H$40,'1_1'!$H$12,G276:G277)</f>
        <v>18.755200000000002</v>
      </c>
      <c r="D281" s="76"/>
      <c r="E281" s="635" t="s">
        <v>188</v>
      </c>
      <c r="F281" s="369" t="str">
        <f>+Hijuelas!$G$5</f>
        <v>fracción</v>
      </c>
      <c r="G281" s="384"/>
      <c r="H281" s="76"/>
    </row>
    <row r="282" spans="1:8" ht="15.75">
      <c r="A282" s="381"/>
      <c r="B282" s="76"/>
      <c r="C282" s="635" t="s">
        <v>189</v>
      </c>
      <c r="D282" s="107">
        <f>DMIN('1_1'!A$12:K$40,'1_1'!$K$12,G276:G277)</f>
        <v>0</v>
      </c>
      <c r="E282" s="127" t="str">
        <f>IF(F282=1,"Domingo",IF(F282=2,"Lunes",IF(F282=3,"Martes",IF(F282=4,"Miercoles",IF(F282=5,"Jueves",IF(F282=6,"Viernes",IF(F282=7,"Sábado",0)))))))</f>
        <v>Sábado</v>
      </c>
      <c r="F282" s="128">
        <f>WEEKDAY(D282)</f>
        <v>7</v>
      </c>
      <c r="G282" s="385" t="s">
        <v>70</v>
      </c>
      <c r="H282" s="76"/>
    </row>
    <row r="283" spans="1:8" ht="15.75">
      <c r="A283" s="381"/>
      <c r="B283" s="76"/>
      <c r="C283" s="635" t="s">
        <v>190</v>
      </c>
      <c r="D283" s="107">
        <f>DMAX('1_1'!A$12:L$40,'1_1'!$L$12,G276:G277)</f>
        <v>0</v>
      </c>
      <c r="E283" s="127" t="str">
        <f>IF(F283=1,"Domingo",IF(F283=2,"Lunes",IF(F283=3,"Martes",IF(F283=4,"Miercoles",IF(F283=5,"Jueves",IF(F283=6,"Viernes",IF(F283=7,"Sábado",0)))))))</f>
        <v>Sábado</v>
      </c>
      <c r="F283" s="128">
        <f>WEEKDAY(D283)</f>
        <v>7</v>
      </c>
      <c r="G283" s="385">
        <f>WEEKDAY(D283)</f>
        <v>7</v>
      </c>
      <c r="H283" s="76"/>
    </row>
    <row r="284" spans="1:8">
      <c r="A284" s="381"/>
      <c r="B284" s="76"/>
      <c r="C284" s="76"/>
      <c r="D284" s="76"/>
      <c r="E284" s="76"/>
      <c r="F284" s="106"/>
      <c r="G284" s="384"/>
      <c r="H284" s="76"/>
    </row>
    <row r="285" spans="1:8">
      <c r="A285" s="381"/>
      <c r="B285" s="108" t="str">
        <f>+Mensajes!$B$7</f>
        <v>PARA CUALQUIER MODIFICACION EN EL CUADRO DE TURNO COMUNIQUESE CON SU TOMERO</v>
      </c>
      <c r="C285" s="76"/>
      <c r="D285" s="76"/>
      <c r="E285" s="76"/>
      <c r="F285" s="76"/>
      <c r="G285" s="382"/>
      <c r="H285" s="76"/>
    </row>
    <row r="286" spans="1:8">
      <c r="A286" s="381"/>
      <c r="B286" s="108" t="str">
        <f>+Mensajes!$B$12</f>
        <v>Recuerde que con 1 (una) cuotas vigentes impagas se restringirá el servicio.</v>
      </c>
      <c r="C286" s="76"/>
      <c r="D286" s="76"/>
      <c r="E286" s="76"/>
      <c r="F286" s="76"/>
      <c r="G286" s="382"/>
      <c r="H286" s="76"/>
    </row>
    <row r="287" spans="1:8">
      <c r="A287" s="381"/>
      <c r="B287" s="108"/>
      <c r="C287" s="76"/>
      <c r="D287" s="76"/>
      <c r="E287" s="76"/>
      <c r="F287" s="76"/>
      <c r="G287" s="382"/>
      <c r="H287" s="76"/>
    </row>
    <row r="288" spans="1:8" ht="13.5" thickBot="1">
      <c r="A288" s="386"/>
      <c r="B288" s="387" t="str">
        <f>IF(DSUM('2_1'!$A$12:$P$20,16,G276:G277)=COUNTIF('2_1'!$A$12:$A$20,G277),"","Regularice su Deuda")</f>
        <v/>
      </c>
      <c r="C288" s="326"/>
      <c r="D288" s="326"/>
      <c r="E288" s="326"/>
      <c r="F288" s="326"/>
      <c r="G288" s="388"/>
      <c r="H288" s="76"/>
    </row>
    <row r="289" spans="1:8" ht="13.5" thickBot="1"/>
    <row r="290" spans="1:8">
      <c r="A290" s="378"/>
      <c r="B290" s="379"/>
      <c r="C290" s="379"/>
      <c r="D290" s="379"/>
      <c r="E290" s="379"/>
      <c r="F290" s="379"/>
      <c r="G290" s="380"/>
      <c r="H290" s="76"/>
    </row>
    <row r="291" spans="1:8">
      <c r="A291" s="381"/>
      <c r="B291" s="109" t="str">
        <f>+'2_1'!$C$2</f>
        <v>CUADRO DE TURNO SAN PEDRO Y SAN PABLO</v>
      </c>
      <c r="C291" s="76"/>
      <c r="D291" s="76"/>
      <c r="E291" s="76"/>
      <c r="F291" s="76"/>
      <c r="G291" s="382"/>
      <c r="H291" s="76"/>
    </row>
    <row r="292" spans="1:8">
      <c r="A292" s="381"/>
      <c r="B292" s="76"/>
      <c r="C292" s="76"/>
      <c r="D292" s="76"/>
      <c r="E292" s="76"/>
      <c r="F292" s="76"/>
      <c r="G292" s="382"/>
      <c r="H292" s="76"/>
    </row>
    <row r="293" spans="1:8">
      <c r="A293" s="381"/>
      <c r="B293" s="76" t="s">
        <v>182</v>
      </c>
      <c r="C293" s="76" t="str">
        <f>VLOOKUP(G294,'1_1'!$A$12:$G$40,7,0)</f>
        <v>KRATEUS S.A</v>
      </c>
      <c r="D293" s="76"/>
      <c r="E293" s="76"/>
      <c r="F293" s="76"/>
      <c r="G293" s="383" t="s">
        <v>134</v>
      </c>
      <c r="H293" s="76"/>
    </row>
    <row r="294" spans="1:8">
      <c r="A294" s="381"/>
      <c r="B294" s="76" t="s">
        <v>91</v>
      </c>
      <c r="C294" s="76">
        <f>+'1_1'!H291</f>
        <v>0</v>
      </c>
      <c r="D294" s="76"/>
      <c r="E294" s="76"/>
      <c r="F294" s="76"/>
      <c r="G294" s="383">
        <v>18</v>
      </c>
      <c r="H294" s="76"/>
    </row>
    <row r="295" spans="1:8">
      <c r="A295" s="381"/>
      <c r="B295" s="76"/>
      <c r="C295" s="76"/>
      <c r="D295" s="76"/>
      <c r="E295" s="76"/>
      <c r="F295" s="76"/>
      <c r="G295" s="382"/>
      <c r="H295" s="76"/>
    </row>
    <row r="296" spans="1:8">
      <c r="A296" s="381"/>
      <c r="B296" s="635" t="s">
        <v>183</v>
      </c>
      <c r="C296" s="331">
        <f>VLOOKUP(G294,'1_1'!$A$12:$C$40,2,0)</f>
        <v>1243</v>
      </c>
      <c r="D296" s="76"/>
      <c r="E296" s="635" t="s">
        <v>184</v>
      </c>
      <c r="F296" s="102">
        <f>DSUM('1_1'!A$12:J$40,'1_1'!$J$12,G293:G294)</f>
        <v>0.36185526457847844</v>
      </c>
      <c r="G296" s="382"/>
      <c r="H296" s="76"/>
    </row>
    <row r="297" spans="1:8">
      <c r="A297" s="381"/>
      <c r="B297" s="635" t="s">
        <v>185</v>
      </c>
      <c r="C297" s="374">
        <v>21</v>
      </c>
      <c r="D297" s="76"/>
      <c r="E297" s="635" t="s">
        <v>186</v>
      </c>
      <c r="F297" s="368" t="str">
        <f>IF(VLOOKUP(G294,'1_1'!$A$12:$D$40,4,0)=2,"Eventual 80%","Definitivo 100%")</f>
        <v>Eventual 80%</v>
      </c>
      <c r="G297" s="382"/>
      <c r="H297" s="76"/>
    </row>
    <row r="298" spans="1:8">
      <c r="A298" s="381"/>
      <c r="B298" s="635" t="s">
        <v>187</v>
      </c>
      <c r="C298" s="375">
        <f>DSUM('1_1'!$A$12:$H$40,'1_1'!$H$12,G293:G294)</f>
        <v>24.903919999999999</v>
      </c>
      <c r="D298" s="76"/>
      <c r="E298" s="635" t="s">
        <v>188</v>
      </c>
      <c r="F298" s="369" t="str">
        <f>+Hijuelas!$G$5</f>
        <v>fracción</v>
      </c>
      <c r="G298" s="384"/>
      <c r="H298" s="76"/>
    </row>
    <row r="299" spans="1:8" ht="15.75">
      <c r="A299" s="381"/>
      <c r="B299" s="76"/>
      <c r="C299" s="635" t="s">
        <v>189</v>
      </c>
      <c r="D299" s="107">
        <f>DMIN('1_1'!A$12:K$40,'1_1'!$K$12,G293:G294)</f>
        <v>0</v>
      </c>
      <c r="E299" s="127" t="str">
        <f>IF(F299=1,"Domingo",IF(F299=2,"Lunes",IF(F299=3,"Martes",IF(F299=4,"Miercoles",IF(F299=5,"Jueves",IF(F299=6,"Viernes",IF(F299=7,"Sábado",0)))))))</f>
        <v>Sábado</v>
      </c>
      <c r="F299" s="128">
        <f>WEEKDAY(D299)</f>
        <v>7</v>
      </c>
      <c r="G299" s="385" t="s">
        <v>70</v>
      </c>
      <c r="H299" s="76"/>
    </row>
    <row r="300" spans="1:8" ht="15.75">
      <c r="A300" s="381"/>
      <c r="B300" s="76"/>
      <c r="C300" s="635" t="s">
        <v>190</v>
      </c>
      <c r="D300" s="107">
        <f>DMAX('1_1'!A$12:L$40,'1_1'!$L$12,G293:G294)</f>
        <v>0</v>
      </c>
      <c r="E300" s="127" t="str">
        <f>IF(F300=1,"Domingo",IF(F300=2,"Lunes",IF(F300=3,"Martes",IF(F300=4,"Miercoles",IF(F300=5,"Jueves",IF(F300=6,"Viernes",IF(F300=7,"Sábado",0)))))))</f>
        <v>Sábado</v>
      </c>
      <c r="F300" s="128">
        <f>WEEKDAY(D300)</f>
        <v>7</v>
      </c>
      <c r="G300" s="385">
        <f>WEEKDAY(D300)</f>
        <v>7</v>
      </c>
      <c r="H300" s="76"/>
    </row>
    <row r="301" spans="1:8">
      <c r="A301" s="381"/>
      <c r="B301" s="76"/>
      <c r="C301" s="76"/>
      <c r="D301" s="76"/>
      <c r="E301" s="76"/>
      <c r="F301" s="106"/>
      <c r="G301" s="384"/>
      <c r="H301" s="76"/>
    </row>
    <row r="302" spans="1:8">
      <c r="A302" s="381"/>
      <c r="B302" s="108" t="str">
        <f>+Mensajes!$B$7</f>
        <v>PARA CUALQUIER MODIFICACION EN EL CUADRO DE TURNO COMUNIQUESE CON SU TOMERO</v>
      </c>
      <c r="C302" s="76"/>
      <c r="D302" s="76"/>
      <c r="E302" s="76"/>
      <c r="F302" s="76"/>
      <c r="G302" s="382"/>
      <c r="H302" s="76"/>
    </row>
    <row r="303" spans="1:8">
      <c r="A303" s="381"/>
      <c r="B303" s="108" t="str">
        <f>+Mensajes!$B$12</f>
        <v>Recuerde que con 1 (una) cuotas vigentes impagas se restringirá el servicio.</v>
      </c>
      <c r="C303" s="76"/>
      <c r="D303" s="76"/>
      <c r="E303" s="76"/>
      <c r="F303" s="76"/>
      <c r="G303" s="382"/>
      <c r="H303" s="76"/>
    </row>
    <row r="304" spans="1:8">
      <c r="A304" s="381"/>
      <c r="B304" s="108"/>
      <c r="C304" s="76"/>
      <c r="D304" s="76"/>
      <c r="E304" s="76"/>
      <c r="F304" s="76"/>
      <c r="G304" s="382"/>
      <c r="H304" s="76"/>
    </row>
    <row r="305" spans="1:8" ht="13.5" thickBot="1">
      <c r="A305" s="386"/>
      <c r="B305" s="387" t="str">
        <f>IF(DSUM('2_1'!$A$12:$P$20,16,G293:G294)=COUNTIF('2_1'!$A$12:$A$20,G294),"","Regularice su Deuda")</f>
        <v/>
      </c>
      <c r="C305" s="326"/>
      <c r="D305" s="326"/>
      <c r="E305" s="326"/>
      <c r="F305" s="326"/>
      <c r="G305" s="388"/>
      <c r="H305" s="76"/>
    </row>
    <row r="306" spans="1:8" ht="13.5" thickBot="1"/>
    <row r="307" spans="1:8">
      <c r="A307" s="378"/>
      <c r="B307" s="379"/>
      <c r="C307" s="379"/>
      <c r="D307" s="379"/>
      <c r="E307" s="379"/>
      <c r="F307" s="379"/>
      <c r="G307" s="380"/>
      <c r="H307" s="76"/>
    </row>
    <row r="308" spans="1:8">
      <c r="A308" s="381"/>
      <c r="B308" s="109" t="str">
        <f>+'2_1'!$C$2</f>
        <v>CUADRO DE TURNO SAN PEDRO Y SAN PABLO</v>
      </c>
      <c r="C308" s="76"/>
      <c r="D308" s="76"/>
      <c r="E308" s="76"/>
      <c r="F308" s="76"/>
      <c r="G308" s="382"/>
      <c r="H308" s="76"/>
    </row>
    <row r="309" spans="1:8">
      <c r="A309" s="381"/>
      <c r="B309" s="76"/>
      <c r="C309" s="76"/>
      <c r="D309" s="76"/>
      <c r="E309" s="76"/>
      <c r="F309" s="76"/>
      <c r="G309" s="382"/>
      <c r="H309" s="76"/>
    </row>
    <row r="310" spans="1:8">
      <c r="A310" s="381"/>
      <c r="B310" s="76" t="s">
        <v>182</v>
      </c>
      <c r="C310" s="76" t="str">
        <f>VLOOKUP(G311,'1_1'!$A$12:$G$40,7,0)</f>
        <v>CASTRO, JOSE CANDIDO</v>
      </c>
      <c r="D310" s="76"/>
      <c r="E310" s="76"/>
      <c r="F310" s="76"/>
      <c r="G310" s="383" t="s">
        <v>134</v>
      </c>
      <c r="H310" s="76"/>
    </row>
    <row r="311" spans="1:8">
      <c r="A311" s="381"/>
      <c r="B311" s="76" t="s">
        <v>91</v>
      </c>
      <c r="C311" s="76">
        <f>+'1_1'!H308</f>
        <v>0</v>
      </c>
      <c r="D311" s="76"/>
      <c r="E311" s="76"/>
      <c r="F311" s="76"/>
      <c r="G311" s="383">
        <v>19</v>
      </c>
      <c r="H311" s="76"/>
    </row>
    <row r="312" spans="1:8">
      <c r="A312" s="381"/>
      <c r="B312" s="76"/>
      <c r="C312" s="76"/>
      <c r="D312" s="76"/>
      <c r="E312" s="76"/>
      <c r="F312" s="76"/>
      <c r="G312" s="382"/>
      <c r="H312" s="76"/>
    </row>
    <row r="313" spans="1:8">
      <c r="A313" s="381"/>
      <c r="B313" s="635" t="s">
        <v>183</v>
      </c>
      <c r="C313" s="331">
        <f>VLOOKUP(G311,'1_1'!$A$12:$C$40,2,0)</f>
        <v>1243</v>
      </c>
      <c r="D313" s="76"/>
      <c r="E313" s="635" t="s">
        <v>184</v>
      </c>
      <c r="F313" s="102">
        <f>DSUM('1_1'!A$12:J$40,'1_1'!$J$12,G310:G311)</f>
        <v>0</v>
      </c>
      <c r="G313" s="382"/>
      <c r="H313" s="76"/>
    </row>
    <row r="314" spans="1:8">
      <c r="A314" s="381"/>
      <c r="B314" s="635" t="s">
        <v>185</v>
      </c>
      <c r="C314" s="374">
        <v>22</v>
      </c>
      <c r="D314" s="76"/>
      <c r="E314" s="635" t="s">
        <v>186</v>
      </c>
      <c r="F314" s="368" t="str">
        <f>IF(VLOOKUP(G311,'1_1'!$A$12:$D$40,4,0)=2,"Eventual 80%","Definitivo 100%")</f>
        <v>Eventual 80%</v>
      </c>
      <c r="G314" s="382"/>
      <c r="H314" s="76"/>
    </row>
    <row r="315" spans="1:8">
      <c r="A315" s="381"/>
      <c r="B315" s="635" t="s">
        <v>187</v>
      </c>
      <c r="C315" s="375">
        <f>DSUM('1_1'!$A$12:$H$40,'1_1'!$H$12,G310:G311)</f>
        <v>0</v>
      </c>
      <c r="D315" s="76"/>
      <c r="E315" s="635" t="s">
        <v>188</v>
      </c>
      <c r="F315" s="369" t="str">
        <f>+Hijuelas!$G$5</f>
        <v>fracción</v>
      </c>
      <c r="G315" s="384"/>
      <c r="H315" s="76"/>
    </row>
    <row r="316" spans="1:8" ht="15.75">
      <c r="A316" s="381"/>
      <c r="B316" s="76"/>
      <c r="C316" s="635" t="s">
        <v>189</v>
      </c>
      <c r="D316" s="107">
        <f>DMIN('1_1'!A$12:K$40,'1_1'!$K$12,G310:G311)</f>
        <v>0</v>
      </c>
      <c r="E316" s="127" t="str">
        <f>IF(F316=1,"Domingo",IF(F316=2,"Lunes",IF(F316=3,"Martes",IF(F316=4,"Miercoles",IF(F316=5,"Jueves",IF(F316=6,"Viernes",IF(F316=7,"Sábado",0)))))))</f>
        <v>Sábado</v>
      </c>
      <c r="F316" s="128">
        <f>WEEKDAY(D316)</f>
        <v>7</v>
      </c>
      <c r="G316" s="385" t="s">
        <v>70</v>
      </c>
      <c r="H316" s="76"/>
    </row>
    <row r="317" spans="1:8" ht="15.75">
      <c r="A317" s="381"/>
      <c r="B317" s="76"/>
      <c r="C317" s="635" t="s">
        <v>190</v>
      </c>
      <c r="D317" s="107">
        <f>DMAX('1_1'!A$12:L$40,'1_1'!$L$12,G310:G311)</f>
        <v>0</v>
      </c>
      <c r="E317" s="127" t="str">
        <f>IF(F317=1,"Domingo",IF(F317=2,"Lunes",IF(F317=3,"Martes",IF(F317=4,"Miercoles",IF(F317=5,"Jueves",IF(F317=6,"Viernes",IF(F317=7,"Sábado",0)))))))</f>
        <v>Sábado</v>
      </c>
      <c r="F317" s="128">
        <f>WEEKDAY(D317)</f>
        <v>7</v>
      </c>
      <c r="G317" s="385">
        <f>WEEKDAY(D317)</f>
        <v>7</v>
      </c>
      <c r="H317" s="76"/>
    </row>
    <row r="318" spans="1:8">
      <c r="A318" s="381"/>
      <c r="B318" s="76"/>
      <c r="C318" s="76"/>
      <c r="D318" s="76"/>
      <c r="E318" s="76"/>
      <c r="F318" s="106"/>
      <c r="G318" s="384"/>
      <c r="H318" s="76"/>
    </row>
    <row r="319" spans="1:8">
      <c r="A319" s="381"/>
      <c r="B319" s="108" t="str">
        <f>+Mensajes!$B$7</f>
        <v>PARA CUALQUIER MODIFICACION EN EL CUADRO DE TURNO COMUNIQUESE CON SU TOMERO</v>
      </c>
      <c r="C319" s="76"/>
      <c r="D319" s="76"/>
      <c r="E319" s="76"/>
      <c r="F319" s="76"/>
      <c r="G319" s="382"/>
      <c r="H319" s="76"/>
    </row>
    <row r="320" spans="1:8">
      <c r="A320" s="381"/>
      <c r="B320" s="108" t="str">
        <f>+Mensajes!$B$12</f>
        <v>Recuerde que con 1 (una) cuotas vigentes impagas se restringirá el servicio.</v>
      </c>
      <c r="C320" s="76"/>
      <c r="D320" s="76"/>
      <c r="E320" s="76"/>
      <c r="F320" s="76"/>
      <c r="G320" s="382"/>
      <c r="H320" s="76"/>
    </row>
    <row r="321" spans="1:8">
      <c r="A321" s="381"/>
      <c r="B321" s="108"/>
      <c r="C321" s="76"/>
      <c r="D321" s="76"/>
      <c r="E321" s="76"/>
      <c r="F321" s="76"/>
      <c r="G321" s="382"/>
      <c r="H321" s="76"/>
    </row>
    <row r="322" spans="1:8" ht="13.5" thickBot="1">
      <c r="A322" s="386"/>
      <c r="B322" s="387" t="str">
        <f>IF(DSUM('2_1'!$A$12:$P$20,16,G310:G311)=COUNTIF('2_1'!$A$12:$A$20,G311),"","Regularice su Deuda")</f>
        <v/>
      </c>
      <c r="C322" s="326"/>
      <c r="D322" s="326"/>
      <c r="E322" s="326"/>
      <c r="F322" s="326"/>
      <c r="G322" s="388"/>
      <c r="H322" s="76"/>
    </row>
    <row r="323" spans="1:8" ht="13.5" thickBot="1"/>
    <row r="324" spans="1:8">
      <c r="A324" s="378"/>
      <c r="B324" s="379"/>
      <c r="C324" s="379"/>
      <c r="D324" s="379"/>
      <c r="E324" s="379"/>
      <c r="F324" s="379"/>
      <c r="G324" s="380"/>
      <c r="H324" s="76"/>
    </row>
    <row r="325" spans="1:8">
      <c r="A325" s="381"/>
      <c r="B325" s="109" t="str">
        <f>+'2_1'!$C$2</f>
        <v>CUADRO DE TURNO SAN PEDRO Y SAN PABLO</v>
      </c>
      <c r="C325" s="76"/>
      <c r="D325" s="76"/>
      <c r="E325" s="76"/>
      <c r="F325" s="76"/>
      <c r="G325" s="382"/>
      <c r="H325" s="76"/>
    </row>
    <row r="326" spans="1:8">
      <c r="A326" s="381"/>
      <c r="B326" s="76"/>
      <c r="C326" s="76"/>
      <c r="D326" s="76"/>
      <c r="E326" s="76"/>
      <c r="F326" s="76"/>
      <c r="G326" s="382"/>
      <c r="H326" s="76"/>
    </row>
    <row r="327" spans="1:8">
      <c r="A327" s="381"/>
      <c r="B327" s="76" t="s">
        <v>182</v>
      </c>
      <c r="C327" s="76" t="str">
        <f>VLOOKUP(G328,'1_1'!$A$12:$G$40,7,0)</f>
        <v>OJEDA, DOMINGO JACINTO</v>
      </c>
      <c r="D327" s="76"/>
      <c r="E327" s="76"/>
      <c r="F327" s="76"/>
      <c r="G327" s="383" t="s">
        <v>134</v>
      </c>
      <c r="H327" s="76"/>
    </row>
    <row r="328" spans="1:8">
      <c r="A328" s="381"/>
      <c r="B328" s="76" t="s">
        <v>91</v>
      </c>
      <c r="C328" s="76">
        <f>+'1_1'!H325</f>
        <v>0</v>
      </c>
      <c r="D328" s="76"/>
      <c r="E328" s="76"/>
      <c r="F328" s="76"/>
      <c r="G328" s="383">
        <v>20</v>
      </c>
      <c r="H328" s="76"/>
    </row>
    <row r="329" spans="1:8">
      <c r="A329" s="381"/>
      <c r="B329" s="76"/>
      <c r="C329" s="76"/>
      <c r="D329" s="76"/>
      <c r="E329" s="76"/>
      <c r="F329" s="76"/>
      <c r="G329" s="382"/>
      <c r="H329" s="76"/>
    </row>
    <row r="330" spans="1:8">
      <c r="A330" s="381"/>
      <c r="B330" s="635" t="s">
        <v>183</v>
      </c>
      <c r="C330" s="331">
        <f>VLOOKUP(G328,'1_1'!$A$12:$C$40,2,0)</f>
        <v>1243</v>
      </c>
      <c r="D330" s="76"/>
      <c r="E330" s="635" t="s">
        <v>184</v>
      </c>
      <c r="F330" s="102">
        <f>DSUM('1_1'!A$12:J$40,'1_1'!$J$12,G327:G328)</f>
        <v>0.19792488768131825</v>
      </c>
      <c r="G330" s="382"/>
      <c r="H330" s="76"/>
    </row>
    <row r="331" spans="1:8">
      <c r="A331" s="381"/>
      <c r="B331" s="635" t="s">
        <v>185</v>
      </c>
      <c r="C331" s="374">
        <v>23</v>
      </c>
      <c r="D331" s="76"/>
      <c r="E331" s="635" t="s">
        <v>186</v>
      </c>
      <c r="F331" s="368" t="str">
        <f>IF(VLOOKUP(G328,'1_1'!$A$12:$D$40,4,0)=2,"Eventual 80%","Definitivo 100%")</f>
        <v>Eventual 80%</v>
      </c>
      <c r="G331" s="382"/>
      <c r="H331" s="76"/>
    </row>
    <row r="332" spans="1:8">
      <c r="A332" s="381"/>
      <c r="B332" s="635" t="s">
        <v>187</v>
      </c>
      <c r="C332" s="375">
        <f>DSUM('1_1'!$A$12:$H$40,'1_1'!$H$12,G327:G328)</f>
        <v>13.621760000000002</v>
      </c>
      <c r="D332" s="76"/>
      <c r="E332" s="635" t="s">
        <v>188</v>
      </c>
      <c r="F332" s="369" t="str">
        <f>+Hijuelas!$G$5</f>
        <v>fracción</v>
      </c>
      <c r="G332" s="384"/>
      <c r="H332" s="76"/>
    </row>
    <row r="333" spans="1:8" ht="15.75">
      <c r="A333" s="381"/>
      <c r="B333" s="76"/>
      <c r="C333" s="635" t="s">
        <v>189</v>
      </c>
      <c r="D333" s="107">
        <f>DMIN('1_1'!A$12:K$40,'1_1'!$K$12,G327:G328)</f>
        <v>0</v>
      </c>
      <c r="E333" s="127" t="str">
        <f>IF(F333=1,"Domingo",IF(F333=2,"Lunes",IF(F333=3,"Martes",IF(F333=4,"Miercoles",IF(F333=5,"Jueves",IF(F333=6,"Viernes",IF(F333=7,"Sábado",0)))))))</f>
        <v>Sábado</v>
      </c>
      <c r="F333" s="128">
        <f>WEEKDAY(D333)</f>
        <v>7</v>
      </c>
      <c r="G333" s="385" t="s">
        <v>70</v>
      </c>
      <c r="H333" s="76"/>
    </row>
    <row r="334" spans="1:8" ht="15.75">
      <c r="A334" s="381"/>
      <c r="B334" s="76"/>
      <c r="C334" s="635" t="s">
        <v>190</v>
      </c>
      <c r="D334" s="107">
        <f>DMAX('1_1'!A$12:L$40,'1_1'!$L$12,G327:G328)</f>
        <v>0</v>
      </c>
      <c r="E334" s="127" t="str">
        <f>IF(F334=1,"Domingo",IF(F334=2,"Lunes",IF(F334=3,"Martes",IF(F334=4,"Miercoles",IF(F334=5,"Jueves",IF(F334=6,"Viernes",IF(F334=7,"Sábado",0)))))))</f>
        <v>Sábado</v>
      </c>
      <c r="F334" s="128">
        <f>WEEKDAY(D334)</f>
        <v>7</v>
      </c>
      <c r="G334" s="385">
        <f>WEEKDAY(D334)</f>
        <v>7</v>
      </c>
      <c r="H334" s="76"/>
    </row>
    <row r="335" spans="1:8">
      <c r="A335" s="381"/>
      <c r="B335" s="76"/>
      <c r="C335" s="76"/>
      <c r="D335" s="76"/>
      <c r="E335" s="76"/>
      <c r="F335" s="106"/>
      <c r="G335" s="384"/>
      <c r="H335" s="76"/>
    </row>
    <row r="336" spans="1:8">
      <c r="A336" s="381"/>
      <c r="B336" s="108" t="str">
        <f>+Mensajes!$B$7</f>
        <v>PARA CUALQUIER MODIFICACION EN EL CUADRO DE TURNO COMUNIQUESE CON SU TOMERO</v>
      </c>
      <c r="C336" s="76"/>
      <c r="D336" s="76"/>
      <c r="E336" s="76"/>
      <c r="F336" s="76"/>
      <c r="G336" s="382"/>
      <c r="H336" s="76"/>
    </row>
    <row r="337" spans="1:8">
      <c r="A337" s="381"/>
      <c r="B337" s="108" t="str">
        <f>+Mensajes!$B$12</f>
        <v>Recuerde que con 1 (una) cuotas vigentes impagas se restringirá el servicio.</v>
      </c>
      <c r="C337" s="76"/>
      <c r="D337" s="76"/>
      <c r="E337" s="76"/>
      <c r="F337" s="76"/>
      <c r="G337" s="382"/>
      <c r="H337" s="76"/>
    </row>
    <row r="338" spans="1:8">
      <c r="A338" s="381"/>
      <c r="B338" s="108"/>
      <c r="C338" s="76"/>
      <c r="D338" s="76"/>
      <c r="E338" s="76"/>
      <c r="F338" s="76"/>
      <c r="G338" s="382"/>
      <c r="H338" s="76"/>
    </row>
    <row r="339" spans="1:8" ht="13.5" thickBot="1">
      <c r="A339" s="386"/>
      <c r="B339" s="387" t="str">
        <f>IF(DSUM('2_1'!$A$12:$P$20,16,G327:G328)=COUNTIF('2_1'!$A$12:$A$20,G328),"","Regularice su Deuda")</f>
        <v/>
      </c>
      <c r="C339" s="326"/>
      <c r="D339" s="326"/>
      <c r="E339" s="326"/>
      <c r="F339" s="326"/>
      <c r="G339" s="388"/>
      <c r="H339" s="76"/>
    </row>
    <row r="340" spans="1:8" ht="13.5" thickBot="1"/>
    <row r="341" spans="1:8">
      <c r="A341" s="378"/>
      <c r="B341" s="379"/>
      <c r="C341" s="379"/>
      <c r="D341" s="379"/>
      <c r="E341" s="379"/>
      <c r="F341" s="379"/>
      <c r="G341" s="380"/>
      <c r="H341" s="76"/>
    </row>
    <row r="342" spans="1:8">
      <c r="A342" s="381"/>
      <c r="B342" s="109" t="str">
        <f>+'2_1'!$C$2</f>
        <v>CUADRO DE TURNO SAN PEDRO Y SAN PABLO</v>
      </c>
      <c r="C342" s="76"/>
      <c r="D342" s="76"/>
      <c r="E342" s="76"/>
      <c r="F342" s="76"/>
      <c r="G342" s="382"/>
      <c r="H342" s="76"/>
    </row>
    <row r="343" spans="1:8">
      <c r="A343" s="381"/>
      <c r="B343" s="76"/>
      <c r="C343" s="76"/>
      <c r="D343" s="76"/>
      <c r="E343" s="76"/>
      <c r="F343" s="76"/>
      <c r="G343" s="382"/>
      <c r="H343" s="76"/>
    </row>
    <row r="344" spans="1:8">
      <c r="A344" s="381"/>
      <c r="B344" s="76" t="s">
        <v>182</v>
      </c>
      <c r="C344" s="76" t="str">
        <f>VLOOKUP(G345,'1_1'!$A$12:$G$40,7,0)</f>
        <v xml:space="preserve">ELASKAR, IBRAHIM ABIB </v>
      </c>
      <c r="D344" s="76"/>
      <c r="E344" s="76"/>
      <c r="F344" s="76"/>
      <c r="G344" s="383" t="s">
        <v>134</v>
      </c>
      <c r="H344" s="76"/>
    </row>
    <row r="345" spans="1:8">
      <c r="A345" s="381"/>
      <c r="B345" s="76" t="s">
        <v>91</v>
      </c>
      <c r="C345" s="76">
        <f>+'1_1'!H342</f>
        <v>0</v>
      </c>
      <c r="D345" s="76"/>
      <c r="E345" s="76"/>
      <c r="F345" s="76"/>
      <c r="G345" s="383">
        <v>21</v>
      </c>
      <c r="H345" s="76"/>
    </row>
    <row r="346" spans="1:8">
      <c r="A346" s="381"/>
      <c r="B346" s="76"/>
      <c r="C346" s="76"/>
      <c r="D346" s="76"/>
      <c r="E346" s="76"/>
      <c r="F346" s="76"/>
      <c r="G346" s="382"/>
      <c r="H346" s="76"/>
    </row>
    <row r="347" spans="1:8">
      <c r="A347" s="381"/>
      <c r="B347" s="635" t="s">
        <v>183</v>
      </c>
      <c r="C347" s="331">
        <f>VLOOKUP(G345,'1_1'!$A$12:$C$40,2,0)</f>
        <v>1243</v>
      </c>
      <c r="D347" s="76"/>
      <c r="E347" s="635" t="s">
        <v>184</v>
      </c>
      <c r="F347" s="102">
        <f>DSUM('1_1'!A$12:J$40,'1_1'!$J$12,G344:G345)</f>
        <v>0.13948850381600139</v>
      </c>
      <c r="G347" s="382"/>
      <c r="H347" s="76"/>
    </row>
    <row r="348" spans="1:8">
      <c r="A348" s="381"/>
      <c r="B348" s="635" t="s">
        <v>185</v>
      </c>
      <c r="C348" s="374">
        <v>24</v>
      </c>
      <c r="D348" s="76"/>
      <c r="E348" s="635" t="s">
        <v>186</v>
      </c>
      <c r="F348" s="368" t="str">
        <f>IF(VLOOKUP(G345,'1_1'!$A$12:$D$40,4,0)=2,"Eventual 80%","Definitivo 100%")</f>
        <v>Eventual 80%</v>
      </c>
      <c r="G348" s="382"/>
      <c r="H348" s="76"/>
    </row>
    <row r="349" spans="1:8">
      <c r="A349" s="381"/>
      <c r="B349" s="635" t="s">
        <v>187</v>
      </c>
      <c r="C349" s="375">
        <f>DSUM('1_1'!$A$12:$H$40,'1_1'!$H$12,G344:G345)</f>
        <v>9.6000000000000014</v>
      </c>
      <c r="D349" s="76"/>
      <c r="E349" s="635" t="s">
        <v>188</v>
      </c>
      <c r="F349" s="369" t="str">
        <f>+Hijuelas!$G$5</f>
        <v>fracción</v>
      </c>
      <c r="G349" s="384"/>
      <c r="H349" s="76"/>
    </row>
    <row r="350" spans="1:8" ht="15.75">
      <c r="A350" s="381"/>
      <c r="B350" s="76"/>
      <c r="C350" s="635" t="s">
        <v>189</v>
      </c>
      <c r="D350" s="107">
        <f>DMIN('1_1'!A$12:K$40,'1_1'!$K$12,G344:G345)</f>
        <v>0</v>
      </c>
      <c r="E350" s="127" t="str">
        <f>IF(F350=1,"Domingo",IF(F350=2,"Lunes",IF(F350=3,"Martes",IF(F350=4,"Miercoles",IF(F350=5,"Jueves",IF(F350=6,"Viernes",IF(F350=7,"Sábado",0)))))))</f>
        <v>Sábado</v>
      </c>
      <c r="F350" s="128">
        <f>WEEKDAY(D350)</f>
        <v>7</v>
      </c>
      <c r="G350" s="385" t="s">
        <v>70</v>
      </c>
      <c r="H350" s="76"/>
    </row>
    <row r="351" spans="1:8" ht="15.75">
      <c r="A351" s="381"/>
      <c r="B351" s="76"/>
      <c r="C351" s="635" t="s">
        <v>190</v>
      </c>
      <c r="D351" s="107">
        <f>DMAX('1_1'!A$12:L$40,'1_1'!$L$12,G344:G345)</f>
        <v>0</v>
      </c>
      <c r="E351" s="127" t="str">
        <f>IF(F351=1,"Domingo",IF(F351=2,"Lunes",IF(F351=3,"Martes",IF(F351=4,"Miercoles",IF(F351=5,"Jueves",IF(F351=6,"Viernes",IF(F351=7,"Sábado",0)))))))</f>
        <v>Sábado</v>
      </c>
      <c r="F351" s="128">
        <f>WEEKDAY(D351)</f>
        <v>7</v>
      </c>
      <c r="G351" s="385">
        <f>WEEKDAY(D351)</f>
        <v>7</v>
      </c>
      <c r="H351" s="76"/>
    </row>
    <row r="352" spans="1:8">
      <c r="A352" s="381"/>
      <c r="B352" s="76"/>
      <c r="C352" s="76"/>
      <c r="D352" s="76"/>
      <c r="E352" s="76"/>
      <c r="F352" s="106"/>
      <c r="G352" s="384"/>
      <c r="H352" s="76"/>
    </row>
    <row r="353" spans="1:8">
      <c r="A353" s="381"/>
      <c r="B353" s="108" t="str">
        <f>+Mensajes!$B$7</f>
        <v>PARA CUALQUIER MODIFICACION EN EL CUADRO DE TURNO COMUNIQUESE CON SU TOMERO</v>
      </c>
      <c r="C353" s="76"/>
      <c r="D353" s="76"/>
      <c r="E353" s="76"/>
      <c r="F353" s="76"/>
      <c r="G353" s="382"/>
      <c r="H353" s="76"/>
    </row>
    <row r="354" spans="1:8">
      <c r="A354" s="381"/>
      <c r="B354" s="108" t="str">
        <f>+Mensajes!$B$12</f>
        <v>Recuerde que con 1 (una) cuotas vigentes impagas se restringirá el servicio.</v>
      </c>
      <c r="C354" s="76"/>
      <c r="D354" s="76"/>
      <c r="E354" s="76"/>
      <c r="F354" s="76"/>
      <c r="G354" s="382"/>
      <c r="H354" s="76"/>
    </row>
    <row r="355" spans="1:8">
      <c r="A355" s="381"/>
      <c r="B355" s="108"/>
      <c r="C355" s="76"/>
      <c r="D355" s="76"/>
      <c r="E355" s="76"/>
      <c r="F355" s="76"/>
      <c r="G355" s="382"/>
      <c r="H355" s="76"/>
    </row>
    <row r="356" spans="1:8" ht="13.5" thickBot="1">
      <c r="A356" s="386"/>
      <c r="B356" s="387" t="str">
        <f>IF(DSUM('2_1'!$A$12:$P$20,16,G344:G345)=COUNTIF('2_1'!$A$12:$A$20,G345),"","Regularice su Deuda")</f>
        <v/>
      </c>
      <c r="C356" s="326"/>
      <c r="D356" s="326"/>
      <c r="E356" s="326"/>
      <c r="F356" s="326"/>
      <c r="G356" s="388"/>
      <c r="H356" s="76"/>
    </row>
    <row r="357" spans="1:8" ht="13.5" thickBot="1"/>
    <row r="358" spans="1:8">
      <c r="A358" s="378"/>
      <c r="B358" s="379"/>
      <c r="C358" s="379"/>
      <c r="D358" s="379"/>
      <c r="E358" s="379"/>
      <c r="F358" s="379"/>
      <c r="G358" s="380"/>
      <c r="H358" s="76"/>
    </row>
    <row r="359" spans="1:8">
      <c r="A359" s="381"/>
      <c r="B359" s="109" t="str">
        <f>+'2_1'!$C$2</f>
        <v>CUADRO DE TURNO SAN PEDRO Y SAN PABLO</v>
      </c>
      <c r="C359" s="76"/>
      <c r="D359" s="76"/>
      <c r="E359" s="76"/>
      <c r="F359" s="76"/>
      <c r="G359" s="382"/>
      <c r="H359" s="76"/>
    </row>
    <row r="360" spans="1:8">
      <c r="A360" s="381"/>
      <c r="B360" s="76"/>
      <c r="C360" s="76"/>
      <c r="D360" s="76"/>
      <c r="E360" s="76"/>
      <c r="F360" s="76"/>
      <c r="G360" s="382"/>
      <c r="H360" s="76"/>
    </row>
    <row r="361" spans="1:8">
      <c r="A361" s="381"/>
      <c r="B361" s="76" t="s">
        <v>182</v>
      </c>
      <c r="C361" s="76" t="str">
        <f>VLOOKUP(G362,'1_1'!$A$12:$G$40,7,0)</f>
        <v>ROMERA PITT, DANIEL ADOLFO</v>
      </c>
      <c r="D361" s="76"/>
      <c r="E361" s="76"/>
      <c r="F361" s="76"/>
      <c r="G361" s="383" t="s">
        <v>134</v>
      </c>
      <c r="H361" s="76"/>
    </row>
    <row r="362" spans="1:8">
      <c r="A362" s="381"/>
      <c r="B362" s="76" t="s">
        <v>91</v>
      </c>
      <c r="C362" s="76">
        <f>+'1_1'!H359</f>
        <v>0</v>
      </c>
      <c r="D362" s="76"/>
      <c r="E362" s="76"/>
      <c r="F362" s="76"/>
      <c r="G362" s="383">
        <v>22</v>
      </c>
      <c r="H362" s="76"/>
    </row>
    <row r="363" spans="1:8">
      <c r="A363" s="381"/>
      <c r="B363" s="76"/>
      <c r="C363" s="76"/>
      <c r="D363" s="76"/>
      <c r="E363" s="76"/>
      <c r="F363" s="76"/>
      <c r="G363" s="382"/>
      <c r="H363" s="76"/>
    </row>
    <row r="364" spans="1:8">
      <c r="A364" s="381"/>
      <c r="B364" s="635" t="s">
        <v>183</v>
      </c>
      <c r="C364" s="331">
        <f>VLOOKUP(G362,'1_1'!$A$12:$C$40,2,0)</f>
        <v>1243</v>
      </c>
      <c r="D364" s="76"/>
      <c r="E364" s="635" t="s">
        <v>184</v>
      </c>
      <c r="F364" s="102">
        <f>DSUM('1_1'!A$12:J$40,'1_1'!$J$12,G361:G362)</f>
        <v>0.67482562059044082</v>
      </c>
      <c r="G364" s="382"/>
      <c r="H364" s="76"/>
    </row>
    <row r="365" spans="1:8">
      <c r="A365" s="381"/>
      <c r="B365" s="635" t="s">
        <v>185</v>
      </c>
      <c r="C365" s="374">
        <v>25</v>
      </c>
      <c r="D365" s="76"/>
      <c r="E365" s="635" t="s">
        <v>186</v>
      </c>
      <c r="F365" s="368" t="str">
        <f>IF(VLOOKUP(G362,'1_1'!$A$12:$D$40,4,0)=2,"Eventual 80%","Definitivo 100%")</f>
        <v>Eventual 80%</v>
      </c>
      <c r="G365" s="382"/>
      <c r="H365" s="76"/>
    </row>
    <row r="366" spans="1:8">
      <c r="A366" s="381"/>
      <c r="B366" s="635" t="s">
        <v>187</v>
      </c>
      <c r="C366" s="375">
        <f>DSUM('1_1'!$A$12:$H$40,'1_1'!$H$12,G361:G362)</f>
        <v>46.443440000000002</v>
      </c>
      <c r="D366" s="76"/>
      <c r="E366" s="635" t="s">
        <v>188</v>
      </c>
      <c r="F366" s="369" t="str">
        <f>+Hijuelas!$G$5</f>
        <v>fracción</v>
      </c>
      <c r="G366" s="384"/>
      <c r="H366" s="76"/>
    </row>
    <row r="367" spans="1:8" ht="15.75">
      <c r="A367" s="381"/>
      <c r="B367" s="76"/>
      <c r="C367" s="635" t="s">
        <v>189</v>
      </c>
      <c r="D367" s="107">
        <f>DMIN('1_1'!A$12:K$40,'1_1'!$K$12,G361:G362)</f>
        <v>0</v>
      </c>
      <c r="E367" s="127" t="str">
        <f>IF(F367=1,"Domingo",IF(F367=2,"Lunes",IF(F367=3,"Martes",IF(F367=4,"Miercoles",IF(F367=5,"Jueves",IF(F367=6,"Viernes",IF(F367=7,"Sábado",0)))))))</f>
        <v>Sábado</v>
      </c>
      <c r="F367" s="128">
        <f>WEEKDAY(D367)</f>
        <v>7</v>
      </c>
      <c r="G367" s="385" t="s">
        <v>70</v>
      </c>
      <c r="H367" s="76"/>
    </row>
    <row r="368" spans="1:8" ht="15.75">
      <c r="A368" s="381"/>
      <c r="B368" s="76"/>
      <c r="C368" s="635" t="s">
        <v>190</v>
      </c>
      <c r="D368" s="107">
        <f>DMAX('1_1'!A$12:L$40,'1_1'!$L$12,G361:G362)</f>
        <v>0</v>
      </c>
      <c r="E368" s="127" t="str">
        <f>IF(F368=1,"Domingo",IF(F368=2,"Lunes",IF(F368=3,"Martes",IF(F368=4,"Miercoles",IF(F368=5,"Jueves",IF(F368=6,"Viernes",IF(F368=7,"Sábado",0)))))))</f>
        <v>Sábado</v>
      </c>
      <c r="F368" s="128">
        <f>WEEKDAY(D368)</f>
        <v>7</v>
      </c>
      <c r="G368" s="385">
        <f>WEEKDAY(D368)</f>
        <v>7</v>
      </c>
      <c r="H368" s="76"/>
    </row>
    <row r="369" spans="1:8">
      <c r="A369" s="381"/>
      <c r="B369" s="76"/>
      <c r="C369" s="76"/>
      <c r="D369" s="76"/>
      <c r="E369" s="76"/>
      <c r="F369" s="106"/>
      <c r="G369" s="384"/>
      <c r="H369" s="76"/>
    </row>
    <row r="370" spans="1:8">
      <c r="A370" s="381"/>
      <c r="B370" s="108" t="str">
        <f>+Mensajes!$B$7</f>
        <v>PARA CUALQUIER MODIFICACION EN EL CUADRO DE TURNO COMUNIQUESE CON SU TOMERO</v>
      </c>
      <c r="C370" s="76"/>
      <c r="D370" s="76"/>
      <c r="E370" s="76"/>
      <c r="F370" s="76"/>
      <c r="G370" s="382"/>
      <c r="H370" s="76"/>
    </row>
    <row r="371" spans="1:8">
      <c r="A371" s="381"/>
      <c r="B371" s="108" t="str">
        <f>+Mensajes!$B$12</f>
        <v>Recuerde que con 1 (una) cuotas vigentes impagas se restringirá el servicio.</v>
      </c>
      <c r="C371" s="76"/>
      <c r="D371" s="76"/>
      <c r="E371" s="76"/>
      <c r="F371" s="76"/>
      <c r="G371" s="382"/>
      <c r="H371" s="76"/>
    </row>
    <row r="372" spans="1:8">
      <c r="A372" s="381"/>
      <c r="B372" s="108"/>
      <c r="C372" s="76"/>
      <c r="D372" s="76"/>
      <c r="E372" s="76"/>
      <c r="F372" s="76"/>
      <c r="G372" s="382"/>
      <c r="H372" s="76"/>
    </row>
    <row r="373" spans="1:8" ht="13.5" thickBot="1">
      <c r="A373" s="386"/>
      <c r="B373" s="387" t="str">
        <f>IF(DSUM('2_1'!$A$12:$P$20,16,G361:G362)=COUNTIF('2_1'!$A$12:$A$20,G362),"","Regularice su Deuda")</f>
        <v/>
      </c>
      <c r="C373" s="326"/>
      <c r="D373" s="326"/>
      <c r="E373" s="326"/>
      <c r="F373" s="326"/>
      <c r="G373" s="388"/>
      <c r="H373" s="76"/>
    </row>
  </sheetData>
  <phoneticPr fontId="0" type="noConversion"/>
  <pageMargins left="0.78740157480314965" right="0.75" top="1" bottom="0.98425196850393704" header="0" footer="0"/>
  <pageSetup paperSize="9" scale="61" orientation="portrait" horizontalDpi="300" verticalDpi="300" r:id="rId1"/>
  <headerFooter alignWithMargins="0"/>
  <rowBreaks count="4" manualBreakCount="4">
    <brk id="85" max="7" man="1"/>
    <brk id="170" max="7" man="1"/>
    <brk id="255" max="7" man="1"/>
    <brk id="340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A1:T20"/>
  <sheetViews>
    <sheetView zoomScale="75" zoomScaleNormal="100" zoomScaleSheetLayoutView="75" workbookViewId="0" xr3:uid="{44B22561-5205-5C8A-B808-2C70100D228F}">
      <selection activeCell="F18" sqref="F18"/>
    </sheetView>
  </sheetViews>
  <sheetFormatPr defaultRowHeight="12.75"/>
  <cols>
    <col min="1" max="1" width="6" customWidth="1"/>
    <col min="2" max="2" width="5.140625" customWidth="1"/>
    <col min="3" max="3" width="6.42578125" customWidth="1"/>
    <col min="4" max="4" width="4" bestFit="1" customWidth="1"/>
    <col min="5" max="5" width="10.7109375" bestFit="1" customWidth="1"/>
    <col min="6" max="6" width="11.28515625" customWidth="1"/>
    <col min="7" max="7" width="25.7109375" customWidth="1"/>
    <col min="8" max="8" width="13" customWidth="1"/>
    <col min="9" max="9" width="7.42578125" bestFit="1" customWidth="1"/>
    <col min="10" max="10" width="8.7109375" customWidth="1"/>
    <col min="11" max="12" width="16.42578125" customWidth="1"/>
    <col min="13" max="13" width="25.85546875" customWidth="1"/>
    <col min="14" max="14" width="22" bestFit="1" customWidth="1"/>
    <col min="15" max="15" width="7" bestFit="1" customWidth="1"/>
    <col min="16" max="16" width="8.28515625" bestFit="1" customWidth="1"/>
    <col min="17" max="17" width="7.5703125" bestFit="1" customWidth="1"/>
    <col min="18" max="18" width="9" bestFit="1" customWidth="1"/>
    <col min="19" max="19" width="10.140625" bestFit="1" customWidth="1"/>
    <col min="20" max="20" width="11" bestFit="1" customWidth="1"/>
    <col min="21" max="256" width="11.42578125" customWidth="1"/>
  </cols>
  <sheetData>
    <row r="1" spans="1:20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20">
      <c r="A2" s="99"/>
      <c r="B2" s="99"/>
      <c r="C2" s="105" t="s">
        <v>123</v>
      </c>
      <c r="D2" s="105"/>
      <c r="E2" s="99"/>
      <c r="F2" s="99"/>
      <c r="G2" s="99"/>
      <c r="H2" s="316" t="s">
        <v>191</v>
      </c>
      <c r="I2" s="99"/>
      <c r="J2" s="99"/>
      <c r="K2" s="99"/>
      <c r="L2" s="99"/>
      <c r="M2" s="99"/>
    </row>
    <row r="3" spans="1:20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0" ht="13.5" thickBo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0">
      <c r="A5" s="662" t="s">
        <v>124</v>
      </c>
      <c r="B5" s="663"/>
      <c r="C5" s="659">
        <f>+Hijuelas!D11</f>
        <v>42973.541666666664</v>
      </c>
      <c r="D5" s="667"/>
      <c r="E5" s="660"/>
      <c r="F5" s="305"/>
      <c r="G5" s="306" t="s">
        <v>125</v>
      </c>
      <c r="H5" s="307">
        <f>+Hijuelas!G4</f>
        <v>3.9895833333333335</v>
      </c>
      <c r="I5" s="99"/>
      <c r="J5" s="99"/>
      <c r="K5" s="99"/>
      <c r="L5" s="99"/>
      <c r="M5" s="99"/>
    </row>
    <row r="6" spans="1:20" ht="13.5" thickBot="1">
      <c r="A6" s="664" t="s">
        <v>126</v>
      </c>
      <c r="B6" s="665"/>
      <c r="C6" s="668">
        <f>+L18</f>
        <v>42977.53125</v>
      </c>
      <c r="D6" s="669"/>
      <c r="E6" s="670"/>
      <c r="F6" s="305"/>
      <c r="G6" s="265" t="s">
        <v>127</v>
      </c>
      <c r="H6" s="308">
        <v>0.22916666666666666</v>
      </c>
      <c r="I6" s="305"/>
      <c r="J6" s="99"/>
      <c r="K6" s="309"/>
      <c r="L6" s="99"/>
      <c r="M6" s="99"/>
    </row>
    <row r="7" spans="1:20" ht="13.5" thickBot="1">
      <c r="A7" s="99"/>
      <c r="B7" s="99"/>
      <c r="C7" s="99"/>
      <c r="D7" s="99"/>
      <c r="E7" s="99"/>
      <c r="F7" s="99"/>
      <c r="G7" s="310" t="s">
        <v>128</v>
      </c>
      <c r="H7" s="311">
        <f>+I19</f>
        <v>8.3333333333333329E-2</v>
      </c>
      <c r="I7" s="99"/>
      <c r="J7" s="99"/>
      <c r="K7" s="99"/>
      <c r="L7" s="99"/>
      <c r="M7" s="99"/>
    </row>
    <row r="8" spans="1:20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0">
      <c r="A9" s="666" t="s">
        <v>129</v>
      </c>
      <c r="B9" s="666"/>
      <c r="C9" s="314">
        <f>+H5-H6-H7</f>
        <v>3.6770833333333335</v>
      </c>
      <c r="D9" s="312"/>
      <c r="E9" s="636" t="s">
        <v>130</v>
      </c>
      <c r="F9" s="313">
        <f>+C9*60</f>
        <v>220.625</v>
      </c>
      <c r="G9" s="636" t="s">
        <v>131</v>
      </c>
      <c r="H9" s="315">
        <f>+H19</f>
        <v>173.38729999999998</v>
      </c>
      <c r="I9" s="636" t="s">
        <v>132</v>
      </c>
      <c r="J9" s="312">
        <f>+F9/H9</f>
        <v>1.2724403690466373</v>
      </c>
      <c r="K9" s="99"/>
      <c r="L9" s="99"/>
      <c r="M9" s="99"/>
    </row>
    <row r="10" spans="1:20">
      <c r="A10" s="636"/>
      <c r="B10" s="636"/>
      <c r="C10" s="314"/>
      <c r="D10" s="312"/>
      <c r="E10" s="636"/>
      <c r="F10" s="313"/>
      <c r="G10" s="636"/>
      <c r="H10" s="315"/>
      <c r="I10" s="636"/>
      <c r="J10" s="312"/>
      <c r="K10" s="99"/>
      <c r="L10" s="99"/>
      <c r="M10" s="99"/>
    </row>
    <row r="11" spans="1:20" ht="13.5" thickBot="1">
      <c r="A11" s="661"/>
      <c r="B11" s="661"/>
      <c r="C11" s="314"/>
      <c r="D11" s="99"/>
      <c r="E11" s="99"/>
      <c r="F11" s="99"/>
      <c r="G11" s="99"/>
      <c r="H11" s="99"/>
      <c r="I11" s="99"/>
      <c r="J11" s="99"/>
      <c r="K11" s="99"/>
      <c r="L11" s="99"/>
      <c r="M11" s="99"/>
    </row>
    <row r="12" spans="1:20" ht="13.5" thickBot="1">
      <c r="A12" s="291" t="s">
        <v>134</v>
      </c>
      <c r="B12" s="292" t="s">
        <v>135</v>
      </c>
      <c r="C12" s="292" t="s">
        <v>136</v>
      </c>
      <c r="D12" s="292" t="s">
        <v>137</v>
      </c>
      <c r="E12" s="292" t="s">
        <v>138</v>
      </c>
      <c r="F12" s="292" t="s">
        <v>192</v>
      </c>
      <c r="G12" s="292" t="s">
        <v>140</v>
      </c>
      <c r="H12" s="292" t="s">
        <v>139</v>
      </c>
      <c r="I12" s="292" t="s">
        <v>142</v>
      </c>
      <c r="J12" s="292" t="s">
        <v>143</v>
      </c>
      <c r="K12" s="292" t="s">
        <v>193</v>
      </c>
      <c r="L12" s="292" t="s">
        <v>194</v>
      </c>
      <c r="M12" s="292" t="s">
        <v>146</v>
      </c>
      <c r="N12" s="293" t="s">
        <v>195</v>
      </c>
      <c r="O12" s="292" t="s">
        <v>148</v>
      </c>
      <c r="P12" s="292" t="s">
        <v>149</v>
      </c>
      <c r="Q12" s="292" t="s">
        <v>150</v>
      </c>
      <c r="R12" s="292" t="s">
        <v>151</v>
      </c>
      <c r="S12" s="292" t="s">
        <v>152</v>
      </c>
      <c r="T12" s="294" t="s">
        <v>153</v>
      </c>
    </row>
    <row r="13" spans="1:20" ht="39.950000000000003" customHeight="1" thickTop="1">
      <c r="A13" s="24">
        <v>1</v>
      </c>
      <c r="B13" s="250">
        <v>1253</v>
      </c>
      <c r="C13" s="250">
        <v>3</v>
      </c>
      <c r="D13" s="250">
        <v>1</v>
      </c>
      <c r="E13" s="9">
        <v>24.479199999999999</v>
      </c>
      <c r="F13" s="85" t="str">
        <f t="shared" ref="F13:F18" si="0">IF(P13=0,"NO",IF(P13=1,"SI","CONDICIONAL"))</f>
        <v>SI</v>
      </c>
      <c r="G13" s="335" t="s">
        <v>196</v>
      </c>
      <c r="H13" s="125">
        <f>IF(Hijuelas!$G$5="fracción",IF(F13="NO",0,IF(Hijuelas!$G$6="si",IF(D13=1,E13,E13*0.8),E13)),IF(F13="NO",0,IF(Hijuelas!$G$6="si",IF(D13=1,ROUNDUP(E13,0),ROUNDUP(E13*0.8,0)),ROUNDUP(E13,0))))</f>
        <v>24.479199999999999</v>
      </c>
      <c r="I13" s="137">
        <v>0</v>
      </c>
      <c r="J13" s="269">
        <f t="shared" ref="J13:J18" si="1">+H13*$J$9/60</f>
        <v>0.51913870469944068</v>
      </c>
      <c r="K13" s="124">
        <f>+C5+H6</f>
        <v>42973.770833333328</v>
      </c>
      <c r="L13" s="124">
        <f>+K13+J13</f>
        <v>42974.28997203803</v>
      </c>
      <c r="M13" s="5"/>
      <c r="N13" s="5"/>
      <c r="O13" s="47" t="str">
        <f t="shared" ref="O13:O18" si="2">+CONCATENATE(B13,C13)</f>
        <v>12533</v>
      </c>
      <c r="P13" s="112">
        <f>VLOOKUP(O13,deuda!A6:G458,4,0)</f>
        <v>1</v>
      </c>
      <c r="Q13" s="112">
        <f>VLOOKUP(O13,deuda!A6:H462,5,0)</f>
        <v>0</v>
      </c>
      <c r="R13" s="112" t="str">
        <f>IF(VLOOKUP(O13,deuda!A6:H455,6,0)=0,"",VLOOKUP(O13,deuda!A6:H455,6,0))</f>
        <v/>
      </c>
      <c r="S13" s="113" t="str">
        <f>IF((VLOOKUP(O13,deuda!A6:H455,7,0))=0,"",VLOOKUP(O13,deuda!A6:H455,7,0))</f>
        <v/>
      </c>
      <c r="T13" s="114" t="str">
        <f>IF((VLOOKUP(O13,deuda!A6:H455,8,0))=0,"",VLOOKUP(O13,deuda!A6:H455,8,0))</f>
        <v/>
      </c>
    </row>
    <row r="14" spans="1:20" ht="39.950000000000003" customHeight="1" thickBot="1">
      <c r="A14" s="97">
        <v>1</v>
      </c>
      <c r="B14" s="256">
        <v>1253</v>
      </c>
      <c r="C14" s="256">
        <v>37</v>
      </c>
      <c r="D14" s="256">
        <v>1</v>
      </c>
      <c r="E14" s="35">
        <v>24.479099999999999</v>
      </c>
      <c r="F14" s="85" t="str">
        <f t="shared" si="0"/>
        <v>SI</v>
      </c>
      <c r="G14" s="337" t="s">
        <v>196</v>
      </c>
      <c r="H14" s="125">
        <f>IF(Hijuelas!$G$5="fracción",IF(F14="NO",0,IF(Hijuelas!$G$6="si",IF(D14=1,E14,E14*0.8),E14)),IF(F14="NO",0,IF(Hijuelas!$G$6="si",IF(D14=1,ROUNDUP(E14,0),ROUNDUP(E14*0.8,0)),ROUNDUP(E14,0))))</f>
        <v>24.479099999999999</v>
      </c>
      <c r="I14" s="137">
        <v>0</v>
      </c>
      <c r="J14" s="269">
        <f t="shared" si="1"/>
        <v>0.51913658396549223</v>
      </c>
      <c r="K14" s="124">
        <f>+L13</f>
        <v>42974.28997203803</v>
      </c>
      <c r="L14" s="124">
        <f>+K14+J14+I14</f>
        <v>42974.809108621994</v>
      </c>
      <c r="M14" s="27"/>
      <c r="N14" s="27"/>
      <c r="O14" s="47" t="str">
        <f t="shared" si="2"/>
        <v>125337</v>
      </c>
      <c r="P14" s="112">
        <f>VLOOKUP(O14,deuda!A7:G459,4,0)</f>
        <v>1</v>
      </c>
      <c r="Q14" s="112">
        <f>VLOOKUP(O14,deuda!A7:H463,5,0)</f>
        <v>0</v>
      </c>
      <c r="R14" s="112" t="str">
        <f>IF(VLOOKUP(O14,deuda!A7:H456,6,0)=0,"",VLOOKUP(O14,deuda!A7:H456,6,0))</f>
        <v/>
      </c>
      <c r="S14" s="113" t="str">
        <f>IF((VLOOKUP(O14,deuda!A7:H456,7,0))=0,"",VLOOKUP(O14,deuda!A7:H456,7,0))</f>
        <v/>
      </c>
      <c r="T14" s="114" t="str">
        <f>IF((VLOOKUP(O14,deuda!A7:H456,8,0))=0,"",VLOOKUP(O14,deuda!A7:H456,8,0))</f>
        <v/>
      </c>
    </row>
    <row r="15" spans="1:20" ht="39.950000000000003" customHeight="1">
      <c r="A15" s="24">
        <v>2</v>
      </c>
      <c r="B15" s="250">
        <v>1253</v>
      </c>
      <c r="C15" s="250">
        <v>1</v>
      </c>
      <c r="D15" s="250">
        <v>1</v>
      </c>
      <c r="E15" s="9">
        <v>100.9166</v>
      </c>
      <c r="F15" s="85" t="str">
        <f t="shared" si="0"/>
        <v>SI</v>
      </c>
      <c r="G15" s="335" t="s">
        <v>197</v>
      </c>
      <c r="H15" s="125">
        <f>IF(Hijuelas!$G$5="fracción",IF(F15="NO",0,IF(Hijuelas!$G$6="si",IF(D15=1,E15,E15*0.8),E15)),IF(F15="NO",0,IF(Hijuelas!$G$6="si",IF(D15=1,ROUNDUP(E15,0),ROUNDUP(E15*0.8,0)),ROUNDUP(E15,0))))</f>
        <v>100.9166</v>
      </c>
      <c r="I15" s="269">
        <v>2.7777777777777776E-2</v>
      </c>
      <c r="J15" s="269">
        <f t="shared" si="1"/>
        <v>2.140172595782198</v>
      </c>
      <c r="K15" s="124">
        <f>+L14</f>
        <v>42974.809108621994</v>
      </c>
      <c r="L15" s="124">
        <f>+K15+J15+I15</f>
        <v>42976.977058995559</v>
      </c>
      <c r="M15" s="5"/>
      <c r="N15" s="5"/>
      <c r="O15" s="47" t="str">
        <f t="shared" si="2"/>
        <v>12531</v>
      </c>
      <c r="P15" s="112">
        <f>VLOOKUP(O15,deuda!A8:G460,4,0)</f>
        <v>1</v>
      </c>
      <c r="Q15" s="112">
        <f>VLOOKUP(O15,deuda!A8:H464,5,0)</f>
        <v>0</v>
      </c>
      <c r="R15" s="112" t="str">
        <f>IF(VLOOKUP(O15,deuda!A8:H457,6,0)=0,"",VLOOKUP(O15,deuda!A8:H457,6,0))</f>
        <v/>
      </c>
      <c r="S15" s="113" t="str">
        <f>IF((VLOOKUP(O15,deuda!A8:H457,7,0))=0,"",VLOOKUP(O15,deuda!A8:H457,7,0))</f>
        <v/>
      </c>
      <c r="T15" s="114" t="str">
        <f>IF((VLOOKUP(O15,deuda!A8:H457,8,0))=0,"",VLOOKUP(O15,deuda!A8:H457,8,0))</f>
        <v/>
      </c>
    </row>
    <row r="16" spans="1:20" ht="39.950000000000003" customHeight="1">
      <c r="A16" s="24">
        <v>3</v>
      </c>
      <c r="B16" s="250">
        <v>1253</v>
      </c>
      <c r="C16" s="250">
        <v>100</v>
      </c>
      <c r="D16" s="250">
        <v>1</v>
      </c>
      <c r="E16" s="9">
        <v>11.4948</v>
      </c>
      <c r="F16" s="85" t="str">
        <f t="shared" si="0"/>
        <v>SI</v>
      </c>
      <c r="G16" s="335" t="s">
        <v>198</v>
      </c>
      <c r="H16" s="125">
        <f>IF(Hijuelas!$G$5="fracción",IF(F16="NO",0,IF(Hijuelas!$G$6="si",IF(D16=1,E16,E16*0.8),E16)),IF(F16="NO",0,IF(Hijuelas!$G$6="si",IF(D16=1,ROUNDUP(E16,0),ROUNDUP(E16*0.8,0)),ROUNDUP(E16,0))))</f>
        <v>11.4948</v>
      </c>
      <c r="I16" s="137">
        <v>5.5555555555555552E-2</v>
      </c>
      <c r="J16" s="269">
        <f t="shared" si="1"/>
        <v>0.24377412590195477</v>
      </c>
      <c r="K16" s="124">
        <f>+L15</f>
        <v>42976.977058995559</v>
      </c>
      <c r="L16" s="124">
        <f>+K16+J16+I16</f>
        <v>42977.276388677019</v>
      </c>
      <c r="M16" s="5"/>
      <c r="N16" s="5"/>
      <c r="O16" s="47" t="str">
        <f t="shared" si="2"/>
        <v>1253100</v>
      </c>
      <c r="P16" s="112">
        <f>VLOOKUP(O16,deuda!A9:G461,4,0)</f>
        <v>1</v>
      </c>
      <c r="Q16" s="112">
        <f>VLOOKUP(O16,deuda!A9:H465,5,0)</f>
        <v>0</v>
      </c>
      <c r="R16" s="112" t="str">
        <f>IF(VLOOKUP(O16,deuda!A9:H458,6,0)=0,"",VLOOKUP(O16,deuda!A9:H458,6,0))</f>
        <v/>
      </c>
      <c r="S16" s="113" t="str">
        <f>IF((VLOOKUP(O16,deuda!A9:H458,7,0))=0,"",VLOOKUP(O16,deuda!A9:H458,7,0))</f>
        <v/>
      </c>
      <c r="T16" s="114" t="str">
        <f>IF((VLOOKUP(O16,deuda!A9:H458,8,0))=0,"",VLOOKUP(O16,deuda!A9:H458,8,0))</f>
        <v/>
      </c>
    </row>
    <row r="17" spans="1:20" ht="39.950000000000003" customHeight="1">
      <c r="A17" s="24">
        <v>3</v>
      </c>
      <c r="B17" s="250">
        <v>1253</v>
      </c>
      <c r="C17" s="250">
        <v>116</v>
      </c>
      <c r="D17" s="250">
        <v>1</v>
      </c>
      <c r="E17" s="9">
        <v>12.0176</v>
      </c>
      <c r="F17" s="85" t="str">
        <f t="shared" si="0"/>
        <v>SI</v>
      </c>
      <c r="G17" s="335" t="s">
        <v>199</v>
      </c>
      <c r="H17" s="125">
        <f>IF(Hijuelas!$G$5="fracción",IF(F17="NO",0,IF(Hijuelas!$G$6="si",IF(D17=1,E17,E17*0.8),E17)),IF(F17="NO",0,IF(Hijuelas!$G$6="si",IF(D17=1,ROUNDUP(E17,0),ROUNDUP(E17*0.8,0)),ROUNDUP(E17,0))))</f>
        <v>12.0176</v>
      </c>
      <c r="I17" s="269">
        <v>0</v>
      </c>
      <c r="J17" s="269">
        <f t="shared" si="1"/>
        <v>0.2548613229842478</v>
      </c>
      <c r="K17" s="124">
        <f>+L16</f>
        <v>42977.276388677019</v>
      </c>
      <c r="L17" s="124">
        <f>+K17+J17+I17</f>
        <v>42977.53125</v>
      </c>
      <c r="M17" s="5"/>
      <c r="N17" s="5"/>
      <c r="O17" s="47" t="str">
        <f t="shared" si="2"/>
        <v>1253116</v>
      </c>
      <c r="P17" s="112">
        <f>VLOOKUP(O17,deuda!A10:G462,4,0)</f>
        <v>1</v>
      </c>
      <c r="Q17" s="112">
        <f>VLOOKUP(O17,deuda!A10:H466,5,0)</f>
        <v>0</v>
      </c>
      <c r="R17" s="112" t="str">
        <f>IF(VLOOKUP(O17,deuda!A10:H459,6,0)=0,"",VLOOKUP(O17,deuda!A10:H459,6,0))</f>
        <v/>
      </c>
      <c r="S17" s="113" t="str">
        <f>IF((VLOOKUP(O17,deuda!A10:H459,7,0))=0,"",VLOOKUP(O17,deuda!A10:H459,7,0))</f>
        <v/>
      </c>
      <c r="T17" s="114" t="str">
        <f>IF((VLOOKUP(O17,deuda!A10:H459,8,0))=0,"",VLOOKUP(O17,deuda!A10:H459,8,0))</f>
        <v/>
      </c>
    </row>
    <row r="18" spans="1:20" ht="39.950000000000003" customHeight="1">
      <c r="A18" s="98">
        <v>3</v>
      </c>
      <c r="B18" s="260">
        <v>1253</v>
      </c>
      <c r="C18" s="260">
        <v>4</v>
      </c>
      <c r="D18" s="260">
        <v>1</v>
      </c>
      <c r="E18" s="85">
        <v>22.445900000000002</v>
      </c>
      <c r="F18" s="85" t="str">
        <f t="shared" si="0"/>
        <v>NO</v>
      </c>
      <c r="G18" s="334" t="s">
        <v>200</v>
      </c>
      <c r="H18" s="125">
        <f>IF(Hijuelas!$G$5="fracción",IF(F18="NO",0,IF(Hijuelas!$G$6="si",IF(D18=1,E18,E18*0.8),E18)),IF(F18="NO",0,IF(Hijuelas!$G$6="si",IF(D18=1,ROUNDUP(E18,0),ROUNDUP(E18*0.8,0)),ROUNDUP(E18,0))))</f>
        <v>0</v>
      </c>
      <c r="I18" s="269">
        <v>0</v>
      </c>
      <c r="J18" s="269">
        <f t="shared" si="1"/>
        <v>0</v>
      </c>
      <c r="K18" s="124">
        <f>+L17</f>
        <v>42977.53125</v>
      </c>
      <c r="L18" s="124">
        <f>+K18+J18+I18</f>
        <v>42977.53125</v>
      </c>
      <c r="M18" s="47"/>
      <c r="N18" s="47"/>
      <c r="O18" s="47" t="str">
        <f t="shared" si="2"/>
        <v>12534</v>
      </c>
      <c r="P18" s="112">
        <f>VLOOKUP(O18,deuda!A11:G463,4,0)</f>
        <v>0</v>
      </c>
      <c r="Q18" s="112">
        <f>VLOOKUP(O18,deuda!A11:H467,5,0)</f>
        <v>189</v>
      </c>
      <c r="R18" s="112" t="str">
        <f>IF(VLOOKUP(O18,deuda!A11:H460,6,0)=0,"",VLOOKUP(O18,deuda!A11:H460,6,0))</f>
        <v/>
      </c>
      <c r="S18" s="113" t="str">
        <f>IF((VLOOKUP(O18,deuda!A11:H460,7,0))=0,"",VLOOKUP(O18,deuda!A11:H460,7,0))</f>
        <v/>
      </c>
      <c r="T18" s="114" t="str">
        <f>IF((VLOOKUP(O18,deuda!A11:H460,8,0))=0,"",VLOOKUP(O18,deuda!A11:H460,8,0))</f>
        <v/>
      </c>
    </row>
    <row r="19" spans="1:20">
      <c r="A19" s="47"/>
      <c r="B19" s="47"/>
      <c r="C19" s="47"/>
      <c r="D19" s="47"/>
      <c r="E19" s="84">
        <f>SUM(E13:E18)</f>
        <v>195.83319999999998</v>
      </c>
      <c r="F19" s="84"/>
      <c r="G19" s="47"/>
      <c r="H19" s="84">
        <f>SUM(H13:H18)</f>
        <v>173.38729999999998</v>
      </c>
      <c r="I19" s="269">
        <f>SUM(I13:I18)</f>
        <v>8.3333333333333329E-2</v>
      </c>
      <c r="J19" s="269">
        <f>SUM(J13:J18)</f>
        <v>3.6770833333333335</v>
      </c>
      <c r="K19" s="47"/>
      <c r="L19" s="5"/>
    </row>
    <row r="20" spans="1:20">
      <c r="A20" s="338"/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10"/>
    </row>
  </sheetData>
  <mergeCells count="6">
    <mergeCell ref="A11:B11"/>
    <mergeCell ref="A9:B9"/>
    <mergeCell ref="A5:B5"/>
    <mergeCell ref="C5:E5"/>
    <mergeCell ref="A6:B6"/>
    <mergeCell ref="C6:E6"/>
  </mergeCells>
  <phoneticPr fontId="0" type="noConversion"/>
  <dataValidations count="1">
    <dataValidation type="whole" allowBlank="1" showInputMessage="1" showErrorMessage="1" errorTitle="ATENCIÓN" error="SOLO PUEDE INGRESAR EL &quot;2&quot;" promptTitle="RECORDAR" prompt="SI MODIFICA EL VALOR DE LA CELDA, RECUERDE VOLVER A COPIAR LA FÓRMULA." sqref="P13:P18" xr:uid="{00000000-0002-0000-0800-000000000000}">
      <formula1>2</formula1>
      <formula2>2</formula2>
    </dataValidation>
  </dataValidations>
  <pageMargins left="0.19685039370078741" right="0.75" top="0.62992125984251968" bottom="0.98425196850393704" header="0" footer="0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roque</dc:creator>
  <cp:keywords/>
  <dc:description/>
  <cp:lastModifiedBy>Leonardo Araoz</cp:lastModifiedBy>
  <cp:revision/>
  <dcterms:created xsi:type="dcterms:W3CDTF">2004-09-22T20:02:32Z</dcterms:created>
  <dcterms:modified xsi:type="dcterms:W3CDTF">2017-08-27T12:50:58Z</dcterms:modified>
  <cp:category/>
  <cp:contentStatus/>
</cp:coreProperties>
</file>