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 projects\17-12-15 TMxVeri Spreadsheet Creator\"/>
    </mc:Choice>
  </mc:AlternateContent>
  <bookViews>
    <workbookView xWindow="0" yWindow="0" windowWidth="20490" windowHeight="9495"/>
  </bookViews>
  <sheets>
    <sheet name="hatred-scorn-intolerance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0" i="3" l="1"/>
  <c r="K27" i="3"/>
  <c r="K20" i="3" l="1"/>
  <c r="L11" i="3" l="1"/>
  <c r="M11" i="3"/>
  <c r="N11" i="3"/>
  <c r="O11" i="3"/>
  <c r="P11" i="3"/>
  <c r="Q11" i="3"/>
  <c r="R11" i="3"/>
  <c r="S11" i="3"/>
  <c r="T11" i="3"/>
  <c r="U11" i="3"/>
  <c r="F11" i="3" l="1"/>
  <c r="G11" i="3"/>
  <c r="H11" i="3"/>
  <c r="I11" i="3"/>
  <c r="J11" i="3"/>
  <c r="K11" i="3"/>
  <c r="K24" i="3" l="1"/>
</calcChain>
</file>

<file path=xl/sharedStrings.xml><?xml version="1.0" encoding="utf-8"?>
<sst xmlns="http://schemas.openxmlformats.org/spreadsheetml/2006/main" count="85" uniqueCount="67">
  <si>
    <t>Дата</t>
  </si>
  <si>
    <t>Номер хроматограммы</t>
  </si>
  <si>
    <t>Шум, мкВ</t>
  </si>
  <si>
    <t>Время удержания, с</t>
  </si>
  <si>
    <t>Площадь пика, мкВ*с</t>
  </si>
  <si>
    <t>Данные для расчёта</t>
  </si>
  <si>
    <t>P</t>
  </si>
  <si>
    <t>R</t>
  </si>
  <si>
    <t>Атмосферное давление, Па</t>
  </si>
  <si>
    <t>Молярная масса ацетилена, г/моль</t>
  </si>
  <si>
    <t>M</t>
  </si>
  <si>
    <t>t</t>
  </si>
  <si>
    <t>Этапы поверки</t>
  </si>
  <si>
    <t>S_ср</t>
  </si>
  <si>
    <t>Объёмная доля компонента газовой смеси по паспорту, %</t>
  </si>
  <si>
    <t>Рассчитывается по формуле (3) методики поверки</t>
  </si>
  <si>
    <t>G</t>
  </si>
  <si>
    <t>C</t>
  </si>
  <si>
    <t>Рассчитывается по формуле (2) методики поверки</t>
  </si>
  <si>
    <t>1</t>
  </si>
  <si>
    <t>2</t>
  </si>
  <si>
    <t>4</t>
  </si>
  <si>
    <t>6</t>
  </si>
  <si>
    <t>7</t>
  </si>
  <si>
    <t>8</t>
  </si>
  <si>
    <t>9</t>
  </si>
  <si>
    <t>10</t>
  </si>
  <si>
    <t>11</t>
  </si>
  <si>
    <t>3</t>
  </si>
  <si>
    <t>Температура пробы</t>
  </si>
  <si>
    <r>
      <t xml:space="preserve">Температура пробы, </t>
    </r>
    <r>
      <rPr>
        <sz val="9"/>
        <color theme="1"/>
        <rFont val="Calibri"/>
        <family val="2"/>
        <charset val="204"/>
      </rPr>
      <t>°</t>
    </r>
    <r>
      <rPr>
        <sz val="7.65"/>
        <color theme="1"/>
        <rFont val="Calibri"/>
        <family val="2"/>
        <charset val="204"/>
      </rPr>
      <t>C</t>
    </r>
  </si>
  <si>
    <r>
      <t>Метан (CH</t>
    </r>
    <r>
      <rPr>
        <vertAlign val="subscript"/>
        <sz val="9"/>
        <color theme="1"/>
        <rFont val="Calibri"/>
        <family val="2"/>
        <charset val="204"/>
        <scheme val="minor"/>
      </rPr>
      <t>4</t>
    </r>
    <r>
      <rPr>
        <sz val="9"/>
        <color theme="1"/>
        <rFont val="Calibri"/>
        <family val="2"/>
        <charset val="204"/>
        <scheme val="minor"/>
      </rPr>
      <t>)</t>
    </r>
  </si>
  <si>
    <r>
      <t>Этилен (C</t>
    </r>
    <r>
      <rPr>
        <vertAlign val="subscript"/>
        <sz val="9"/>
        <color theme="1"/>
        <rFont val="Calibri"/>
        <family val="2"/>
        <charset val="204"/>
        <scheme val="minor"/>
      </rPr>
      <t>2</t>
    </r>
    <r>
      <rPr>
        <sz val="9"/>
        <color theme="1"/>
        <rFont val="Calibri"/>
        <family val="2"/>
        <charset val="204"/>
        <scheme val="minor"/>
      </rPr>
      <t>H</t>
    </r>
    <r>
      <rPr>
        <vertAlign val="subscript"/>
        <sz val="9"/>
        <color theme="1"/>
        <rFont val="Calibri"/>
        <family val="2"/>
        <charset val="204"/>
        <scheme val="minor"/>
      </rPr>
      <t>4</t>
    </r>
    <r>
      <rPr>
        <sz val="9"/>
        <color theme="1"/>
        <rFont val="Calibri"/>
        <family val="2"/>
        <charset val="204"/>
        <scheme val="minor"/>
      </rPr>
      <t>)</t>
    </r>
  </si>
  <si>
    <r>
      <t>Ацетилен (C</t>
    </r>
    <r>
      <rPr>
        <vertAlign val="subscript"/>
        <sz val="9"/>
        <color theme="1"/>
        <rFont val="Calibri"/>
        <family val="2"/>
        <charset val="204"/>
        <scheme val="minor"/>
      </rPr>
      <t>2</t>
    </r>
    <r>
      <rPr>
        <sz val="9"/>
        <color theme="1"/>
        <rFont val="Calibri"/>
        <family val="2"/>
        <charset val="204"/>
        <scheme val="minor"/>
      </rPr>
      <t>H</t>
    </r>
    <r>
      <rPr>
        <vertAlign val="subscript"/>
        <sz val="9"/>
        <color theme="1"/>
        <rFont val="Calibri"/>
        <family val="2"/>
        <charset val="204"/>
        <scheme val="minor"/>
      </rPr>
      <t>2</t>
    </r>
    <r>
      <rPr>
        <sz val="9"/>
        <color theme="1"/>
        <rFont val="Calibri"/>
        <family val="2"/>
        <charset val="204"/>
        <scheme val="minor"/>
      </rPr>
      <t>)</t>
    </r>
  </si>
  <si>
    <t>Определяется по формуле (1) методики поверки</t>
  </si>
  <si>
    <t>V_гн</t>
  </si>
  <si>
    <t>V_г</t>
  </si>
  <si>
    <t>1 Среднее арифметическое площади пика ацетилена</t>
  </si>
  <si>
    <t>2 Масса контрольного компонента</t>
  </si>
  <si>
    <t>3 Предел детектирования</t>
  </si>
  <si>
    <t>C_min</t>
  </si>
  <si>
    <t>4 Определение среднеквадратических значений</t>
  </si>
  <si>
    <t>Средние арифметические значения определяются по формуле (4) методики поверки.</t>
  </si>
  <si>
    <t>Среднеквадратические значения определяются по формуле (5) методики поверки.</t>
  </si>
  <si>
    <r>
      <t>Расход газа-носителя, см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/с</t>
    </r>
  </si>
  <si>
    <r>
      <t>Газовая постоянная, (Па*см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)/(моль*град)</t>
    </r>
  </si>
  <si>
    <r>
      <t>Объём газовой пробы, см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</si>
  <si>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Хроматограф:</t>
  </si>
  <si>
    <t>Среднеквадратические отклонения рассчитаны и указаны в таблице выше.</t>
  </si>
  <si>
    <t>Этан (C2H6)</t>
  </si>
  <si>
    <t>Диоксид углерода (CO2)</t>
  </si>
  <si>
    <t>Кислород (O2)</t>
  </si>
  <si>
    <t>Оксид углерода (CO)</t>
  </si>
  <si>
    <t>Водород (H2)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</si>
  <si>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</si>
  <si>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</si>
  <si>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</si>
  <si>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</si>
  <si>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</si>
  <si>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</si>
  <si>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</si>
  <si>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</si>
  <si>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</si>
  <si>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</si>
  <si>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aaa</t>
  </si>
  <si>
    <t>16.12.2017</t>
  </si>
  <si>
    <t>Среднеквадратическое 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</si>
</sst>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</font>
    <font>
      <sz val="7.65"/>
      <color theme="1"/>
      <name val="Calibri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vertAlign val="subscript"/>
      <sz val="9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ont="1"/>
    <xf numFmtId="0" fontId="4" fillId="0" borderId="0" xfId="0" applyFont="1"/>
    <xf numFmtId="0" fontId="4" fillId="2" borderId="0" xfId="0" applyFont="1" applyFill="1"/>
    <xf numFmtId="0" fontId="0" fillId="2" borderId="0" xfId="0" applyFill="1"/>
    <xf numFmtId="0" fontId="0" fillId="0" borderId="0" xfId="0" applyNumberFormat="1"/>
    <xf numFmtId="0" fontId="0" fillId="0" borderId="0" xfId="0" applyBorder="1"/>
    <xf numFmtId="22" fontId="0" fillId="0" borderId="0" xfId="0" applyNumberFormat="1" applyBorder="1"/>
    <xf numFmtId="164" fontId="0" fillId="0" borderId="0" xfId="0" applyNumberFormat="1"/>
    <xf numFmtId="2" fontId="0" fillId="0" borderId="0" xfId="0" applyNumberFormat="1" applyBorder="1"/>
    <xf numFmtId="165" fontId="0" fillId="0" borderId="0" xfId="0" applyNumberFormat="1" applyBorder="1"/>
    <xf numFmtId="0" fontId="1" fillId="0" borderId="2" xfId="0" applyFont="1" applyBorder="1" applyAlignment="1">
      <alignment horizontal="center" vertical="center" textRotation="90" wrapText="1"/>
    </xf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164" fontId="0" fillId="0" borderId="0" xfId="0" applyNumberFormat="1" applyFill="1" applyBorder="1"/>
    <xf numFmtId="164" fontId="0" fillId="0" borderId="0" xfId="0" applyNumberFormat="1" applyBorder="1"/>
    <xf numFmtId="0" fontId="0" fillId="0" borderId="0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32">
    <dxf>
      <numFmt numFmtId="165" formatCode="0.000"/>
      <border diagonalUp="0" diagonalDown="0" outline="0">
        <left/>
        <right/>
        <top/>
        <bottom/>
      </border>
    </dxf>
    <dxf>
      <numFmt numFmtId="165" formatCode="0.000"/>
      <border diagonalUp="0" diagonalDown="0" outline="0">
        <left/>
        <right/>
        <top/>
        <bottom/>
      </border>
    </dxf>
    <dxf>
      <numFmt numFmtId="165" formatCode="0.000"/>
      <border diagonalUp="0" diagonalDown="0" outline="0">
        <left/>
        <right/>
        <top/>
        <bottom/>
      </border>
    </dxf>
    <dxf>
      <numFmt numFmtId="165" formatCode="0.000"/>
      <border diagonalUp="0" diagonalDown="0" outline="0">
        <left/>
        <right/>
        <top/>
        <bottom/>
      </border>
    </dxf>
    <dxf>
      <numFmt numFmtId="165" formatCode="0.000"/>
      <border diagonalUp="0" diagonalDown="0" outline="0">
        <left/>
        <right/>
        <top/>
        <bottom/>
      </border>
    </dxf>
    <dxf>
      <numFmt numFmtId="165" formatCode="0.000"/>
      <border diagonalUp="0" diagonalDown="0" outline="0">
        <left/>
        <right/>
        <top/>
        <bottom/>
      </border>
    </dxf>
    <dxf>
      <numFmt numFmtId="165" formatCode="0.000"/>
      <border diagonalUp="0" diagonalDown="0" outline="0">
        <left/>
        <right/>
        <top/>
        <bottom/>
      </border>
    </dxf>
    <dxf>
      <numFmt numFmtId="165" formatCode="0.000"/>
      <border diagonalUp="0" diagonalDown="0" outline="0">
        <left/>
        <right/>
        <top/>
        <bottom/>
      </border>
    </dxf>
    <dxf>
      <numFmt numFmtId="165" formatCode="0.000"/>
      <border diagonalUp="0" diagonalDown="0" outline="0">
        <left/>
        <right/>
        <top/>
        <bottom/>
      </border>
    </dxf>
    <dxf>
      <numFmt numFmtId="165" formatCode="0.000"/>
      <border diagonalUp="0" diagonalDown="0" outline="0">
        <left/>
        <right/>
        <top/>
        <bottom/>
      </border>
    </dxf>
    <dxf>
      <numFmt numFmtId="165" formatCode="0.000"/>
      <border diagonalUp="0" diagonalDown="0" outline="0">
        <left/>
        <right/>
        <top/>
        <bottom/>
      </border>
    </dxf>
    <dxf>
      <numFmt numFmtId="165" formatCode="0.000"/>
      <border diagonalUp="0" diagonalDown="0" outline="0">
        <left/>
        <right/>
        <top/>
        <bottom/>
      </border>
    </dxf>
    <dxf>
      <numFmt numFmtId="165" formatCode="0.000"/>
      <border diagonalUp="0" diagonalDown="0" outline="0">
        <left/>
        <right/>
        <top/>
        <bottom/>
      </border>
    </dxf>
    <dxf>
      <numFmt numFmtId="165" formatCode="0.000"/>
      <border diagonalUp="0" diagonalDown="0" outline="0">
        <left/>
        <right/>
        <top/>
        <bottom/>
      </border>
    </dxf>
    <dxf>
      <numFmt numFmtId="165" formatCode="0.000"/>
      <border diagonalUp="0" diagonalDown="0" outline="0">
        <left/>
        <right/>
        <top/>
        <bottom/>
      </border>
    </dxf>
    <dxf>
      <numFmt numFmtId="165" formatCode="0.000"/>
      <border diagonalUp="0" diagonalDown="0" outline="0">
        <left/>
        <right/>
        <top/>
        <bottom/>
      </border>
    </dxf>
    <dxf>
      <numFmt numFmtId="2" formatCode="0.00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2" formatCode="0.00"/>
      <border diagonalUp="0" diagonalDown="0" outline="0">
        <left/>
        <right/>
        <top/>
        <bottom/>
      </border>
    </dxf>
    <dxf>
      <numFmt numFmtId="27" formatCode="m/d/yyyy\ h:mm"/>
      <border diagonalUp="0" diagonalDown="0" outline="0">
        <left/>
        <right/>
        <top/>
        <bottom/>
      </border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2" formatCode="0.00"/>
    </dxf>
    <dxf>
      <numFmt numFmtId="0" formatCode="General"/>
    </dxf>
    <dxf>
      <numFmt numFmtId="2" formatCode="0.00"/>
    </dxf>
    <dxf>
      <numFmt numFmtId="166" formatCode="dd/mm/yyyy\ hh:mm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Таблица134" displayName="Таблица134" ref="B5:U11" totalsRowCount="1" headerRowDxfId="31" tableBorderDxfId="30">
  <autoFilter ref="B5:U10"/>
  <tableColumns count="20">
    <tableColumn id="1" name="1" totalsRowLabel="Среднеквадратическое значение" dataDxfId="29" totalsRowDxfId="19"/>
    <tableColumn id="13" name="2" dataDxfId="28" totalsRowDxfId="18"/>
    <tableColumn id="2" name="3" dataDxfId="27" totalsRowDxfId="17"/>
    <tableColumn id="3" name="4" dataDxfId="26" totalsRowDxfId="16"/>
    <tableColumn id="5" name="6" totalsRowFunction="custom" dataDxfId="25" totalsRowDxfId="15">
      <totalsRowFormula>100*STDEV(F6:F10)/AVERAGE(Таблица134[6])</totalsRowFormula>
    </tableColumn>
    <tableColumn id="6" name="7" totalsRowFunction="custom" dataDxfId="24" totalsRowDxfId="14">
      <totalsRowFormula>100*STDEV(G6:G10)/AVERAGE(Таблица134[7])</totalsRowFormula>
    </tableColumn>
    <tableColumn id="7" name="8" totalsRowFunction="custom" dataDxfId="23" totalsRowDxfId="13">
      <totalsRowFormula>100*STDEV(H6:H10)/AVERAGE(Таблица134[8])</totalsRowFormula>
    </tableColumn>
    <tableColumn id="9" name="9" totalsRowFunction="custom" dataDxfId="22" totalsRowDxfId="12">
      <totalsRowFormula>100*STDEV(I6:I10)/AVERAGE(Таблица134[9])</totalsRowFormula>
    </tableColumn>
    <tableColumn id="11" name="10" totalsRowFunction="custom" dataDxfId="21" totalsRowDxfId="11">
      <totalsRowFormula>100*STDEV(J6:J10)/AVERAGE(Таблица134[10])</totalsRowFormula>
    </tableColumn>
    <tableColumn id="12" name="11" totalsRowFunction="custom" dataDxfId="20" totalsRowDxfId="10">
      <totalsRowFormula>100*STDEV(K6:K10)/AVERAGE(Таблица134[11])</totalsRowFormula>
    </tableColumn>
    <tableColumn id="4" name="12" totalsRowFunction="custom" totalsRowDxfId="9">
      <totalsRowFormula>100*STDEV(L6:L10)/AVERAGE(Таблица134[12])</totalsRowFormula>
    </tableColumn>
    <tableColumn id="8" name="13" totalsRowFunction="custom" totalsRowDxfId="8">
      <totalsRowFormula>100*STDEV(M6:M10)/AVERAGE(Таблица134[13])</totalsRowFormula>
    </tableColumn>
    <tableColumn id="10" name="14" totalsRowFunction="custom" totalsRowDxfId="7">
      <totalsRowFormula>100*STDEV(N6:N10)/AVERAGE(Таблица134[14])</totalsRowFormula>
    </tableColumn>
    <tableColumn id="14" name="15" totalsRowFunction="custom" totalsRowDxfId="6">
      <totalsRowFormula>100*STDEV(O6:O10)/AVERAGE(Таблица134[15])</totalsRowFormula>
    </tableColumn>
    <tableColumn id="15" name="16" totalsRowFunction="custom" totalsRowDxfId="5">
      <totalsRowFormula>100*STDEV(P6:P10)/AVERAGE(Таблица134[16])</totalsRowFormula>
    </tableColumn>
    <tableColumn id="16" name="17" totalsRowFunction="custom" totalsRowDxfId="4">
      <totalsRowFormula>100*STDEV(Q6:Q10)/AVERAGE(Таблица134[17])</totalsRowFormula>
    </tableColumn>
    <tableColumn id="17" name="18" totalsRowFunction="custom" totalsRowDxfId="3">
      <totalsRowFormula>100*STDEV(R6:R10)/AVERAGE(Таблица134[18])</totalsRowFormula>
    </tableColumn>
    <tableColumn id="18" name="19" totalsRowFunction="custom" totalsRowDxfId="2">
      <totalsRowFormula>100*STDEV(S6:S10)/AVERAGE(Таблица134[19])</totalsRowFormula>
    </tableColumn>
    <tableColumn id="19" name="20" totalsRowFunction="custom" totalsRowDxfId="1">
      <totalsRowFormula>100*STDEV(T6:T10)/AVERAGE(Таблица134[20])</totalsRowFormula>
    </tableColumn>
    <tableColumn id="20" name="21" totalsRowFunction="custom" totalsRowDxfId="0">
      <totalsRowFormula>100*STDEV(U6:U10)/AVERAGE(Таблица134[21])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6"/>
  <sheetViews>
    <sheetView tabSelected="1" zoomScaleNormal="100" workbookViewId="0">
      <selection activeCell="B12" sqref="B12"/>
    </sheetView>
  </sheetViews>
  <sheetFormatPr defaultRowHeight="15" x14ac:dyDescent="0.25"/>
  <cols>
    <col min="1" max="1" width="2.85546875" customWidth="1"/>
    <col min="2" max="2" width="16.28515625" customWidth="1"/>
    <col min="3" max="11" width="11.42578125" customWidth="1"/>
    <col min="12" max="15" width="8.7109375" customWidth="1"/>
    <col min="16" max="17" width="12" bestFit="1" customWidth="1"/>
  </cols>
  <sheetData>
    <row r="1" spans="2:21" x14ac:dyDescent="0.25">
      <c r="B1" t="s">
        <v>47</v>
      </c>
      <c r="C1" t="s">
        <v>64</v>
      </c>
    </row>
    <row r="3" spans="2:21" x14ac:dyDescent="0.25">
      <c r="B3" s="19" t="s">
        <v>0</v>
      </c>
      <c r="C3" s="19" t="s">
        <v>30</v>
      </c>
      <c r="D3" s="21" t="s">
        <v>1</v>
      </c>
      <c r="E3" s="21" t="s">
        <v>2</v>
      </c>
      <c r="F3" s="18" t="s">
        <v>33</v>
      </c>
      <c r="G3" s="18"/>
      <c r="H3" s="17" t="s">
        <v>32</v>
      </c>
      <c r="I3" s="17"/>
      <c r="J3" s="17" t="s">
        <v>31</v>
      </c>
      <c r="K3" s="17"/>
      <c r="L3" s="17" t="s">
        <v>49</v>
      </c>
      <c r="M3" s="17"/>
      <c r="N3" s="17" t="s">
        <v>50</v>
      </c>
      <c r="O3" s="17"/>
      <c r="P3" s="17" t="s">
        <v>51</v>
      </c>
      <c r="Q3" s="17"/>
      <c r="R3" s="17" t="s">
        <v>52</v>
      </c>
      <c r="S3" s="17"/>
      <c r="T3" s="17" t="s">
        <v>53</v>
      </c>
      <c r="U3" s="17"/>
    </row>
    <row r="4" spans="2:21" ht="65.25" customHeight="1" x14ac:dyDescent="0.25">
      <c r="B4" s="20"/>
      <c r="C4" s="20"/>
      <c r="D4" s="19"/>
      <c r="E4" s="19"/>
      <c r="F4" s="11" t="s">
        <v>3</v>
      </c>
      <c r="G4" s="11" t="s">
        <v>4</v>
      </c>
      <c r="H4" s="11" t="s">
        <v>3</v>
      </c>
      <c r="I4" s="11" t="s">
        <v>4</v>
      </c>
      <c r="J4" s="11" t="s">
        <v>3</v>
      </c>
      <c r="K4" s="11" t="s">
        <v>4</v>
      </c>
      <c r="L4" s="11" t="s">
        <v>3</v>
      </c>
      <c r="M4" s="11" t="s">
        <v>4</v>
      </c>
      <c r="N4" s="11" t="s">
        <v>3</v>
      </c>
      <c r="O4" s="11" t="s">
        <v>4</v>
      </c>
      <c r="P4" s="11" t="s">
        <v>3</v>
      </c>
      <c r="Q4" s="11" t="s">
        <v>4</v>
      </c>
      <c r="R4" s="11" t="s">
        <v>3</v>
      </c>
      <c r="S4" s="11" t="s">
        <v>4</v>
      </c>
      <c r="T4" s="11" t="s">
        <v>3</v>
      </c>
      <c r="U4" s="11" t="s">
        <v>4</v>
      </c>
    </row>
    <row r="5" spans="2:21" ht="15" customHeight="1" x14ac:dyDescent="0.25">
      <c r="B5" s="12" t="s">
        <v>19</v>
      </c>
      <c r="C5" s="12" t="s">
        <v>20</v>
      </c>
      <c r="D5" s="12" t="s">
        <v>28</v>
      </c>
      <c r="E5" s="13" t="s">
        <v>21</v>
      </c>
      <c r="F5" s="12" t="s">
        <v>22</v>
      </c>
      <c r="G5" s="12" t="s">
        <v>23</v>
      </c>
      <c r="H5" s="12" t="s">
        <v>24</v>
      </c>
      <c r="I5" s="12" t="s">
        <v>25</v>
      </c>
      <c r="J5" s="12" t="s">
        <v>26</v>
      </c>
      <c r="K5" s="12" t="s">
        <v>27</v>
      </c>
      <c r="L5" s="12" t="s">
        <v>54</v>
      </c>
      <c r="M5" s="12" t="s">
        <v>55</v>
      </c>
      <c r="N5" s="12" t="s">
        <v>56</v>
      </c>
      <c r="O5" s="12" t="s">
        <v>57</v>
      </c>
      <c r="P5" s="12" t="s">
        <v>58</v>
      </c>
      <c r="Q5" s="12" t="s">
        <v>59</v>
      </c>
      <c r="R5" s="12" t="s">
        <v>60</v>
      </c>
      <c r="S5" s="12" t="s">
        <v>61</v>
      </c>
      <c r="T5" s="12" t="s">
        <v>62</v>
      </c>
      <c r="U5" s="12" t="s">
        <v>63</v>
      </c>
    </row>
    <row r="6" spans="2:21" x14ac:dyDescent="0.25">
      <c r="B6" s="7" t="s">
        <v>65</v>
      </c>
      <c r="C6" s="9">
        <v>30</v>
      </c>
      <c r="D6" s="16">
        <v>1</v>
      </c>
      <c r="E6" s="9">
        <v>0.5</v>
      </c>
      <c r="F6" s="15">
        <v>100</v>
      </c>
      <c r="G6" s="14">
        <v>5899.7</v>
      </c>
      <c r="H6" s="14">
        <v>250.1</v>
      </c>
      <c r="I6" s="15">
        <v>18516.2</v>
      </c>
      <c r="J6" s="15">
        <v>807.1</v>
      </c>
      <c r="K6" s="15">
        <v>9307.1</v>
      </c>
      <c r="L6" s="6">
        <v>301.39999999999998</v>
      </c>
      <c r="M6" s="6">
        <v>13.9</v>
      </c>
      <c r="N6" s="6">
        <v>158.69999999999999</v>
      </c>
      <c r="O6" s="6">
        <v>176102.39999999999</v>
      </c>
      <c r="P6" s="6">
        <v>545.6</v>
      </c>
      <c r="Q6" s="6">
        <v>1848033.6</v>
      </c>
      <c r="R6" s="6">
        <v>978.1</v>
      </c>
      <c r="S6" s="6">
        <v>159.19999999999999</v>
      </c>
      <c r="T6" s="6">
        <v>446.4</v>
      </c>
      <c r="U6" s="6">
        <v>99.9</v>
      </c>
    </row>
    <row r="7" spans="2:21" x14ac:dyDescent="0.25">
      <c r="B7" s="7" t="s">
        <v>65</v>
      </c>
      <c r="C7" s="9">
        <v>30</v>
      </c>
      <c r="D7" s="16">
        <v>2</v>
      </c>
      <c r="E7" s="9">
        <v>0.5</v>
      </c>
      <c r="F7" s="15">
        <v>100</v>
      </c>
      <c r="G7" s="14">
        <v>5905.7</v>
      </c>
      <c r="H7" s="14">
        <v>250.1</v>
      </c>
      <c r="I7" s="15">
        <v>18517.3</v>
      </c>
      <c r="J7" s="15">
        <v>807.1</v>
      </c>
      <c r="K7" s="15">
        <v>9307.4</v>
      </c>
      <c r="L7" s="6">
        <v>301.39999999999998</v>
      </c>
      <c r="M7" s="6">
        <v>13.8</v>
      </c>
      <c r="N7" s="6">
        <v>159.5</v>
      </c>
      <c r="O7" s="6">
        <v>175980.7</v>
      </c>
      <c r="P7" s="6">
        <v>545.79999999999995</v>
      </c>
      <c r="Q7" s="6">
        <v>1833295.7</v>
      </c>
      <c r="R7" s="6">
        <v>979.2</v>
      </c>
      <c r="S7" s="6">
        <v>161.4</v>
      </c>
      <c r="T7" s="6">
        <v>449.7</v>
      </c>
      <c r="U7" s="6">
        <v>101.1</v>
      </c>
    </row>
    <row r="8" spans="2:21" x14ac:dyDescent="0.25">
      <c r="B8" s="7" t="s">
        <v>65</v>
      </c>
      <c r="C8" s="9">
        <v>30</v>
      </c>
      <c r="D8" s="16">
        <v>3</v>
      </c>
      <c r="E8" s="9">
        <v>0.5</v>
      </c>
      <c r="F8" s="15">
        <v>100</v>
      </c>
      <c r="G8" s="14">
        <v>5889.1</v>
      </c>
      <c r="H8" s="14">
        <v>250.1</v>
      </c>
      <c r="I8" s="15">
        <v>18510.400000000001</v>
      </c>
      <c r="J8" s="15">
        <v>807.2</v>
      </c>
      <c r="K8" s="15">
        <v>9309.1</v>
      </c>
      <c r="L8" s="6">
        <v>301.89999999999998</v>
      </c>
      <c r="M8" s="6">
        <v>13.9</v>
      </c>
      <c r="N8" s="6">
        <v>159.1</v>
      </c>
      <c r="O8" s="6">
        <v>176099.4</v>
      </c>
      <c r="P8" s="6">
        <v>545.70000000000005</v>
      </c>
      <c r="Q8" s="6">
        <v>1834970.5</v>
      </c>
      <c r="R8" s="6">
        <v>977.8</v>
      </c>
      <c r="S8" s="6">
        <v>159.9</v>
      </c>
      <c r="T8" s="6">
        <v>449.8</v>
      </c>
      <c r="U8" s="6">
        <v>100.7</v>
      </c>
    </row>
    <row r="9" spans="2:21" x14ac:dyDescent="0.25">
      <c r="B9" s="7" t="s">
        <v>65</v>
      </c>
      <c r="C9" s="9">
        <v>30</v>
      </c>
      <c r="D9" s="16">
        <v>4</v>
      </c>
      <c r="E9" s="9">
        <v>0.5</v>
      </c>
      <c r="F9" s="15">
        <v>100</v>
      </c>
      <c r="G9" s="14">
        <v>5901.1</v>
      </c>
      <c r="H9" s="14">
        <v>250.1</v>
      </c>
      <c r="I9" s="15">
        <v>18510.099999999999</v>
      </c>
      <c r="J9" s="15">
        <v>807.3</v>
      </c>
      <c r="K9" s="15">
        <v>9315.2000000000007</v>
      </c>
      <c r="L9" s="6">
        <v>301.8</v>
      </c>
      <c r="M9" s="6">
        <v>13.8</v>
      </c>
      <c r="N9" s="6">
        <v>157.9</v>
      </c>
      <c r="O9" s="6">
        <v>175809.5</v>
      </c>
      <c r="P9" s="6">
        <v>545.9</v>
      </c>
      <c r="Q9" s="6">
        <v>1846376.7</v>
      </c>
      <c r="R9" s="6">
        <v>980</v>
      </c>
      <c r="S9" s="6">
        <v>160.69999999999999</v>
      </c>
      <c r="T9" s="6">
        <v>447.1</v>
      </c>
      <c r="U9" s="6">
        <v>101.2</v>
      </c>
    </row>
    <row r="10" spans="2:21" x14ac:dyDescent="0.25">
      <c r="B10" s="7" t="s">
        <v>65</v>
      </c>
      <c r="C10" s="9">
        <v>30</v>
      </c>
      <c r="D10" s="16">
        <v>5</v>
      </c>
      <c r="E10" s="9">
        <v>0.5</v>
      </c>
      <c r="F10" s="15">
        <v>100</v>
      </c>
      <c r="G10" s="14">
        <v>5903.4</v>
      </c>
      <c r="H10" s="14">
        <v>250.3</v>
      </c>
      <c r="I10" s="15">
        <v>18510.2</v>
      </c>
      <c r="J10" s="15">
        <v>807.1</v>
      </c>
      <c r="K10" s="15">
        <v>9305.5</v>
      </c>
      <c r="L10" s="6">
        <v>301.8</v>
      </c>
      <c r="M10" s="6">
        <v>13.9</v>
      </c>
      <c r="N10" s="6">
        <v>158.5</v>
      </c>
      <c r="O10" s="6">
        <v>176109.4</v>
      </c>
      <c r="P10" s="6">
        <v>545.79999999999995</v>
      </c>
      <c r="Q10" s="6">
        <v>1837025.1</v>
      </c>
      <c r="R10" s="6">
        <v>981.1</v>
      </c>
      <c r="S10" s="6">
        <v>160.9</v>
      </c>
      <c r="T10" s="6">
        <v>447.7</v>
      </c>
      <c r="U10" s="6">
        <v>101</v>
      </c>
    </row>
    <row r="11" spans="2:21" x14ac:dyDescent="0.25">
      <c r="B11" s="7" t="s">
        <v>66</v>
      </c>
      <c r="C11" s="9"/>
      <c r="D11" s="6"/>
      <c r="E11" s="9"/>
      <c r="F11" s="10">
        <f>100*STDEV(F6:F10)/AVERAGE(Таблица134[6])</f>
        <v>0</v>
      </c>
      <c r="G11" s="10">
        <f>100*STDEV(G6:G10)/AVERAGE(Таблица134[7])</f>
        <v>0.10851797215165633</v>
      </c>
      <c r="H11" s="10">
        <f>100*STDEV(H6:H10)/AVERAGE(Таблица134[8])</f>
        <v>3.5757063684336454E-2</v>
      </c>
      <c r="I11" s="10">
        <f>100*STDEV(I6:I10)/AVERAGE(Таблица134[9])</f>
        <v>1.9403152673873769E-2</v>
      </c>
      <c r="J11" s="10">
        <f>100*STDEV(J6:J10)/AVERAGE(Таблица134[10])</f>
        <v>1.1081163474400049E-2</v>
      </c>
      <c r="K11" s="10">
        <f>100*STDEV(K6:K10)/AVERAGE(Таблица134[11])</f>
        <v>4.0470689410179644E-2</v>
      </c>
      <c r="L11" s="10">
        <f>100*STDEV(L6:L10)/AVERAGE(Таблица134[12])</f>
        <v>7.9835540534328661E-2</v>
      </c>
      <c r="M11" s="10">
        <f>100*STDEV(M6:M10)/AVERAGE(Таблица134[13])</f>
        <v>0.3951822204221962</v>
      </c>
      <c r="N11" s="10">
        <f>100*STDEV(N6:N10)/AVERAGE(Таблица134[14])</f>
        <v>0.38215322888000597</v>
      </c>
      <c r="O11" s="10">
        <f>100*STDEV(O6:O10)/AVERAGE(Таблица134[15])</f>
        <v>7.3494161062950716E-2</v>
      </c>
      <c r="P11" s="10">
        <f>100*STDEV(P6:P10)/AVERAGE(Таблица134[16])</f>
        <v>2.0891516877360908E-2</v>
      </c>
      <c r="Q11" s="10">
        <f>100*STDEV(Q6:Q10)/AVERAGE(Таблица134[17])</f>
        <v>0.36889396822626513</v>
      </c>
      <c r="R11" s="10">
        <f>100*STDEV(R6:R10)/AVERAGE(Таблица134[18])</f>
        <v>0.13901080696038406</v>
      </c>
      <c r="S11" s="10">
        <f>100*STDEV(S6:S10)/AVERAGE(Таблица134[19])</f>
        <v>0.54236221753288416</v>
      </c>
      <c r="T11" s="10">
        <f>100*STDEV(T6:T10)/AVERAGE(Таблица134[20])</f>
        <v>0.34374402606164661</v>
      </c>
      <c r="U11" s="10">
        <f>100*STDEV(U6:U10)/AVERAGE(Таблица134[21])</f>
        <v>0.52223446584404443</v>
      </c>
    </row>
    <row r="12" spans="2:21" x14ac:dyDescent="0.25">
      <c r="B12" s="7"/>
      <c r="C12" s="9"/>
      <c r="D12" s="6"/>
      <c r="E12" s="9"/>
      <c r="F12" s="10"/>
      <c r="G12" s="10"/>
      <c r="H12" s="10"/>
      <c r="I12" s="10"/>
      <c r="J12" s="10"/>
      <c r="K12" s="10"/>
      <c r="N12" s="8"/>
    </row>
    <row r="13" spans="2:21" x14ac:dyDescent="0.25">
      <c r="B13" s="3" t="s">
        <v>5</v>
      </c>
      <c r="C13" s="4"/>
      <c r="D13" s="4"/>
      <c r="E13" s="4"/>
      <c r="F13" s="4"/>
      <c r="G13" s="4"/>
      <c r="H13" s="4"/>
      <c r="I13" s="4"/>
      <c r="J13" s="4"/>
      <c r="K13" s="4"/>
    </row>
    <row r="14" spans="2:21" ht="17.25" x14ac:dyDescent="0.25">
      <c r="B14" t="s">
        <v>46</v>
      </c>
      <c r="I14" t="s">
        <v>36</v>
      </c>
      <c r="K14">
        <v>0.75</v>
      </c>
    </row>
    <row r="15" spans="2:21" x14ac:dyDescent="0.25">
      <c r="B15" t="s">
        <v>8</v>
      </c>
      <c r="I15" t="s">
        <v>6</v>
      </c>
      <c r="K15" s="5">
        <v>101325</v>
      </c>
    </row>
    <row r="16" spans="2:21" ht="17.25" x14ac:dyDescent="0.25">
      <c r="B16" t="s">
        <v>45</v>
      </c>
      <c r="I16" t="s">
        <v>7</v>
      </c>
      <c r="K16">
        <v>8314460</v>
      </c>
    </row>
    <row r="17" spans="2:11" x14ac:dyDescent="0.25">
      <c r="B17" t="s">
        <v>9</v>
      </c>
      <c r="I17" t="s">
        <v>10</v>
      </c>
      <c r="K17">
        <v>26.04</v>
      </c>
    </row>
    <row r="18" spans="2:11" x14ac:dyDescent="0.25">
      <c r="B18" t="s">
        <v>14</v>
      </c>
      <c r="I18" t="s">
        <v>17</v>
      </c>
      <c r="K18">
        <v>9.7000000000000003E-3</v>
      </c>
    </row>
    <row r="19" spans="2:11" ht="17.25" x14ac:dyDescent="0.25">
      <c r="B19" t="s">
        <v>44</v>
      </c>
      <c r="I19" t="s">
        <v>35</v>
      </c>
      <c r="K19">
        <v>0.13300000000000001</v>
      </c>
    </row>
    <row r="20" spans="2:11" x14ac:dyDescent="0.25">
      <c r="B20" t="s">
        <v>29</v>
      </c>
      <c r="I20" t="s">
        <v>11</v>
      </c>
      <c r="K20">
        <f>AVERAGE(Таблица134[2])</f>
        <v>30</v>
      </c>
    </row>
    <row r="22" spans="2:11" x14ac:dyDescent="0.25">
      <c r="B22" s="3" t="s">
        <v>12</v>
      </c>
      <c r="C22" s="4"/>
      <c r="D22" s="4"/>
      <c r="E22" s="4"/>
      <c r="F22" s="4"/>
      <c r="G22" s="4"/>
      <c r="H22" s="4"/>
      <c r="I22" s="4"/>
      <c r="J22" s="4"/>
      <c r="K22" s="4"/>
    </row>
    <row r="23" spans="2:11" x14ac:dyDescent="0.25">
      <c r="B23" s="2" t="s">
        <v>37</v>
      </c>
    </row>
    <row r="24" spans="2:11" x14ac:dyDescent="0.25">
      <c r="B24" t="s">
        <v>34</v>
      </c>
      <c r="I24" t="s">
        <v>13</v>
      </c>
      <c r="K24">
        <f>AVERAGE(Таблица134[7])</f>
        <v>5899.8</v>
      </c>
    </row>
    <row r="26" spans="2:11" x14ac:dyDescent="0.25">
      <c r="B26" s="2" t="s">
        <v>38</v>
      </c>
    </row>
    <row r="27" spans="2:11" x14ac:dyDescent="0.25">
      <c r="B27" s="1" t="s">
        <v>15</v>
      </c>
      <c r="I27" t="s">
        <v>16</v>
      </c>
      <c r="K27">
        <f>0.01*K15*K17*K18*K14/(K16*(K20+273))</f>
        <v>7.6192796395772188E-8</v>
      </c>
    </row>
    <row r="29" spans="2:11" x14ac:dyDescent="0.25">
      <c r="B29" s="2" t="s">
        <v>39</v>
      </c>
    </row>
    <row r="30" spans="2:11" x14ac:dyDescent="0.25">
      <c r="B30" t="s">
        <v>18</v>
      </c>
      <c r="I30" t="s">
        <v>40</v>
      </c>
      <c r="K30">
        <f>2*MAX(Таблица134[4])*K27/(K24*K19)</f>
        <v>9.7101286211272344E-11</v>
      </c>
    </row>
    <row r="32" spans="2:11" x14ac:dyDescent="0.25">
      <c r="B32" s="2" t="s">
        <v>41</v>
      </c>
    </row>
    <row r="33" spans="2:2" x14ac:dyDescent="0.25">
      <c r="B33" t="s">
        <v>42</v>
      </c>
    </row>
    <row r="34" spans="2:2" x14ac:dyDescent="0.25">
      <c r="B34" t="s">
        <v>43</v>
      </c>
    </row>
    <row r="36" spans="2:2" x14ac:dyDescent="0.25">
      <c r="B36" t="s">
        <v>48</v>
      </c>
    </row>
  </sheetData>
  <mergeCells count="12">
    <mergeCell ref="L3:M3"/>
    <mergeCell ref="N3:O3"/>
    <mergeCell ref="P3:Q3"/>
    <mergeCell ref="R3:S3"/>
    <mergeCell ref="T3:U3"/>
    <mergeCell ref="J3:K3"/>
    <mergeCell ref="H3:I3"/>
    <mergeCell ref="F3:G3"/>
    <mergeCell ref="B3:B4"/>
    <mergeCell ref="C3:C4"/>
    <mergeCell ref="D3:D4"/>
    <mergeCell ref="E3:E4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hatred-scorn-intolerance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Windows User</cp:lastModifiedBy>
  <dcterms:created xsi:type="dcterms:W3CDTF">2017-11-23T12:18:20Z</dcterms:created>
  <dcterms:modified xsi:type="dcterms:W3CDTF">2017-12-16T16:28:16Z</dcterms:modified>
</cp:coreProperties>
</file>