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opia" sheetId="1" state="visible" r:id="rId2"/>
    <sheet name="Metricas" sheetId="2" state="hidden" r:id="rId3"/>
    <sheet name="Particionamiento" sheetId="3" state="visible" r:id="rId4"/>
  </sheets>
  <definedNames>
    <definedName function="false" hidden="true" localSheetId="0" name="_xlnm._FilterDatabase" vbProcedure="false">Entropia!$A$2:$F$16</definedName>
    <definedName function="false" hidden="true" localSheetId="1" name="_xlnm._FilterDatabase" vbProcedure="false">Metricas!$A$2:$F$16</definedName>
    <definedName function="false" hidden="false" localSheetId="2" name="_xlnm._FilterDatabase" vbProcedure="false">Particionamiento!$A$2:$F$17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<sst xmlns="http://schemas.openxmlformats.org/spreadsheetml/2006/main" count="491" uniqueCount="92">
  <si>
    <t xml:space="preserve">ID</t>
  </si>
  <si>
    <t xml:space="preserve">outlook</t>
  </si>
  <si>
    <t xml:space="preserve">temperature</t>
  </si>
  <si>
    <t xml:space="preserve">humidity</t>
  </si>
  <si>
    <t xml:space="preserve">windy</t>
  </si>
  <si>
    <t xml:space="preserve">play (X)</t>
  </si>
  <si>
    <t xml:space="preserve">sunny</t>
  </si>
  <si>
    <t xml:space="preserve">hot</t>
  </si>
  <si>
    <t xml:space="preserve">high</t>
  </si>
  <si>
    <t xml:space="preserve">FALSE</t>
  </si>
  <si>
    <t xml:space="preserve">no</t>
  </si>
  <si>
    <t xml:space="preserve">TRUE</t>
  </si>
  <si>
    <t xml:space="preserve">overcast</t>
  </si>
  <si>
    <t xml:space="preserve">yes</t>
  </si>
  <si>
    <t xml:space="preserve">rainy</t>
  </si>
  <si>
    <t xml:space="preserve">mild</t>
  </si>
  <si>
    <t xml:space="preserve">cool</t>
  </si>
  <si>
    <t xml:space="preserve">normal</t>
  </si>
  <si>
    <t xml:space="preserve">ID3</t>
  </si>
  <si>
    <t xml:space="preserve">1. Calcular el estado inicial de desorden: </t>
  </si>
  <si>
    <t xml:space="preserve">Play (Y)</t>
  </si>
  <si>
    <t xml:space="preserve">H</t>
  </si>
  <si>
    <t xml:space="preserve">p(Y=no)</t>
  </si>
  <si>
    <t xml:space="preserve">-p(Y=no) log p(Y=no)</t>
  </si>
  <si>
    <t xml:space="preserve">p(Y=yes)</t>
  </si>
  <si>
    <t xml:space="preserve">-p(Y=yes) log p(Y=yes)</t>
  </si>
  <si>
    <t xml:space="preserve">2. Evaluar cada variable, calcular su ganancia de información a partir de su entropía condicional</t>
  </si>
  <si>
    <t xml:space="preserve">Outlook</t>
  </si>
  <si>
    <t xml:space="preserve">GAIN</t>
  </si>
  <si>
    <t xml:space="preserve">p(sunny)</t>
  </si>
  <si>
    <t xml:space="preserve">p(yes|sunny)</t>
  </si>
  <si>
    <t xml:space="preserve">p(no|sunny)</t>
  </si>
  <si>
    <t xml:space="preserve">p(overcast)</t>
  </si>
  <si>
    <t xml:space="preserve">p(yes|overcast)</t>
  </si>
  <si>
    <t xml:space="preserve">p(no|overcast)</t>
  </si>
  <si>
    <t xml:space="preserve">p(rainy)</t>
  </si>
  <si>
    <t xml:space="preserve">p(yes|rainy)</t>
  </si>
  <si>
    <t xml:space="preserve">p(no|rainy)</t>
  </si>
  <si>
    <t xml:space="preserve">Temperature</t>
  </si>
  <si>
    <t xml:space="preserve">p(hot)</t>
  </si>
  <si>
    <t xml:space="preserve">p(yes|hot)</t>
  </si>
  <si>
    <t xml:space="preserve">p(no|hot)</t>
  </si>
  <si>
    <t xml:space="preserve">p(mild)</t>
  </si>
  <si>
    <t xml:space="preserve">p(yes|mild)</t>
  </si>
  <si>
    <t xml:space="preserve">p(no|mild)</t>
  </si>
  <si>
    <t xml:space="preserve">p(cool)</t>
  </si>
  <si>
    <t xml:space="preserve">p(yes|cool)</t>
  </si>
  <si>
    <t xml:space="preserve">p(no|cool)</t>
  </si>
  <si>
    <t xml:space="preserve">Humidity</t>
  </si>
  <si>
    <t xml:space="preserve">p(normal)</t>
  </si>
  <si>
    <t xml:space="preserve">p(yes|normal)</t>
  </si>
  <si>
    <t xml:space="preserve">p(no|normal)</t>
  </si>
  <si>
    <t xml:space="preserve">p(high)</t>
  </si>
  <si>
    <t xml:space="preserve">p(yes|high)</t>
  </si>
  <si>
    <t xml:space="preserve">p(no|high)</t>
  </si>
  <si>
    <t xml:space="preserve">Windy</t>
  </si>
  <si>
    <t xml:space="preserve">p(FALSE)</t>
  </si>
  <si>
    <t xml:space="preserve">p(yes|W=FALSE)</t>
  </si>
  <si>
    <t xml:space="preserve">p(no|W=FALSE)</t>
  </si>
  <si>
    <t xml:space="preserve">p(TRUE)</t>
  </si>
  <si>
    <t xml:space="preserve">p(yes|W=TRUE)</t>
  </si>
  <si>
    <t xml:space="preserve">p(no|W=TRUE)</t>
  </si>
  <si>
    <t xml:space="preserve">CART</t>
  </si>
  <si>
    <t xml:space="preserve">CHAID</t>
  </si>
  <si>
    <t xml:space="preserve">Gini</t>
  </si>
  <si>
    <t xml:space="preserve">play</t>
  </si>
  <si>
    <t xml:space="preserve">Observed</t>
  </si>
  <si>
    <t xml:space="preserve">n</t>
  </si>
  <si>
    <t xml:space="preserve">p</t>
  </si>
  <si>
    <t xml:space="preserve">w</t>
  </si>
  <si>
    <t xml:space="preserve">Split</t>
  </si>
  <si>
    <t xml:space="preserve">Avg.Gini</t>
  </si>
  <si>
    <t xml:space="preserve">Expected</t>
  </si>
  <si>
    <t xml:space="preserve">(overcast | rainy)</t>
  </si>
  <si>
    <t xml:space="preserve">(sunny | rainy)</t>
  </si>
  <si>
    <t xml:space="preserve">(sunny | overcast)</t>
  </si>
  <si>
    <t xml:space="preserve">(mild |
cool)</t>
  </si>
  <si>
    <t xml:space="preserve">(hot |
cool)</t>
  </si>
  <si>
    <t xml:space="preserve">(hot | mild)</t>
  </si>
  <si>
    <t xml:space="preserve">CHI2</t>
  </si>
  <si>
    <t xml:space="preserve">p1</t>
  </si>
  <si>
    <t xml:space="preserve">p2</t>
  </si>
  <si>
    <t xml:space="preserve">a</t>
  </si>
  <si>
    <t xml:space="preserve">P1</t>
  </si>
  <si>
    <t xml:space="preserve">b</t>
  </si>
  <si>
    <t xml:space="preserve">p(a)</t>
  </si>
  <si>
    <t xml:space="preserve">p(yes|a)</t>
  </si>
  <si>
    <t xml:space="preserve">p(no|a)</t>
  </si>
  <si>
    <t xml:space="preserve">p(b)</t>
  </si>
  <si>
    <t xml:space="preserve">p(yes|b)</t>
  </si>
  <si>
    <t xml:space="preserve">p(no|b)</t>
  </si>
  <si>
    <t xml:space="preserve">P2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</si>
</sst>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%"/>
    <numFmt numFmtId="167" formatCode="0.00"/>
    <numFmt numFmtId="168" formatCode="0.000"/>
    <numFmt numFmtId="169" formatCode="0"/>
    <numFmt numFmtId="170" formatCode="0.0"/>
    <numFmt numFmtId="171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F8CBAD"/>
        <bgColor rgb="FFFFE699"/>
      </patternFill>
    </fill>
    <fill>
      <patternFill patternType="solid">
        <fgColor rgb="FFE2F0D9"/>
        <bgColor rgb="FFD9D9D9"/>
      </patternFill>
    </fill>
    <fill>
      <patternFill patternType="solid">
        <fgColor rgb="FFBF9000"/>
        <bgColor rgb="FF808000"/>
      </patternFill>
    </fill>
    <fill>
      <patternFill patternType="solid">
        <fgColor rgb="FFD0CECE"/>
        <bgColor rgb="FFD9D9D9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dashed"/>
      <top style="medium"/>
      <bottom/>
      <diagonal/>
    </border>
    <border diagonalUp="false" diagonalDown="false">
      <left style="dashed"/>
      <right style="medium"/>
      <top style="medium"/>
      <bottom/>
      <diagonal/>
    </border>
    <border diagonalUp="false" diagonalDown="false">
      <left style="medium"/>
      <right style="dashed"/>
      <top style="medium"/>
      <bottom style="thin"/>
      <diagonal/>
    </border>
    <border diagonalUp="false" diagonalDown="false">
      <left style="dashed"/>
      <right style="dashed"/>
      <top style="medium"/>
      <bottom style="thin"/>
      <diagonal/>
    </border>
    <border diagonalUp="false" diagonalDown="false">
      <left style="dashed"/>
      <right style="medium"/>
      <top style="medium"/>
      <bottom style="medium"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medium"/>
      <right style="dashed"/>
      <top/>
      <bottom style="medium"/>
      <diagonal/>
    </border>
    <border diagonalUp="false" diagonalDown="false">
      <left style="medium"/>
      <right style="dashed"/>
      <top style="thin"/>
      <bottom style="medium"/>
      <diagonal/>
    </border>
    <border diagonalUp="false" diagonalDown="false">
      <left style="dashed"/>
      <right style="dashed"/>
      <top style="thin"/>
      <bottom style="medium"/>
      <diagonal/>
    </border>
    <border diagonalUp="false" diagonalDown="false">
      <left style="dashed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  <border diagonalUp="false" diagonalDown="false">
      <left style="medium"/>
      <right style="dotted"/>
      <top/>
      <bottom style="thin"/>
      <diagonal/>
    </border>
    <border diagonalUp="false" diagonalDown="false">
      <left style="dotted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dotted"/>
      <top style="thin"/>
      <bottom style="thin"/>
      <diagonal/>
    </border>
    <border diagonalUp="false" diagonalDown="false">
      <left style="dotted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dotted"/>
      <top style="thin"/>
      <bottom style="medium"/>
      <diagonal/>
    </border>
    <border diagonalUp="false" diagonalDown="false">
      <left style="dotted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medium"/>
      <right style="dotted"/>
      <top style="medium"/>
      <bottom style="thin"/>
      <diagonal/>
    </border>
    <border diagonalUp="false" diagonalDown="false">
      <left style="dotted"/>
      <right style="medium"/>
      <top style="medium"/>
      <bottom style="thin"/>
      <diagonal/>
    </border>
    <border diagonalUp="false" diagonalDown="false">
      <left style="dotted"/>
      <right style="medium"/>
      <top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8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743400</xdr:colOff>
      <xdr:row>18</xdr:row>
      <xdr:rowOff>28440</xdr:rowOff>
    </xdr:from>
    <xdr:to>
      <xdr:col>7</xdr:col>
      <xdr:colOff>171720</xdr:colOff>
      <xdr:row>19</xdr:row>
      <xdr:rowOff>96840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974880" y="3504960"/>
          <a:ext cx="3249720" cy="24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23</xdr:row>
      <xdr:rowOff>18000</xdr:rowOff>
    </xdr:from>
    <xdr:to>
      <xdr:col>5</xdr:col>
      <xdr:colOff>390240</xdr:colOff>
      <xdr:row>24</xdr:row>
      <xdr:rowOff>57240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984960" y="4412160"/>
          <a:ext cx="2682360" cy="23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162360</xdr:colOff>
      <xdr:row>23</xdr:row>
      <xdr:rowOff>9360</xdr:rowOff>
    </xdr:from>
    <xdr:to>
      <xdr:col>4</xdr:col>
      <xdr:colOff>142560</xdr:colOff>
      <xdr:row>24</xdr:row>
      <xdr:rowOff>66600</xdr:rowOff>
    </xdr:to>
    <xdr:sp>
      <xdr:nvSpPr>
        <xdr:cNvPr id="2" name="CustomShape 1"/>
        <xdr:cNvSpPr/>
      </xdr:nvSpPr>
      <xdr:spPr>
        <a:xfrm>
          <a:off x="1900080" y="4403520"/>
          <a:ext cx="766440" cy="257040"/>
        </a:xfrm>
        <a:prstGeom prst="roundRect">
          <a:avLst>
            <a:gd name="adj" fmla="val 16667"/>
          </a:avLst>
        </a:prstGeom>
        <a:noFill/>
        <a:ln w="2556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-3693600</xdr:colOff>
      <xdr:row>21</xdr:row>
      <xdr:rowOff>141120</xdr:rowOff>
    </xdr:from>
    <xdr:to>
      <xdr:col>0</xdr:col>
      <xdr:colOff>-715680</xdr:colOff>
      <xdr:row>22</xdr:row>
      <xdr:rowOff>36000</xdr:rowOff>
    </xdr:to>
    <xdr:sp>
      <xdr:nvSpPr>
        <xdr:cNvPr id="3" name="CustomShape 1"/>
        <xdr:cNvSpPr/>
      </xdr:nvSpPr>
      <xdr:spPr>
        <a:xfrm flipV="1">
          <a:off x="-3693600" y="4168080"/>
          <a:ext cx="2977920" cy="78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28440</xdr:colOff>
      <xdr:row>22</xdr:row>
      <xdr:rowOff>0</xdr:rowOff>
    </xdr:from>
    <xdr:to>
      <xdr:col>9</xdr:col>
      <xdr:colOff>342360</xdr:colOff>
      <xdr:row>24</xdr:row>
      <xdr:rowOff>175320</xdr:rowOff>
    </xdr:to>
    <xdr:sp>
      <xdr:nvSpPr>
        <xdr:cNvPr id="4" name="CustomShape 1"/>
        <xdr:cNvSpPr/>
      </xdr:nvSpPr>
      <xdr:spPr>
        <a:xfrm>
          <a:off x="5220720" y="4210560"/>
          <a:ext cx="313920" cy="558720"/>
        </a:xfrm>
        <a:prstGeom prst="roundRect">
          <a:avLst>
            <a:gd name="adj" fmla="val 16667"/>
          </a:avLst>
        </a:prstGeom>
        <a:noFill/>
        <a:ln w="2556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257040</xdr:colOff>
      <xdr:row>23</xdr:row>
      <xdr:rowOff>9360</xdr:rowOff>
    </xdr:from>
    <xdr:to>
      <xdr:col>5</xdr:col>
      <xdr:colOff>389880</xdr:colOff>
      <xdr:row>24</xdr:row>
      <xdr:rowOff>66600</xdr:rowOff>
    </xdr:to>
    <xdr:sp>
      <xdr:nvSpPr>
        <xdr:cNvPr id="5" name="CustomShape 1"/>
        <xdr:cNvSpPr/>
      </xdr:nvSpPr>
      <xdr:spPr>
        <a:xfrm>
          <a:off x="2781000" y="4403520"/>
          <a:ext cx="885960" cy="257040"/>
        </a:xfrm>
        <a:prstGeom prst="roundRect">
          <a:avLst>
            <a:gd name="adj" fmla="val 16667"/>
          </a:avLst>
        </a:prstGeom>
        <a:noFill/>
        <a:ln w="2556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704880</xdr:colOff>
      <xdr:row>24</xdr:row>
      <xdr:rowOff>67320</xdr:rowOff>
    </xdr:from>
    <xdr:to>
      <xdr:col>14</xdr:col>
      <xdr:colOff>180720</xdr:colOff>
      <xdr:row>24</xdr:row>
      <xdr:rowOff>175320</xdr:rowOff>
    </xdr:to>
    <xdr:sp>
      <xdr:nvSpPr>
        <xdr:cNvPr id="6" name="CustomShape 1"/>
        <xdr:cNvSpPr/>
      </xdr:nvSpPr>
      <xdr:spPr>
        <a:xfrm>
          <a:off x="3228840" y="4661280"/>
          <a:ext cx="5928120" cy="108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chemeClr val="accent2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19080</xdr:colOff>
      <xdr:row>22</xdr:row>
      <xdr:rowOff>9360</xdr:rowOff>
    </xdr:from>
    <xdr:to>
      <xdr:col>14</xdr:col>
      <xdr:colOff>342720</xdr:colOff>
      <xdr:row>24</xdr:row>
      <xdr:rowOff>175320</xdr:rowOff>
    </xdr:to>
    <xdr:sp>
      <xdr:nvSpPr>
        <xdr:cNvPr id="7" name="CustomShape 1"/>
        <xdr:cNvSpPr/>
      </xdr:nvSpPr>
      <xdr:spPr>
        <a:xfrm>
          <a:off x="8995320" y="4219920"/>
          <a:ext cx="323640" cy="549360"/>
        </a:xfrm>
        <a:prstGeom prst="roundRect">
          <a:avLst>
            <a:gd name="adj" fmla="val 16667"/>
          </a:avLst>
        </a:prstGeom>
        <a:noFill/>
        <a:ln w="2556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47520</xdr:colOff>
      <xdr:row>16</xdr:row>
      <xdr:rowOff>38160</xdr:rowOff>
    </xdr:from>
    <xdr:to>
      <xdr:col>20</xdr:col>
      <xdr:colOff>495000</xdr:colOff>
      <xdr:row>18</xdr:row>
      <xdr:rowOff>133200</xdr:rowOff>
    </xdr:to>
    <xdr:pic>
      <xdr:nvPicPr>
        <xdr:cNvPr id="8" name="Imagen 18" descr=""/>
        <xdr:cNvPicPr/>
      </xdr:nvPicPr>
      <xdr:blipFill>
        <a:blip r:embed="rId3"/>
        <a:stretch/>
      </xdr:blipFill>
      <xdr:spPr>
        <a:xfrm>
          <a:off x="8610480" y="3114720"/>
          <a:ext cx="387648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223560</xdr:colOff>
      <xdr:row>18</xdr:row>
      <xdr:rowOff>104760</xdr:rowOff>
    </xdr:from>
    <xdr:to>
      <xdr:col>17</xdr:col>
      <xdr:colOff>37440</xdr:colOff>
      <xdr:row>22</xdr:row>
      <xdr:rowOff>18720</xdr:rowOff>
    </xdr:to>
    <xdr:sp>
      <xdr:nvSpPr>
        <xdr:cNvPr id="9" name="CustomShape 1"/>
        <xdr:cNvSpPr/>
      </xdr:nvSpPr>
      <xdr:spPr>
        <a:xfrm flipH="1">
          <a:off x="7237080" y="3581280"/>
          <a:ext cx="3134880" cy="648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chemeClr val="accent6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199800</xdr:colOff>
      <xdr:row>18</xdr:row>
      <xdr:rowOff>123840</xdr:rowOff>
    </xdr:from>
    <xdr:to>
      <xdr:col>17</xdr:col>
      <xdr:colOff>18360</xdr:colOff>
      <xdr:row>22</xdr:row>
      <xdr:rowOff>18720</xdr:rowOff>
    </xdr:to>
    <xdr:sp>
      <xdr:nvSpPr>
        <xdr:cNvPr id="10" name="CustomShape 1"/>
        <xdr:cNvSpPr/>
      </xdr:nvSpPr>
      <xdr:spPr>
        <a:xfrm flipH="1">
          <a:off x="8762760" y="3600360"/>
          <a:ext cx="1590120" cy="628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chemeClr val="accent6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257040</xdr:colOff>
      <xdr:row>17</xdr:row>
      <xdr:rowOff>38880</xdr:rowOff>
    </xdr:from>
    <xdr:to>
      <xdr:col>18</xdr:col>
      <xdr:colOff>437760</xdr:colOff>
      <xdr:row>18</xdr:row>
      <xdr:rowOff>104400</xdr:rowOff>
    </xdr:to>
    <xdr:sp>
      <xdr:nvSpPr>
        <xdr:cNvPr id="11" name="CustomShape 1"/>
        <xdr:cNvSpPr/>
      </xdr:nvSpPr>
      <xdr:spPr>
        <a:xfrm>
          <a:off x="9785160" y="3315240"/>
          <a:ext cx="1138320" cy="265680"/>
        </a:xfrm>
        <a:prstGeom prst="roundRect">
          <a:avLst>
            <a:gd name="adj" fmla="val 16667"/>
          </a:avLst>
        </a:prstGeom>
        <a:noFill/>
        <a:ln w="2556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9360</xdr:colOff>
      <xdr:row>22</xdr:row>
      <xdr:rowOff>19080</xdr:rowOff>
    </xdr:from>
    <xdr:to>
      <xdr:col>11</xdr:col>
      <xdr:colOff>437760</xdr:colOff>
      <xdr:row>24</xdr:row>
      <xdr:rowOff>171720</xdr:rowOff>
    </xdr:to>
    <xdr:sp>
      <xdr:nvSpPr>
        <xdr:cNvPr id="12" name="CustomShape 1"/>
        <xdr:cNvSpPr/>
      </xdr:nvSpPr>
      <xdr:spPr>
        <a:xfrm>
          <a:off x="7022880" y="4229640"/>
          <a:ext cx="428400" cy="536040"/>
        </a:xfrm>
        <a:prstGeom prst="roundRect">
          <a:avLst>
            <a:gd name="adj" fmla="val 16667"/>
          </a:avLst>
        </a:prstGeom>
        <a:noFill/>
        <a:ln w="2556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28440</xdr:colOff>
      <xdr:row>22</xdr:row>
      <xdr:rowOff>19080</xdr:rowOff>
    </xdr:from>
    <xdr:to>
      <xdr:col>13</xdr:col>
      <xdr:colOff>371160</xdr:colOff>
      <xdr:row>24</xdr:row>
      <xdr:rowOff>171720</xdr:rowOff>
    </xdr:to>
    <xdr:sp>
      <xdr:nvSpPr>
        <xdr:cNvPr id="13" name="CustomShape 1"/>
        <xdr:cNvSpPr/>
      </xdr:nvSpPr>
      <xdr:spPr>
        <a:xfrm>
          <a:off x="8591400" y="4229640"/>
          <a:ext cx="342720" cy="536040"/>
        </a:xfrm>
        <a:prstGeom prst="roundRect">
          <a:avLst>
            <a:gd name="adj" fmla="val 16667"/>
          </a:avLst>
        </a:prstGeom>
        <a:noFill/>
        <a:ln w="2556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38160</xdr:colOff>
      <xdr:row>16</xdr:row>
      <xdr:rowOff>19080</xdr:rowOff>
    </xdr:from>
    <xdr:to>
      <xdr:col>15</xdr:col>
      <xdr:colOff>142560</xdr:colOff>
      <xdr:row>17</xdr:row>
      <xdr:rowOff>76680</xdr:rowOff>
    </xdr:to>
    <xdr:sp>
      <xdr:nvSpPr>
        <xdr:cNvPr id="14" name="CustomShape 1"/>
        <xdr:cNvSpPr/>
      </xdr:nvSpPr>
      <xdr:spPr>
        <a:xfrm>
          <a:off x="8601120" y="3095640"/>
          <a:ext cx="1069560" cy="257400"/>
        </a:xfrm>
        <a:prstGeom prst="roundRect">
          <a:avLst>
            <a:gd name="adj" fmla="val 16667"/>
          </a:avLst>
        </a:prstGeom>
        <a:noFill/>
        <a:ln w="2556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743400</xdr:colOff>
      <xdr:row>23</xdr:row>
      <xdr:rowOff>0</xdr:rowOff>
    </xdr:from>
    <xdr:to>
      <xdr:col>2</xdr:col>
      <xdr:colOff>590760</xdr:colOff>
      <xdr:row>24</xdr:row>
      <xdr:rowOff>57240</xdr:rowOff>
    </xdr:to>
    <xdr:sp>
      <xdr:nvSpPr>
        <xdr:cNvPr id="15" name="CustomShape 1"/>
        <xdr:cNvSpPr/>
      </xdr:nvSpPr>
      <xdr:spPr>
        <a:xfrm>
          <a:off x="974880" y="4394160"/>
          <a:ext cx="600480" cy="257040"/>
        </a:xfrm>
        <a:prstGeom prst="roundRect">
          <a:avLst>
            <a:gd name="adj" fmla="val 16667"/>
          </a:avLst>
        </a:prstGeom>
        <a:noFill/>
        <a:ln w="2556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9360</xdr:colOff>
      <xdr:row>22</xdr:row>
      <xdr:rowOff>19080</xdr:rowOff>
    </xdr:from>
    <xdr:to>
      <xdr:col>15</xdr:col>
      <xdr:colOff>323280</xdr:colOff>
      <xdr:row>24</xdr:row>
      <xdr:rowOff>171720</xdr:rowOff>
    </xdr:to>
    <xdr:sp>
      <xdr:nvSpPr>
        <xdr:cNvPr id="16" name="CustomShape 1"/>
        <xdr:cNvSpPr/>
      </xdr:nvSpPr>
      <xdr:spPr>
        <a:xfrm>
          <a:off x="9537480" y="4229640"/>
          <a:ext cx="313920" cy="536040"/>
        </a:xfrm>
        <a:prstGeom prst="roundRect">
          <a:avLst>
            <a:gd name="adj" fmla="val 16667"/>
          </a:avLst>
        </a:prstGeom>
        <a:noFill/>
        <a:ln w="2556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showFormulas="false" showGridLines="false" showRowColHeaders="true" showZeros="true" rightToLeft="false" tabSelected="true" showOutlineSymbols="true" defaultGridColor="true" view="normal" topLeftCell="E16" colorId="64" zoomScale="100" zoomScaleNormal="100" zoomScalePageLayoutView="100" workbookViewId="0">
      <selection pane="topLeft" activeCell="R25" activeCellId="0" sqref="R25"/>
    </sheetView>
  </sheetViews>
  <sheetFormatPr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0.67"/>
    <col collapsed="false" customWidth="true" hidden="false" outlineLevel="0" max="4" min="4" style="0" width="11.14"/>
    <col collapsed="false" customWidth="true" hidden="false" outlineLevel="0" max="5" min="5" style="0" width="10.67"/>
    <col collapsed="false" customWidth="true" hidden="false" outlineLevel="0" max="6" min="6" style="0" width="7.42"/>
    <col collapsed="false" customWidth="true" hidden="false" outlineLevel="0" max="8" min="7" style="0" width="3.57"/>
    <col collapsed="false" customWidth="true" hidden="false" outlineLevel="0" max="9" min="9" style="0" width="12.57"/>
    <col collapsed="false" customWidth="true" hidden="false" outlineLevel="0" max="10" min="10" style="0" width="6.67"/>
    <col collapsed="false" customWidth="true" hidden="false" outlineLevel="0" max="11" min="11" style="0" width="19.14"/>
    <col collapsed="false" customWidth="true" hidden="false" outlineLevel="0" max="12" min="12" style="0" width="8.1"/>
    <col collapsed="false" customWidth="true" hidden="false" outlineLevel="0" max="13" min="13" style="0" width="13.86"/>
    <col collapsed="false" customWidth="true" hidden="false" outlineLevel="0" max="14" min="14" style="0" width="5.86"/>
    <col collapsed="false" customWidth="true" hidden="false" outlineLevel="0" max="15" min="15" style="0" width="7.82"/>
    <col collapsed="false" customWidth="true" hidden="false" outlineLevel="0" max="16" min="16" style="0" width="5.43"/>
    <col collapsed="false" customWidth="true" hidden="false" outlineLevel="0" max="17" min="17" style="0" width="6.01"/>
    <col collapsed="false" customWidth="true" hidden="false" outlineLevel="0" max="18" min="18" style="0" width="2.14"/>
    <col collapsed="false" customWidth="true" hidden="false" outlineLevel="0" max="1025" min="19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5" hidden="false" customHeight="false" outlineLevel="0" collapsed="false">
      <c r="A3" s="0" t="n">
        <v>1</v>
      </c>
      <c r="B3" s="5" t="s">
        <v>6</v>
      </c>
      <c r="C3" s="6" t="s">
        <v>7</v>
      </c>
      <c r="D3" s="6" t="s">
        <v>8</v>
      </c>
      <c r="E3" s="6" t="s">
        <v>9</v>
      </c>
      <c r="F3" s="7" t="s">
        <v>10</v>
      </c>
    </row>
    <row r="4" customFormat="false" ht="15" hidden="false" customHeight="false" outlineLevel="0" collapsed="false">
      <c r="A4" s="0" t="n">
        <v>2</v>
      </c>
      <c r="B4" s="5" t="s">
        <v>6</v>
      </c>
      <c r="C4" s="6" t="s">
        <v>7</v>
      </c>
      <c r="D4" s="6" t="s">
        <v>8</v>
      </c>
      <c r="E4" s="6" t="s">
        <v>11</v>
      </c>
      <c r="F4" s="7" t="s">
        <v>10</v>
      </c>
    </row>
    <row r="5" customFormat="false" ht="15" hidden="false" customHeight="false" outlineLevel="0" collapsed="false">
      <c r="A5" s="0" t="n">
        <v>3</v>
      </c>
      <c r="B5" s="5" t="s">
        <v>12</v>
      </c>
      <c r="C5" s="6" t="s">
        <v>7</v>
      </c>
      <c r="D5" s="6" t="s">
        <v>8</v>
      </c>
      <c r="E5" s="6" t="s">
        <v>9</v>
      </c>
      <c r="F5" s="8" t="s">
        <v>13</v>
      </c>
    </row>
    <row r="6" customFormat="false" ht="15" hidden="false" customHeight="false" outlineLevel="0" collapsed="false">
      <c r="A6" s="0" t="n">
        <v>4</v>
      </c>
      <c r="B6" s="5" t="s">
        <v>14</v>
      </c>
      <c r="C6" s="6" t="s">
        <v>15</v>
      </c>
      <c r="D6" s="6" t="s">
        <v>8</v>
      </c>
      <c r="E6" s="6" t="s">
        <v>9</v>
      </c>
      <c r="F6" s="8" t="s">
        <v>13</v>
      </c>
    </row>
    <row r="7" customFormat="false" ht="15" hidden="false" customHeight="false" outlineLevel="0" collapsed="false">
      <c r="A7" s="0" t="n">
        <v>5</v>
      </c>
      <c r="B7" s="5" t="s">
        <v>14</v>
      </c>
      <c r="C7" s="6" t="s">
        <v>16</v>
      </c>
      <c r="D7" s="6" t="s">
        <v>17</v>
      </c>
      <c r="E7" s="6" t="s">
        <v>9</v>
      </c>
      <c r="F7" s="8" t="s">
        <v>13</v>
      </c>
    </row>
    <row r="8" customFormat="false" ht="15" hidden="false" customHeight="false" outlineLevel="0" collapsed="false">
      <c r="A8" s="0" t="n">
        <v>6</v>
      </c>
      <c r="B8" s="5" t="s">
        <v>14</v>
      </c>
      <c r="C8" s="6" t="s">
        <v>16</v>
      </c>
      <c r="D8" s="6" t="s">
        <v>17</v>
      </c>
      <c r="E8" s="6" t="s">
        <v>11</v>
      </c>
      <c r="F8" s="7" t="s">
        <v>10</v>
      </c>
    </row>
    <row r="9" customFormat="false" ht="15" hidden="false" customHeight="false" outlineLevel="0" collapsed="false">
      <c r="A9" s="0" t="n">
        <v>7</v>
      </c>
      <c r="B9" s="5" t="s">
        <v>12</v>
      </c>
      <c r="C9" s="6" t="s">
        <v>16</v>
      </c>
      <c r="D9" s="6" t="s">
        <v>17</v>
      </c>
      <c r="E9" s="6" t="s">
        <v>11</v>
      </c>
      <c r="F9" s="8" t="s">
        <v>13</v>
      </c>
    </row>
    <row r="10" customFormat="false" ht="15" hidden="false" customHeight="false" outlineLevel="0" collapsed="false">
      <c r="A10" s="0" t="n">
        <v>8</v>
      </c>
      <c r="B10" s="5" t="s">
        <v>6</v>
      </c>
      <c r="C10" s="6" t="s">
        <v>15</v>
      </c>
      <c r="D10" s="6" t="s">
        <v>8</v>
      </c>
      <c r="E10" s="6" t="s">
        <v>9</v>
      </c>
      <c r="F10" s="7" t="s">
        <v>10</v>
      </c>
    </row>
    <row r="11" customFormat="false" ht="15" hidden="false" customHeight="false" outlineLevel="0" collapsed="false">
      <c r="A11" s="0" t="n">
        <v>9</v>
      </c>
      <c r="B11" s="5" t="s">
        <v>6</v>
      </c>
      <c r="C11" s="6" t="s">
        <v>16</v>
      </c>
      <c r="D11" s="6" t="s">
        <v>17</v>
      </c>
      <c r="E11" s="6" t="s">
        <v>9</v>
      </c>
      <c r="F11" s="8" t="s">
        <v>13</v>
      </c>
    </row>
    <row r="12" customFormat="false" ht="15" hidden="false" customHeight="false" outlineLevel="0" collapsed="false">
      <c r="A12" s="0" t="n">
        <v>10</v>
      </c>
      <c r="B12" s="5" t="s">
        <v>14</v>
      </c>
      <c r="C12" s="6" t="s">
        <v>15</v>
      </c>
      <c r="D12" s="6" t="s">
        <v>17</v>
      </c>
      <c r="E12" s="6" t="s">
        <v>9</v>
      </c>
      <c r="F12" s="8" t="s">
        <v>13</v>
      </c>
    </row>
    <row r="13" customFormat="false" ht="15" hidden="false" customHeight="false" outlineLevel="0" collapsed="false">
      <c r="A13" s="0" t="n">
        <v>11</v>
      </c>
      <c r="B13" s="5" t="s">
        <v>6</v>
      </c>
      <c r="C13" s="6" t="s">
        <v>15</v>
      </c>
      <c r="D13" s="6" t="s">
        <v>17</v>
      </c>
      <c r="E13" s="6" t="s">
        <v>11</v>
      </c>
      <c r="F13" s="8" t="s">
        <v>13</v>
      </c>
    </row>
    <row r="14" customFormat="false" ht="15" hidden="false" customHeight="false" outlineLevel="0" collapsed="false">
      <c r="A14" s="0" t="n">
        <v>12</v>
      </c>
      <c r="B14" s="5" t="s">
        <v>12</v>
      </c>
      <c r="C14" s="6" t="s">
        <v>15</v>
      </c>
      <c r="D14" s="6" t="s">
        <v>8</v>
      </c>
      <c r="E14" s="6" t="s">
        <v>11</v>
      </c>
      <c r="F14" s="8" t="s">
        <v>13</v>
      </c>
    </row>
    <row r="15" customFormat="false" ht="15.75" hidden="false" customHeight="false" outlineLevel="0" collapsed="false">
      <c r="A15" s="0" t="n">
        <v>13</v>
      </c>
      <c r="B15" s="5" t="s">
        <v>12</v>
      </c>
      <c r="C15" s="6" t="s">
        <v>7</v>
      </c>
      <c r="D15" s="6" t="s">
        <v>17</v>
      </c>
      <c r="E15" s="6" t="s">
        <v>9</v>
      </c>
      <c r="F15" s="8" t="s">
        <v>13</v>
      </c>
    </row>
    <row r="16" customFormat="false" ht="15" hidden="false" customHeight="true" outlineLevel="0" collapsed="false">
      <c r="A16" s="0" t="n">
        <v>14</v>
      </c>
      <c r="B16" s="9" t="s">
        <v>14</v>
      </c>
      <c r="C16" s="10" t="s">
        <v>15</v>
      </c>
      <c r="D16" s="10" t="s">
        <v>8</v>
      </c>
      <c r="E16" s="10" t="s">
        <v>11</v>
      </c>
      <c r="F16" s="11" t="s">
        <v>10</v>
      </c>
      <c r="I16" s="12" t="s">
        <v>18</v>
      </c>
      <c r="J16" s="12"/>
      <c r="K16" s="12"/>
      <c r="L16" s="12"/>
      <c r="M16" s="12"/>
      <c r="N16" s="12"/>
      <c r="O16" s="12"/>
      <c r="P16" s="12"/>
      <c r="Q16" s="12"/>
    </row>
    <row r="17" customFormat="false" ht="15.75" hidden="false" customHeight="false" outlineLevel="0" collapsed="false">
      <c r="A17" s="13" t="n">
        <f aca="false">MAX(A3:A16)</f>
        <v>14</v>
      </c>
    </row>
    <row r="18" customFormat="false" ht="15.75" hidden="false" customHeight="false" outlineLevel="0" collapsed="false">
      <c r="C18" s="14" t="s">
        <v>19</v>
      </c>
      <c r="I18" s="15" t="s">
        <v>20</v>
      </c>
      <c r="J18" s="15"/>
      <c r="K18" s="15"/>
      <c r="L18" s="15"/>
      <c r="M18" s="15" t="s">
        <v>21</v>
      </c>
    </row>
    <row r="19" customFormat="false" ht="13.8" hidden="false" customHeight="false" outlineLevel="0" collapsed="false">
      <c r="I19" s="16" t="s">
        <v>22</v>
      </c>
      <c r="J19" s="17" t="n">
        <f aca="false">5/14</f>
        <v>0.357142857142857</v>
      </c>
      <c r="K19" s="16" t="s">
        <v>23</v>
      </c>
      <c r="L19" s="18" t="n">
        <f aca="false">-J19*LOG(J19,2)</f>
        <v>0.530509581132229</v>
      </c>
      <c r="M19" s="19" t="n">
        <f aca="false">L19+L20</f>
        <v>0.940285958670631</v>
      </c>
    </row>
    <row r="20" customFormat="false" ht="13.8" hidden="false" customHeight="false" outlineLevel="0" collapsed="false">
      <c r="I20" s="20" t="s">
        <v>24</v>
      </c>
      <c r="J20" s="21" t="n">
        <f aca="false">9/14</f>
        <v>0.642857142857143</v>
      </c>
      <c r="K20" s="20" t="s">
        <v>25</v>
      </c>
      <c r="L20" s="18" t="n">
        <f aca="false">-J20*LOG(J20,2)</f>
        <v>0.409776377538402</v>
      </c>
      <c r="M20" s="19"/>
    </row>
    <row r="21" customFormat="false" ht="15.75" hidden="false" customHeight="false" outlineLevel="0" collapsed="false"/>
    <row r="22" customFormat="false" ht="14.45" hidden="false" customHeight="true" outlineLevel="0" collapsed="false">
      <c r="C22" s="22" t="s">
        <v>26</v>
      </c>
      <c r="D22" s="22"/>
      <c r="E22" s="22"/>
      <c r="F22" s="22"/>
      <c r="G22" s="22"/>
      <c r="I22" s="23" t="s">
        <v>27</v>
      </c>
      <c r="J22" s="24"/>
      <c r="K22" s="24"/>
      <c r="L22" s="24"/>
      <c r="M22" s="24"/>
      <c r="N22" s="24"/>
      <c r="O22" s="24"/>
      <c r="P22" s="25"/>
      <c r="Q22" s="15" t="s">
        <v>28</v>
      </c>
    </row>
    <row r="23" customFormat="false" ht="14.45" hidden="false" customHeight="true" outlineLevel="0" collapsed="false">
      <c r="C23" s="22"/>
      <c r="D23" s="22"/>
      <c r="E23" s="22"/>
      <c r="F23" s="22"/>
      <c r="G23" s="22"/>
      <c r="I23" s="26" t="s">
        <v>29</v>
      </c>
      <c r="J23" s="27" t="n">
        <f aca="false">COUNTIF(B3:B16,"sunny")/14</f>
        <v>0.357142857142857</v>
      </c>
      <c r="K23" s="28" t="s">
        <v>30</v>
      </c>
      <c r="L23" s="29" t="n">
        <f aca="false">COUNTIFS($B$3:$B$16,"sunny",$F$3:$F$16,"yes")/COUNTIF($B$3:$B$16,"sunny")</f>
        <v>0.4</v>
      </c>
      <c r="M23" s="30" t="s">
        <v>31</v>
      </c>
      <c r="N23" s="29" t="n">
        <f aca="false">1-L23</f>
        <v>0.6</v>
      </c>
      <c r="O23" s="31" t="n">
        <f aca="false">-L23*LOG(L23,2)-N23*LOG(N23,2)</f>
        <v>0.970950594454668</v>
      </c>
      <c r="P23" s="32" t="n">
        <f aca="false">O23*J23+J24*N24+J25*O25</f>
        <v>0.693536138896192</v>
      </c>
      <c r="Q23" s="33" t="n">
        <f aca="false">M19-P23</f>
        <v>0.246749819774439</v>
      </c>
    </row>
    <row r="24" customFormat="false" ht="15.75" hidden="false" customHeight="true" outlineLevel="0" collapsed="false">
      <c r="I24" s="34" t="s">
        <v>32</v>
      </c>
      <c r="J24" s="27" t="n">
        <f aca="false">COUNTIF(B4:B17,"overcast")/14</f>
        <v>0.285714285714286</v>
      </c>
      <c r="K24" s="35" t="s">
        <v>33</v>
      </c>
      <c r="L24" s="29" t="n">
        <f aca="false">COUNTIFS($B$3:$B$16,"overcast",$F$3:$F$16,"yes")/COUNTIF($B$3:$B$16,"overcast")</f>
        <v>1</v>
      </c>
      <c r="M24" s="36" t="s">
        <v>34</v>
      </c>
      <c r="N24" s="37" t="n">
        <f aca="false">1-L24</f>
        <v>0</v>
      </c>
      <c r="O24" s="31" t="n">
        <v>0</v>
      </c>
      <c r="P24" s="32"/>
      <c r="Q24" s="33"/>
    </row>
    <row r="25" customFormat="false" ht="13.8" hidden="false" customHeight="false" outlineLevel="0" collapsed="false">
      <c r="I25" s="38" t="s">
        <v>35</v>
      </c>
      <c r="J25" s="27" t="n">
        <f aca="false">COUNTIF(B5:B18,"rainy")/14</f>
        <v>0.357142857142857</v>
      </c>
      <c r="K25" s="39" t="s">
        <v>36</v>
      </c>
      <c r="L25" s="29" t="n">
        <f aca="false">COUNTIFS($B$3:$B$16,"rainy",$F$3:$F$16,"yes")/COUNTIF($B$3:$B$16,"sunny")</f>
        <v>0.6</v>
      </c>
      <c r="M25" s="40" t="s">
        <v>37</v>
      </c>
      <c r="N25" s="41" t="n">
        <f aca="false">1-L25</f>
        <v>0.4</v>
      </c>
      <c r="O25" s="31" t="n">
        <f aca="false">-L25*LOG(L25,2)-N25*LOG(N25,2)</f>
        <v>0.970950594454668</v>
      </c>
      <c r="P25" s="32"/>
      <c r="Q25" s="33"/>
    </row>
    <row r="26" customFormat="false" ht="15.75" hidden="false" customHeight="false" outlineLevel="0" collapsed="false"/>
    <row r="27" customFormat="false" ht="15" hidden="false" customHeight="true" outlineLevel="0" collapsed="false">
      <c r="I27" s="23" t="s">
        <v>38</v>
      </c>
      <c r="J27" s="24"/>
      <c r="K27" s="24"/>
      <c r="L27" s="24"/>
      <c r="M27" s="24"/>
      <c r="N27" s="24"/>
      <c r="O27" s="24"/>
      <c r="P27" s="25"/>
      <c r="Q27" s="15" t="s">
        <v>28</v>
      </c>
    </row>
    <row r="28" customFormat="false" ht="13.8" hidden="false" customHeight="false" outlineLevel="0" collapsed="false">
      <c r="I28" s="26" t="s">
        <v>39</v>
      </c>
      <c r="J28" s="27" t="n">
        <f aca="false">COUNTIF($C$3:$C$16,"hot")/14</f>
        <v>0.285714285714286</v>
      </c>
      <c r="K28" s="28" t="s">
        <v>40</v>
      </c>
      <c r="L28" s="29" t="n">
        <f aca="false">COUNTIFS($F$3:$F$16,"yes",$C$3:$C$16,"hot")/COUNTIF($C$3:$C$16,"hot")</f>
        <v>0.5</v>
      </c>
      <c r="M28" s="30" t="s">
        <v>41</v>
      </c>
      <c r="N28" s="29" t="n">
        <f aca="false">1-L28</f>
        <v>0.5</v>
      </c>
      <c r="O28" s="31" t="n">
        <f aca="false">-L28*LOG(L28,2)-N28*LOG(N28,2)</f>
        <v>1</v>
      </c>
      <c r="P28" s="32" t="n">
        <f aca="false">J28*O28+O29*J29+J30*O30</f>
        <v>0.911063393011676</v>
      </c>
      <c r="Q28" s="33" t="n">
        <f aca="false">M19-P28</f>
        <v>0.0292225656589546</v>
      </c>
    </row>
    <row r="29" customFormat="false" ht="15.75" hidden="false" customHeight="true" outlineLevel="0" collapsed="false">
      <c r="I29" s="34" t="s">
        <v>42</v>
      </c>
      <c r="J29" s="27" t="n">
        <f aca="false">COUNTIF($C$3:$C$16,"mild")/14</f>
        <v>0.428571428571429</v>
      </c>
      <c r="K29" s="35" t="s">
        <v>43</v>
      </c>
      <c r="L29" s="29" t="n">
        <f aca="false">COUNTIFS($F$3:$F$16,"yes",$C$3:$C$16,"mild")/COUNTIF($C$3:$C$16,"mild")</f>
        <v>0.666666666666667</v>
      </c>
      <c r="M29" s="36" t="s">
        <v>44</v>
      </c>
      <c r="N29" s="37" t="n">
        <f aca="false">1-L29</f>
        <v>0.333333333333333</v>
      </c>
      <c r="O29" s="31" t="n">
        <f aca="false">-L29*LOG(L29,2)-N29*LOG(N29,2)</f>
        <v>0.91829583405449</v>
      </c>
      <c r="P29" s="32"/>
      <c r="Q29" s="33"/>
    </row>
    <row r="30" customFormat="false" ht="13.8" hidden="false" customHeight="false" outlineLevel="0" collapsed="false">
      <c r="I30" s="38" t="s">
        <v>45</v>
      </c>
      <c r="J30" s="27" t="n">
        <f aca="false">COUNTIF($C$3:$C$16,"cool")/14</f>
        <v>0.285714285714286</v>
      </c>
      <c r="K30" s="39" t="s">
        <v>46</v>
      </c>
      <c r="L30" s="29" t="n">
        <f aca="false">COUNTIFS($F$3:$F$16,"yes",$C$3:$C$16,"cool")/COUNTIF($C$3:$C$16,"cool")</f>
        <v>0.75</v>
      </c>
      <c r="M30" s="40" t="s">
        <v>47</v>
      </c>
      <c r="N30" s="41" t="n">
        <f aca="false">1-L30</f>
        <v>0.25</v>
      </c>
      <c r="O30" s="31" t="n">
        <f aca="false">-L30*LOG(L30,2)-N30*LOG(N30,2)</f>
        <v>0.811278124459133</v>
      </c>
      <c r="P30" s="32"/>
      <c r="Q30" s="33"/>
    </row>
    <row r="31" customFormat="false" ht="15.75" hidden="false" customHeight="false" outlineLevel="0" collapsed="false"/>
    <row r="32" customFormat="false" ht="15.75" hidden="false" customHeight="false" outlineLevel="0" collapsed="false">
      <c r="I32" s="23" t="s">
        <v>48</v>
      </c>
      <c r="J32" s="24"/>
      <c r="K32" s="24"/>
      <c r="L32" s="24"/>
      <c r="M32" s="24"/>
      <c r="N32" s="24"/>
      <c r="O32" s="24"/>
      <c r="P32" s="25"/>
      <c r="Q32" s="15" t="s">
        <v>28</v>
      </c>
    </row>
    <row r="33" customFormat="false" ht="13.8" hidden="false" customHeight="false" outlineLevel="0" collapsed="false">
      <c r="I33" s="26" t="s">
        <v>49</v>
      </c>
      <c r="J33" s="27" t="n">
        <f aca="false">COUNTIF($D$3:$D$16,"normal")/14</f>
        <v>0.5</v>
      </c>
      <c r="K33" s="28" t="s">
        <v>50</v>
      </c>
      <c r="L33" s="29" t="n">
        <f aca="false">COUNTIFS($D$3:$D$16,"normal",$F$3:$F$16,"yes")/COUNTIF($D$3:$D$16,"normal")</f>
        <v>0.857142857142857</v>
      </c>
      <c r="M33" s="30" t="s">
        <v>51</v>
      </c>
      <c r="N33" s="29" t="n">
        <f aca="false">1-L33</f>
        <v>0.142857142857143</v>
      </c>
      <c r="O33" s="31" t="n">
        <f aca="false">-L33*LOG(L33,2)-N33*LOG(N33,2)</f>
        <v>0.591672778582328</v>
      </c>
      <c r="P33" s="32" t="n">
        <f aca="false">O33*J33+J34*O34</f>
        <v>0.78845045730829</v>
      </c>
      <c r="Q33" s="33" t="n">
        <f aca="false">M19-P33</f>
        <v>0.151835501362341</v>
      </c>
    </row>
    <row r="34" customFormat="false" ht="13.8" hidden="false" customHeight="false" outlineLevel="0" collapsed="false">
      <c r="I34" s="38" t="s">
        <v>52</v>
      </c>
      <c r="J34" s="42" t="n">
        <f aca="false">1-J33</f>
        <v>0.5</v>
      </c>
      <c r="K34" s="39" t="s">
        <v>53</v>
      </c>
      <c r="L34" s="29" t="n">
        <f aca="false">COUNTIFS($D$3:$D$16,"high",$F$3:$F$16,"yes")/COUNTIF($D$3:$D$16,"high")</f>
        <v>0.428571428571429</v>
      </c>
      <c r="M34" s="40" t="s">
        <v>54</v>
      </c>
      <c r="N34" s="41" t="n">
        <f aca="false">1-L34</f>
        <v>0.571428571428571</v>
      </c>
      <c r="O34" s="31" t="n">
        <f aca="false">-L34*LOG(L34,2)-N34*LOG(N34,2)</f>
        <v>0.985228136034252</v>
      </c>
      <c r="P34" s="32"/>
      <c r="Q34" s="33"/>
    </row>
    <row r="35" customFormat="false" ht="15.75" hidden="false" customHeight="false" outlineLevel="0" collapsed="false"/>
    <row r="36" customFormat="false" ht="15.75" hidden="false" customHeight="false" outlineLevel="0" collapsed="false">
      <c r="I36" s="23" t="s">
        <v>55</v>
      </c>
      <c r="J36" s="24"/>
      <c r="K36" s="24"/>
      <c r="L36" s="24"/>
      <c r="M36" s="24"/>
      <c r="N36" s="24"/>
      <c r="O36" s="24"/>
      <c r="P36" s="25"/>
      <c r="Q36" s="15" t="s">
        <v>28</v>
      </c>
    </row>
    <row r="37" customFormat="false" ht="13.8" hidden="false" customHeight="false" outlineLevel="0" collapsed="false">
      <c r="I37" s="43" t="s">
        <v>56</v>
      </c>
      <c r="J37" s="44" t="n">
        <f aca="false">COUNTIF(E3:E16,"TRUE")/14</f>
        <v>0.428571428571429</v>
      </c>
      <c r="K37" s="45" t="s">
        <v>57</v>
      </c>
      <c r="L37" s="46" t="n">
        <f aca="false">COUNTIFS($F$3:$F$16,"yes",$E$3:$E$16,"FALSE")/COUNTIF($E$3:$E$16,"FALSE")</f>
        <v>0.75</v>
      </c>
      <c r="M37" s="45" t="s">
        <v>58</v>
      </c>
      <c r="N37" s="46" t="n">
        <f aca="false">1-L37</f>
        <v>0.25</v>
      </c>
      <c r="O37" s="47" t="n">
        <f aca="false">-L37*LOG(L37,2)-N37*LOG(N37,2)</f>
        <v>0.811278124459133</v>
      </c>
      <c r="P37" s="48" t="n">
        <f aca="false">O37*J37+J38*O38</f>
        <v>0.919119196196771</v>
      </c>
      <c r="Q37" s="33" t="n">
        <f aca="false">M19-P37</f>
        <v>0.0211667624738597</v>
      </c>
    </row>
    <row r="38" customFormat="false" ht="13.8" hidden="false" customHeight="false" outlineLevel="0" collapsed="false">
      <c r="I38" s="20" t="s">
        <v>59</v>
      </c>
      <c r="J38" s="21" t="n">
        <f aca="false">1-J37</f>
        <v>0.571428571428571</v>
      </c>
      <c r="K38" s="49" t="s">
        <v>60</v>
      </c>
      <c r="L38" s="46" t="n">
        <f aca="false">COUNTIFS($F$3:$F$16,"yes",$E$3:$E$16,"TRUE")/COUNTIF($E$3:$E$16,"TRUE")</f>
        <v>0.5</v>
      </c>
      <c r="M38" s="49" t="s">
        <v>61</v>
      </c>
      <c r="N38" s="50" t="n">
        <f aca="false">1-L38</f>
        <v>0.5</v>
      </c>
      <c r="O38" s="47" t="n">
        <f aca="false">-L38*LOG(L38,2)-N38*LOG(N38,2)</f>
        <v>1</v>
      </c>
      <c r="P38" s="48"/>
      <c r="Q38" s="33"/>
    </row>
  </sheetData>
  <autoFilter ref="A2:F16"/>
  <mergeCells count="12">
    <mergeCell ref="I16:Q16"/>
    <mergeCell ref="I18:L18"/>
    <mergeCell ref="M19:M20"/>
    <mergeCell ref="C22:G23"/>
    <mergeCell ref="P23:P25"/>
    <mergeCell ref="Q23:Q25"/>
    <mergeCell ref="P28:P30"/>
    <mergeCell ref="Q28:Q30"/>
    <mergeCell ref="P33:P34"/>
    <mergeCell ref="Q33:Q34"/>
    <mergeCell ref="P37:P38"/>
    <mergeCell ref="Q37:Q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0.67"/>
    <col collapsed="false" customWidth="true" hidden="false" outlineLevel="0" max="4" min="4" style="0" width="11.14"/>
    <col collapsed="false" customWidth="true" hidden="false" outlineLevel="0" max="5" min="5" style="0" width="10.67"/>
    <col collapsed="false" customWidth="true" hidden="false" outlineLevel="0" max="6" min="6" style="0" width="7.42"/>
    <col collapsed="false" customWidth="true" hidden="false" outlineLevel="0" max="8" min="7" style="0" width="3.57"/>
    <col collapsed="false" customWidth="true" hidden="false" outlineLevel="0" max="9" min="9" style="0" width="10.14"/>
    <col collapsed="false" customWidth="true" hidden="false" outlineLevel="0" max="10" min="10" style="0" width="5.86"/>
    <col collapsed="false" customWidth="true" hidden="false" outlineLevel="0" max="11" min="11" style="0" width="19.14"/>
    <col collapsed="false" customWidth="true" hidden="false" outlineLevel="0" max="12" min="12" style="0" width="6.86"/>
    <col collapsed="false" customWidth="true" hidden="false" outlineLevel="0" max="13" min="13" style="0" width="13.86"/>
    <col collapsed="false" customWidth="true" hidden="false" outlineLevel="0" max="14" min="14" style="0" width="5.86"/>
    <col collapsed="false" customWidth="true" hidden="false" outlineLevel="0" max="16" min="15" style="0" width="5.43"/>
    <col collapsed="false" customWidth="true" hidden="false" outlineLevel="0" max="17" min="17" style="0" width="6.01"/>
    <col collapsed="false" customWidth="true" hidden="false" outlineLevel="0" max="18" min="18" style="0" width="2.14"/>
    <col collapsed="false" customWidth="true" hidden="false" outlineLevel="0" max="19" min="19" style="0" width="2.85"/>
    <col collapsed="false" customWidth="true" hidden="false" outlineLevel="0" max="20" min="20" style="0" width="3.57"/>
    <col collapsed="false" customWidth="true" hidden="false" outlineLevel="0" max="22" min="21" style="0" width="5.86"/>
    <col collapsed="false" customWidth="true" hidden="false" outlineLevel="0" max="23" min="23" style="0" width="8.71"/>
    <col collapsed="false" customWidth="true" hidden="false" outlineLevel="0" max="24" min="24" style="0" width="5.43"/>
    <col collapsed="false" customWidth="true" hidden="false" outlineLevel="0" max="25" min="25" style="0" width="7.57"/>
    <col collapsed="false" customWidth="true" hidden="false" outlineLevel="0" max="26" min="26" style="0" width="1.14"/>
    <col collapsed="false" customWidth="true" hidden="false" outlineLevel="0" max="27" min="27" style="0" width="2.85"/>
    <col collapsed="false" customWidth="true" hidden="false" outlineLevel="0" max="28" min="28" style="0" width="3.57"/>
    <col collapsed="false" customWidth="true" hidden="false" outlineLevel="0" max="29" min="29" style="0" width="7.86"/>
    <col collapsed="false" customWidth="true" hidden="false" outlineLevel="0" max="30" min="30" style="0" width="5.86"/>
    <col collapsed="false" customWidth="true" hidden="false" outlineLevel="0" max="31" min="31" style="0" width="8.71"/>
    <col collapsed="false" customWidth="true" hidden="false" outlineLevel="0" max="32" min="32" style="0" width="5.43"/>
    <col collapsed="false" customWidth="true" hidden="false" outlineLevel="0" max="33" min="33" style="0" width="7.57"/>
    <col collapsed="false" customWidth="true" hidden="false" outlineLevel="0" max="34" min="34" style="0" width="1.14"/>
    <col collapsed="false" customWidth="true" hidden="false" outlineLevel="0" max="35" min="35" style="0" width="2.85"/>
    <col collapsed="false" customWidth="true" hidden="false" outlineLevel="0" max="36" min="36" style="0" width="3.57"/>
    <col collapsed="false" customWidth="true" hidden="false" outlineLevel="0" max="37" min="37" style="0" width="7.86"/>
    <col collapsed="false" customWidth="true" hidden="false" outlineLevel="0" max="38" min="38" style="0" width="5.86"/>
    <col collapsed="false" customWidth="true" hidden="false" outlineLevel="0" max="39" min="39" style="0" width="8.42"/>
    <col collapsed="false" customWidth="true" hidden="false" outlineLevel="0" max="40" min="40" style="0" width="5.43"/>
    <col collapsed="false" customWidth="true" hidden="false" outlineLevel="0" max="41" min="41" style="0" width="7.57"/>
    <col collapsed="false" customWidth="true" hidden="false" outlineLevel="0" max="42" min="42" style="0" width="2.42"/>
    <col collapsed="false" customWidth="true" hidden="false" outlineLevel="0" max="43" min="43" style="0" width="8.86"/>
    <col collapsed="false" customWidth="true" hidden="false" outlineLevel="0" max="45" min="44" style="0" width="4.43"/>
    <col collapsed="false" customWidth="true" hidden="false" outlineLevel="0" max="46" min="46" style="0" width="5.43"/>
    <col collapsed="false" customWidth="true" hidden="false" outlineLevel="0" max="47" min="47" style="0" width="2.14"/>
    <col collapsed="false" customWidth="true" hidden="false" outlineLevel="0" max="48" min="48" style="0" width="11.71"/>
    <col collapsed="false" customWidth="true" hidden="false" outlineLevel="0" max="50" min="49" style="0" width="4.43"/>
    <col collapsed="false" customWidth="true" hidden="false" outlineLevel="0" max="51" min="51" style="0" width="5.43"/>
    <col collapsed="false" customWidth="true" hidden="false" outlineLevel="0" max="52" min="52" style="0" width="2"/>
    <col collapsed="false" customWidth="true" hidden="false" outlineLevel="0" max="53" min="53" style="0" width="8.86"/>
    <col collapsed="false" customWidth="true" hidden="false" outlineLevel="0" max="55" min="54" style="0" width="4.43"/>
    <col collapsed="false" customWidth="true" hidden="false" outlineLevel="0" max="56" min="56" style="0" width="6.42"/>
    <col collapsed="false" customWidth="true" hidden="false" outlineLevel="0" max="57" min="57" style="0" width="2.14"/>
    <col collapsed="false" customWidth="true" hidden="false" outlineLevel="0" max="58" min="58" style="0" width="8.86"/>
    <col collapsed="false" customWidth="true" hidden="false" outlineLevel="0" max="60" min="59" style="0" width="4.43"/>
    <col collapsed="false" customWidth="true" hidden="false" outlineLevel="0" max="61" min="61" style="0" width="5.43"/>
    <col collapsed="false" customWidth="true" hidden="false" outlineLevel="0" max="1025" min="62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5" hidden="false" customHeight="false" outlineLevel="0" collapsed="false">
      <c r="A3" s="0" t="n">
        <v>3</v>
      </c>
      <c r="B3" s="5" t="s">
        <v>12</v>
      </c>
      <c r="C3" s="6" t="s">
        <v>7</v>
      </c>
      <c r="D3" s="6" t="s">
        <v>8</v>
      </c>
      <c r="E3" s="6" t="s">
        <v>9</v>
      </c>
      <c r="F3" s="8" t="s">
        <v>13</v>
      </c>
    </row>
    <row r="4" customFormat="false" ht="15" hidden="false" customHeight="false" outlineLevel="0" collapsed="false">
      <c r="A4" s="0" t="n">
        <v>13</v>
      </c>
      <c r="B4" s="5" t="s">
        <v>12</v>
      </c>
      <c r="C4" s="6" t="s">
        <v>7</v>
      </c>
      <c r="D4" s="6" t="s">
        <v>17</v>
      </c>
      <c r="E4" s="6" t="s">
        <v>9</v>
      </c>
      <c r="F4" s="8" t="s">
        <v>13</v>
      </c>
    </row>
    <row r="5" customFormat="false" ht="15" hidden="false" customHeight="false" outlineLevel="0" collapsed="false">
      <c r="A5" s="0" t="n">
        <v>12</v>
      </c>
      <c r="B5" s="5" t="s">
        <v>12</v>
      </c>
      <c r="C5" s="6" t="s">
        <v>15</v>
      </c>
      <c r="D5" s="6" t="s">
        <v>8</v>
      </c>
      <c r="E5" s="6" t="s">
        <v>11</v>
      </c>
      <c r="F5" s="8" t="s">
        <v>13</v>
      </c>
    </row>
    <row r="6" customFormat="false" ht="15" hidden="false" customHeight="false" outlineLevel="0" collapsed="false">
      <c r="A6" s="0" t="n">
        <v>7</v>
      </c>
      <c r="B6" s="5" t="s">
        <v>12</v>
      </c>
      <c r="C6" s="6" t="s">
        <v>16</v>
      </c>
      <c r="D6" s="6" t="s">
        <v>17</v>
      </c>
      <c r="E6" s="6" t="s">
        <v>11</v>
      </c>
      <c r="F6" s="8" t="s">
        <v>13</v>
      </c>
    </row>
    <row r="7" customFormat="false" ht="15" hidden="false" customHeight="false" outlineLevel="0" collapsed="false">
      <c r="A7" s="0" t="n">
        <v>4</v>
      </c>
      <c r="B7" s="5" t="s">
        <v>14</v>
      </c>
      <c r="C7" s="6" t="s">
        <v>15</v>
      </c>
      <c r="D7" s="6" t="s">
        <v>8</v>
      </c>
      <c r="E7" s="6" t="s">
        <v>9</v>
      </c>
      <c r="F7" s="8" t="s">
        <v>13</v>
      </c>
    </row>
    <row r="8" customFormat="false" ht="15" hidden="false" customHeight="false" outlineLevel="0" collapsed="false">
      <c r="A8" s="0" t="n">
        <v>5</v>
      </c>
      <c r="B8" s="5" t="s">
        <v>14</v>
      </c>
      <c r="C8" s="6" t="s">
        <v>16</v>
      </c>
      <c r="D8" s="6" t="s">
        <v>17</v>
      </c>
      <c r="E8" s="6" t="s">
        <v>9</v>
      </c>
      <c r="F8" s="8" t="s">
        <v>13</v>
      </c>
    </row>
    <row r="9" customFormat="false" ht="15" hidden="false" customHeight="false" outlineLevel="0" collapsed="false">
      <c r="A9" s="0" t="n">
        <v>10</v>
      </c>
      <c r="B9" s="5" t="s">
        <v>14</v>
      </c>
      <c r="C9" s="6" t="s">
        <v>15</v>
      </c>
      <c r="D9" s="6" t="s">
        <v>17</v>
      </c>
      <c r="E9" s="6" t="s">
        <v>9</v>
      </c>
      <c r="F9" s="8" t="s">
        <v>13</v>
      </c>
    </row>
    <row r="10" customFormat="false" ht="15" hidden="false" customHeight="false" outlineLevel="0" collapsed="false">
      <c r="A10" s="0" t="n">
        <v>14</v>
      </c>
      <c r="B10" s="5" t="s">
        <v>14</v>
      </c>
      <c r="C10" s="6" t="s">
        <v>15</v>
      </c>
      <c r="D10" s="6" t="s">
        <v>8</v>
      </c>
      <c r="E10" s="6" t="s">
        <v>11</v>
      </c>
      <c r="F10" s="7" t="s">
        <v>10</v>
      </c>
    </row>
    <row r="11" customFormat="false" ht="15" hidden="false" customHeight="false" outlineLevel="0" collapsed="false">
      <c r="A11" s="0" t="n">
        <v>6</v>
      </c>
      <c r="B11" s="5" t="s">
        <v>14</v>
      </c>
      <c r="C11" s="6" t="s">
        <v>16</v>
      </c>
      <c r="D11" s="6" t="s">
        <v>17</v>
      </c>
      <c r="E11" s="6" t="s">
        <v>11</v>
      </c>
      <c r="F11" s="7" t="s">
        <v>10</v>
      </c>
    </row>
    <row r="12" customFormat="false" ht="15" hidden="false" customHeight="false" outlineLevel="0" collapsed="false">
      <c r="A12" s="0" t="n">
        <v>1</v>
      </c>
      <c r="B12" s="5" t="s">
        <v>6</v>
      </c>
      <c r="C12" s="6" t="s">
        <v>7</v>
      </c>
      <c r="D12" s="6" t="s">
        <v>8</v>
      </c>
      <c r="E12" s="6" t="s">
        <v>9</v>
      </c>
      <c r="F12" s="7" t="s">
        <v>10</v>
      </c>
    </row>
    <row r="13" customFormat="false" ht="15" hidden="false" customHeight="false" outlineLevel="0" collapsed="false">
      <c r="A13" s="0" t="n">
        <v>8</v>
      </c>
      <c r="B13" s="5" t="s">
        <v>6</v>
      </c>
      <c r="C13" s="6" t="s">
        <v>15</v>
      </c>
      <c r="D13" s="6" t="s">
        <v>8</v>
      </c>
      <c r="E13" s="6" t="s">
        <v>9</v>
      </c>
      <c r="F13" s="7" t="s">
        <v>10</v>
      </c>
    </row>
    <row r="14" customFormat="false" ht="15" hidden="false" customHeight="false" outlineLevel="0" collapsed="false">
      <c r="A14" s="0" t="n">
        <v>9</v>
      </c>
      <c r="B14" s="5" t="s">
        <v>6</v>
      </c>
      <c r="C14" s="6" t="s">
        <v>16</v>
      </c>
      <c r="D14" s="6" t="s">
        <v>17</v>
      </c>
      <c r="E14" s="6" t="s">
        <v>9</v>
      </c>
      <c r="F14" s="8" t="s">
        <v>13</v>
      </c>
    </row>
    <row r="15" customFormat="false" ht="15.75" hidden="false" customHeight="false" outlineLevel="0" collapsed="false">
      <c r="A15" s="0" t="n">
        <v>2</v>
      </c>
      <c r="B15" s="5" t="s">
        <v>6</v>
      </c>
      <c r="C15" s="6" t="s">
        <v>7</v>
      </c>
      <c r="D15" s="6" t="s">
        <v>8</v>
      </c>
      <c r="E15" s="6" t="s">
        <v>11</v>
      </c>
      <c r="F15" s="7" t="s">
        <v>10</v>
      </c>
    </row>
    <row r="16" customFormat="false" ht="15" hidden="false" customHeight="true" outlineLevel="0" collapsed="false">
      <c r="A16" s="0" t="n">
        <v>11</v>
      </c>
      <c r="B16" s="9" t="s">
        <v>6</v>
      </c>
      <c r="C16" s="10" t="s">
        <v>15</v>
      </c>
      <c r="D16" s="10" t="s">
        <v>17</v>
      </c>
      <c r="E16" s="10" t="s">
        <v>11</v>
      </c>
      <c r="F16" s="51" t="s">
        <v>13</v>
      </c>
      <c r="I16" s="12" t="s">
        <v>18</v>
      </c>
      <c r="J16" s="12"/>
      <c r="K16" s="12"/>
      <c r="L16" s="12"/>
      <c r="M16" s="12"/>
      <c r="N16" s="12"/>
      <c r="O16" s="12"/>
      <c r="P16" s="12"/>
      <c r="Q16" s="12"/>
      <c r="S16" s="12" t="s">
        <v>62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Q16" s="12" t="s">
        <v>63</v>
      </c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customFormat="false" ht="15.75" hidden="false" customHeight="false" outlineLevel="0" collapsed="false">
      <c r="A17" s="13" t="n">
        <f aca="false">MAX(A3:A16)</f>
        <v>14</v>
      </c>
    </row>
    <row r="18" customFormat="false" ht="15.75" hidden="false" customHeight="false" outlineLevel="0" collapsed="false">
      <c r="I18" s="15" t="s">
        <v>20</v>
      </c>
      <c r="J18" s="15"/>
      <c r="K18" s="15"/>
      <c r="L18" s="15"/>
      <c r="M18" s="15" t="s">
        <v>21</v>
      </c>
      <c r="X18" s="15" t="s">
        <v>64</v>
      </c>
      <c r="AQ18" s="52" t="s">
        <v>27</v>
      </c>
      <c r="AR18" s="53" t="s">
        <v>65</v>
      </c>
      <c r="AS18" s="53"/>
      <c r="AV18" s="52" t="s">
        <v>38</v>
      </c>
      <c r="AW18" s="53" t="s">
        <v>65</v>
      </c>
      <c r="AX18" s="53"/>
      <c r="BA18" s="52" t="s">
        <v>48</v>
      </c>
      <c r="BB18" s="53" t="s">
        <v>65</v>
      </c>
      <c r="BC18" s="53"/>
      <c r="BF18" s="52" t="s">
        <v>55</v>
      </c>
      <c r="BG18" s="53" t="s">
        <v>65</v>
      </c>
      <c r="BH18" s="53"/>
    </row>
    <row r="19" customFormat="false" ht="15.75" hidden="false" customHeight="false" outlineLevel="0" collapsed="false">
      <c r="I19" s="16" t="s">
        <v>22</v>
      </c>
      <c r="J19" s="17" t="n">
        <f aca="false">COUNTIF($F$3:$F$16,"no")/$A$17</f>
        <v>0.357142857142857</v>
      </c>
      <c r="K19" s="16" t="s">
        <v>23</v>
      </c>
      <c r="L19" s="18" t="n">
        <f aca="false">-J19*LOG(J19,2)</f>
        <v>0.530509581132229</v>
      </c>
      <c r="M19" s="19" t="n">
        <f aca="false">SUM(L19:L20)</f>
        <v>0.940285958670631</v>
      </c>
      <c r="X19" s="54" t="n">
        <f aca="false">J19^2+(1-J19)^2</f>
        <v>0.540816326530612</v>
      </c>
      <c r="AQ19" s="52" t="s">
        <v>66</v>
      </c>
      <c r="AR19" s="55" t="s">
        <v>13</v>
      </c>
      <c r="AS19" s="56" t="s">
        <v>10</v>
      </c>
      <c r="AV19" s="52" t="s">
        <v>66</v>
      </c>
      <c r="AW19" s="55" t="s">
        <v>13</v>
      </c>
      <c r="AX19" s="56" t="s">
        <v>10</v>
      </c>
      <c r="BA19" s="52" t="s">
        <v>66</v>
      </c>
      <c r="BB19" s="55" t="s">
        <v>13</v>
      </c>
      <c r="BC19" s="56" t="s">
        <v>10</v>
      </c>
      <c r="BF19" s="52" t="s">
        <v>66</v>
      </c>
      <c r="BG19" s="55" t="s">
        <v>13</v>
      </c>
      <c r="BH19" s="56" t="s">
        <v>10</v>
      </c>
    </row>
    <row r="20" customFormat="false" ht="15.75" hidden="false" customHeight="false" outlineLevel="0" collapsed="false">
      <c r="I20" s="20" t="s">
        <v>24</v>
      </c>
      <c r="J20" s="21" t="n">
        <f aca="false">COUNTIF($F$3:$F$16,"yes")/$A$17</f>
        <v>0.642857142857143</v>
      </c>
      <c r="K20" s="20" t="s">
        <v>25</v>
      </c>
      <c r="L20" s="57" t="n">
        <f aca="false">-J20*LOG(J20,2)</f>
        <v>0.409776377538402</v>
      </c>
      <c r="M20" s="19"/>
      <c r="AQ20" s="58" t="s">
        <v>6</v>
      </c>
      <c r="AR20" s="59" t="n">
        <f aca="false">T23</f>
        <v>2</v>
      </c>
      <c r="AS20" s="60" t="n">
        <f aca="false">S23-T23</f>
        <v>3</v>
      </c>
      <c r="AT20" s="61" t="n">
        <f aca="false">SUM(AR20:AS20)</f>
        <v>5</v>
      </c>
      <c r="AV20" s="58" t="s">
        <v>7</v>
      </c>
      <c r="AW20" s="59" t="n">
        <f aca="false">T28</f>
        <v>2</v>
      </c>
      <c r="AX20" s="60" t="n">
        <f aca="false">S28-T28</f>
        <v>2</v>
      </c>
      <c r="AY20" s="61" t="n">
        <f aca="false">SUM(AW20:AX20)</f>
        <v>4</v>
      </c>
      <c r="BA20" s="58" t="s">
        <v>8</v>
      </c>
      <c r="BB20" s="59" t="n">
        <f aca="false">T34</f>
        <v>3</v>
      </c>
      <c r="BC20" s="60" t="n">
        <f aca="false">S34-BB20</f>
        <v>4</v>
      </c>
      <c r="BD20" s="61" t="n">
        <f aca="false">SUM(BB20:BC20)</f>
        <v>7</v>
      </c>
      <c r="BF20" s="58" t="s">
        <v>9</v>
      </c>
      <c r="BG20" s="59" t="n">
        <f aca="false">T37</f>
        <v>6</v>
      </c>
      <c r="BH20" s="60" t="n">
        <f aca="false">S37-BG20</f>
        <v>2</v>
      </c>
      <c r="BI20" s="61" t="n">
        <f aca="false">SUM(BG20:BH20)</f>
        <v>8</v>
      </c>
    </row>
    <row r="21" customFormat="false" ht="15.75" hidden="false" customHeight="false" outlineLevel="0" collapsed="false">
      <c r="AQ21" s="58" t="s">
        <v>12</v>
      </c>
      <c r="AR21" s="62" t="n">
        <f aca="false">AB23</f>
        <v>4</v>
      </c>
      <c r="AS21" s="63" t="n">
        <f aca="false">AA23-AB23</f>
        <v>0</v>
      </c>
      <c r="AT21" s="64" t="n">
        <f aca="false">SUM(AR21:AS21)</f>
        <v>4</v>
      </c>
      <c r="AV21" s="58" t="s">
        <v>15</v>
      </c>
      <c r="AW21" s="62" t="n">
        <f aca="false">AB28</f>
        <v>4</v>
      </c>
      <c r="AX21" s="63" t="n">
        <f aca="false">AA28-AB28</f>
        <v>2</v>
      </c>
      <c r="AY21" s="64" t="n">
        <f aca="false">SUM(AW21:AX21)</f>
        <v>6</v>
      </c>
      <c r="BA21" s="65" t="s">
        <v>17</v>
      </c>
      <c r="BB21" s="66" t="n">
        <f aca="false">T33</f>
        <v>6</v>
      </c>
      <c r="BC21" s="67" t="n">
        <f aca="false">S33-BB21</f>
        <v>1</v>
      </c>
      <c r="BD21" s="68" t="n">
        <f aca="false">SUM(BB21:BC21)</f>
        <v>7</v>
      </c>
      <c r="BF21" s="65" t="s">
        <v>11</v>
      </c>
      <c r="BG21" s="66" t="n">
        <f aca="false">T38</f>
        <v>3</v>
      </c>
      <c r="BH21" s="67" t="n">
        <f aca="false">S38-BG21</f>
        <v>3</v>
      </c>
      <c r="BI21" s="68" t="n">
        <f aca="false">SUM(BG21:BH21)</f>
        <v>6</v>
      </c>
    </row>
    <row r="22" customFormat="false" ht="14.45" hidden="false" customHeight="true" outlineLevel="0" collapsed="false">
      <c r="I22" s="23" t="s">
        <v>27</v>
      </c>
      <c r="J22" s="24"/>
      <c r="K22" s="24"/>
      <c r="L22" s="24"/>
      <c r="M22" s="24"/>
      <c r="N22" s="24"/>
      <c r="O22" s="24"/>
      <c r="P22" s="25"/>
      <c r="Q22" s="15" t="s">
        <v>28</v>
      </c>
      <c r="S22" s="15" t="s">
        <v>67</v>
      </c>
      <c r="T22" s="15" t="s">
        <v>13</v>
      </c>
      <c r="U22" s="15" t="s">
        <v>68</v>
      </c>
      <c r="V22" s="15" t="s">
        <v>69</v>
      </c>
      <c r="W22" s="15" t="s">
        <v>70</v>
      </c>
      <c r="X22" s="15" t="s">
        <v>64</v>
      </c>
      <c r="Y22" s="15" t="s">
        <v>71</v>
      </c>
      <c r="AA22" s="15" t="s">
        <v>67</v>
      </c>
      <c r="AB22" s="15" t="s">
        <v>13</v>
      </c>
      <c r="AC22" s="15" t="s">
        <v>68</v>
      </c>
      <c r="AD22" s="15" t="s">
        <v>69</v>
      </c>
      <c r="AE22" s="15" t="s">
        <v>70</v>
      </c>
      <c r="AF22" s="15" t="s">
        <v>64</v>
      </c>
      <c r="AG22" s="15" t="s">
        <v>71</v>
      </c>
      <c r="AI22" s="15" t="s">
        <v>67</v>
      </c>
      <c r="AJ22" s="15" t="s">
        <v>13</v>
      </c>
      <c r="AK22" s="15" t="s">
        <v>68</v>
      </c>
      <c r="AL22" s="15" t="s">
        <v>69</v>
      </c>
      <c r="AM22" s="15" t="s">
        <v>70</v>
      </c>
      <c r="AN22" s="15" t="s">
        <v>64</v>
      </c>
      <c r="AO22" s="15" t="s">
        <v>71</v>
      </c>
      <c r="AQ22" s="65" t="s">
        <v>14</v>
      </c>
      <c r="AR22" s="66" t="n">
        <f aca="false">AJ23</f>
        <v>3</v>
      </c>
      <c r="AS22" s="67" t="n">
        <f aca="false">AI23-AJ23</f>
        <v>2</v>
      </c>
      <c r="AT22" s="68" t="n">
        <f aca="false">SUM(AR22:AS22)</f>
        <v>5</v>
      </c>
      <c r="AV22" s="65" t="s">
        <v>16</v>
      </c>
      <c r="AW22" s="66" t="n">
        <f aca="false">AJ28</f>
        <v>3</v>
      </c>
      <c r="AX22" s="67" t="n">
        <f aca="false">AI28-AJ28</f>
        <v>1</v>
      </c>
      <c r="AY22" s="68" t="n">
        <f aca="false">SUM(AW22:AX22)</f>
        <v>4</v>
      </c>
      <c r="BB22" s="69" t="n">
        <f aca="false">SUM(BB20:BB21)</f>
        <v>9</v>
      </c>
      <c r="BC22" s="70" t="n">
        <f aca="false">SUM(BC20:BC21)</f>
        <v>5</v>
      </c>
      <c r="BD22" s="71" t="n">
        <f aca="false">SUM(BB20:BC21)</f>
        <v>14</v>
      </c>
      <c r="BG22" s="69" t="n">
        <f aca="false">SUM(BG20:BG21)</f>
        <v>9</v>
      </c>
      <c r="BH22" s="70" t="n">
        <f aca="false">SUM(BH20:BH21)</f>
        <v>5</v>
      </c>
      <c r="BI22" s="71" t="n">
        <f aca="false">SUM(BG20:BH21)</f>
        <v>14</v>
      </c>
    </row>
    <row r="23" customFormat="false" ht="14.45" hidden="false" customHeight="true" outlineLevel="0" collapsed="false">
      <c r="I23" s="26" t="s">
        <v>29</v>
      </c>
      <c r="J23" s="27" t="n">
        <f aca="false">COUNTIF($B$3:$B$16,"sunny")/$A$17</f>
        <v>0.357142857142857</v>
      </c>
      <c r="K23" s="28" t="s">
        <v>30</v>
      </c>
      <c r="L23" s="29" t="n">
        <f aca="false">2/COUNTIF($B$3:$B$16,"sunny")</f>
        <v>0.4</v>
      </c>
      <c r="M23" s="30" t="s">
        <v>31</v>
      </c>
      <c r="N23" s="29" t="n">
        <f aca="false">1-L23</f>
        <v>0.6</v>
      </c>
      <c r="O23" s="31" t="n">
        <f aca="false">-L23*LOG(L23,2)-N23*LOG(N23,2)</f>
        <v>0.970950594454668</v>
      </c>
      <c r="P23" s="32" t="n">
        <f aca="false">J23*O23+J24*O24+J25*O25</f>
        <v>0.693536138896192</v>
      </c>
      <c r="Q23" s="33" t="n">
        <f aca="false">$M$19-P23</f>
        <v>0.246749819774439</v>
      </c>
      <c r="S23" s="72" t="n">
        <f aca="false">COUNTIF($B$3:$B$16,W23)</f>
        <v>5</v>
      </c>
      <c r="T23" s="72" t="n">
        <v>2</v>
      </c>
      <c r="U23" s="73" t="n">
        <f aca="false">T23/S23</f>
        <v>0.4</v>
      </c>
      <c r="V23" s="73" t="n">
        <f aca="false">S23/$A$17</f>
        <v>0.357142857142857</v>
      </c>
      <c r="W23" s="74" t="s">
        <v>6</v>
      </c>
      <c r="X23" s="75" t="n">
        <f aca="false">1-((U23)^2+(1-U23)^2)</f>
        <v>0.48</v>
      </c>
      <c r="Y23" s="33" t="n">
        <f aca="false">SUMPRODUCT(V23:V25,X23:X25)</f>
        <v>0.393650793650794</v>
      </c>
      <c r="AA23" s="72" t="n">
        <f aca="false">COUNTIF($B$3:$B$16,AE23)</f>
        <v>4</v>
      </c>
      <c r="AB23" s="72" t="n">
        <v>4</v>
      </c>
      <c r="AC23" s="73" t="n">
        <f aca="false">AB23/AA23</f>
        <v>1</v>
      </c>
      <c r="AD23" s="73" t="n">
        <f aca="false">AA23/$A$17</f>
        <v>0.285714285714286</v>
      </c>
      <c r="AE23" s="74" t="s">
        <v>12</v>
      </c>
      <c r="AF23" s="75" t="n">
        <f aca="false">1-((AC23)^2+(1-AC23)^2)</f>
        <v>0</v>
      </c>
      <c r="AG23" s="76" t="n">
        <f aca="false">SUMPRODUCT(AD23:AD25,AF23:AF25)</f>
        <v>0.357142857142857</v>
      </c>
      <c r="AI23" s="72" t="n">
        <f aca="false">COUNTIF($B$3:$B$16,AM23)</f>
        <v>5</v>
      </c>
      <c r="AJ23" s="72" t="n">
        <v>3</v>
      </c>
      <c r="AK23" s="73" t="n">
        <f aca="false">AJ23/AI23</f>
        <v>0.6</v>
      </c>
      <c r="AL23" s="73" t="n">
        <f aca="false">AI23/$A$17</f>
        <v>0.357142857142857</v>
      </c>
      <c r="AM23" s="74" t="s">
        <v>14</v>
      </c>
      <c r="AN23" s="75" t="n">
        <f aca="false">1-((AK23)^2+(1-AK23)^2)</f>
        <v>0.48</v>
      </c>
      <c r="AO23" s="33" t="n">
        <f aca="false">SUMPRODUCT(AL23:AL25,AN23:AN25)</f>
        <v>0.457142857142857</v>
      </c>
      <c r="AR23" s="69" t="n">
        <f aca="false">SUM(AR20:AR22)</f>
        <v>9</v>
      </c>
      <c r="AS23" s="70" t="n">
        <f aca="false">SUM(AS20:AS22)</f>
        <v>5</v>
      </c>
      <c r="AT23" s="71" t="n">
        <f aca="false">SUM(AR20:AS22)</f>
        <v>14</v>
      </c>
      <c r="AW23" s="69" t="n">
        <f aca="false">SUM(AW20:AW22)</f>
        <v>9</v>
      </c>
      <c r="AX23" s="70" t="n">
        <f aca="false">SUM(AX20:AX22)</f>
        <v>5</v>
      </c>
      <c r="AY23" s="71" t="n">
        <f aca="false">SUM(AW20:AX22)</f>
        <v>14</v>
      </c>
      <c r="BA23" s="52" t="s">
        <v>72</v>
      </c>
      <c r="BF23" s="52" t="s">
        <v>72</v>
      </c>
    </row>
    <row r="24" customFormat="false" ht="15.75" hidden="false" customHeight="true" outlineLevel="0" collapsed="false">
      <c r="I24" s="34" t="s">
        <v>32</v>
      </c>
      <c r="J24" s="77" t="n">
        <f aca="false">COUNTIF($B$3:$B$16,"overcast")/$A$17</f>
        <v>0.285714285714286</v>
      </c>
      <c r="K24" s="35" t="s">
        <v>33</v>
      </c>
      <c r="L24" s="37" t="n">
        <f aca="false">4/COUNTIF($B$3:$B$16,"overcast")</f>
        <v>1</v>
      </c>
      <c r="M24" s="36" t="s">
        <v>34</v>
      </c>
      <c r="N24" s="37" t="n">
        <f aca="false">1-L24</f>
        <v>0</v>
      </c>
      <c r="O24" s="78" t="n">
        <v>0</v>
      </c>
      <c r="P24" s="32"/>
      <c r="Q24" s="33"/>
      <c r="S24" s="79" t="n">
        <f aca="false">$A$17-S23</f>
        <v>9</v>
      </c>
      <c r="T24" s="79" t="n">
        <v>7</v>
      </c>
      <c r="U24" s="80" t="n">
        <f aca="false">T24/S24</f>
        <v>0.777777777777778</v>
      </c>
      <c r="V24" s="80" t="n">
        <f aca="false">1-V23</f>
        <v>0.642857142857143</v>
      </c>
      <c r="W24" s="81" t="s">
        <v>73</v>
      </c>
      <c r="X24" s="82" t="n">
        <f aca="false">1-((U24)^2+(1-U24)^2)</f>
        <v>0.345679012345679</v>
      </c>
      <c r="Y24" s="33"/>
      <c r="AA24" s="79" t="n">
        <f aca="false">$A$17-AA23</f>
        <v>10</v>
      </c>
      <c r="AB24" s="79" t="n">
        <v>5</v>
      </c>
      <c r="AC24" s="80" t="n">
        <f aca="false">AB24/AA24</f>
        <v>0.5</v>
      </c>
      <c r="AD24" s="80" t="n">
        <f aca="false">1-AD23</f>
        <v>0.714285714285714</v>
      </c>
      <c r="AE24" s="81" t="s">
        <v>74</v>
      </c>
      <c r="AF24" s="82" t="n">
        <f aca="false">1-((AC24)^2+(1-AC24)^2)</f>
        <v>0.5</v>
      </c>
      <c r="AG24" s="76"/>
      <c r="AI24" s="79" t="n">
        <f aca="false">$A$17-AI23</f>
        <v>9</v>
      </c>
      <c r="AJ24" s="79" t="n">
        <v>6</v>
      </c>
      <c r="AK24" s="80" t="n">
        <f aca="false">AJ24/AI24</f>
        <v>0.666666666666667</v>
      </c>
      <c r="AL24" s="80" t="n">
        <f aca="false">1-AL23</f>
        <v>0.642857142857143</v>
      </c>
      <c r="AM24" s="81" t="s">
        <v>75</v>
      </c>
      <c r="AN24" s="82" t="n">
        <f aca="false">1-((AK24)^2+(1-AK24)^2)</f>
        <v>0.444444444444444</v>
      </c>
      <c r="AO24" s="33"/>
      <c r="AQ24" s="52" t="s">
        <v>72</v>
      </c>
      <c r="AV24" s="52" t="s">
        <v>72</v>
      </c>
      <c r="BA24" s="58" t="s">
        <v>7</v>
      </c>
      <c r="BB24" s="83" t="n">
        <f aca="false">BD20*BB$22/$BD$22</f>
        <v>4.5</v>
      </c>
      <c r="BC24" s="84" t="n">
        <f aca="false">BD20*BC$22/$BD$22</f>
        <v>2.5</v>
      </c>
      <c r="BD24" s="85" t="n">
        <f aca="false">SUM(BB24:BC24)</f>
        <v>7</v>
      </c>
      <c r="BF24" s="58" t="s">
        <v>9</v>
      </c>
      <c r="BG24" s="83" t="n">
        <f aca="false">BG$22*BI20/$BI$22</f>
        <v>5.14285714285714</v>
      </c>
      <c r="BH24" s="84" t="n">
        <f aca="false">BH$22*BI20/$BI$22</f>
        <v>2.85714285714286</v>
      </c>
      <c r="BI24" s="85" t="n">
        <f aca="false">SUM(BG24:BH24)</f>
        <v>8</v>
      </c>
    </row>
    <row r="25" customFormat="false" ht="15.75" hidden="false" customHeight="false" outlineLevel="0" collapsed="false">
      <c r="I25" s="38" t="s">
        <v>35</v>
      </c>
      <c r="J25" s="42" t="n">
        <f aca="false">COUNTIF($B$3:$B$16,"rainy")/$A$17</f>
        <v>0.357142857142857</v>
      </c>
      <c r="K25" s="39" t="s">
        <v>36</v>
      </c>
      <c r="L25" s="41" t="n">
        <f aca="false">3/COUNTIF($B$3:$B$16,"rainy")</f>
        <v>0.6</v>
      </c>
      <c r="M25" s="40" t="s">
        <v>37</v>
      </c>
      <c r="N25" s="41" t="n">
        <f aca="false">1-L25</f>
        <v>0.4</v>
      </c>
      <c r="O25" s="86" t="n">
        <f aca="false">-L25*LOG(L25,2)-N25*LOG(N25,2)</f>
        <v>0.970950594454668</v>
      </c>
      <c r="P25" s="32"/>
      <c r="Q25" s="33"/>
      <c r="S25" s="79"/>
      <c r="T25" s="79"/>
      <c r="U25" s="80" t="e">
        <f aca="false">T25/S25</f>
        <v>#DIV/0!</v>
      </c>
      <c r="V25" s="80"/>
      <c r="W25" s="81"/>
      <c r="X25" s="82"/>
      <c r="Y25" s="33"/>
      <c r="AA25" s="79"/>
      <c r="AB25" s="79"/>
      <c r="AC25" s="80" t="e">
        <f aca="false">AB25/AA25</f>
        <v>#DIV/0!</v>
      </c>
      <c r="AD25" s="80"/>
      <c r="AE25" s="81"/>
      <c r="AF25" s="82"/>
      <c r="AG25" s="76"/>
      <c r="AI25" s="79"/>
      <c r="AJ25" s="79"/>
      <c r="AK25" s="80" t="e">
        <f aca="false">AJ25/AI25</f>
        <v>#DIV/0!</v>
      </c>
      <c r="AL25" s="80"/>
      <c r="AM25" s="81"/>
      <c r="AN25" s="82"/>
      <c r="AO25" s="33"/>
      <c r="AQ25" s="53" t="s">
        <v>6</v>
      </c>
      <c r="AR25" s="83" t="n">
        <f aca="false">AR$23*AT20/$AT$23</f>
        <v>3.21428571428571</v>
      </c>
      <c r="AS25" s="84" t="n">
        <f aca="false">AS$23*AT20/$AT$23</f>
        <v>1.78571428571429</v>
      </c>
      <c r="AT25" s="85" t="n">
        <f aca="false">SUM(AR25:AS25)</f>
        <v>5</v>
      </c>
      <c r="AV25" s="58" t="s">
        <v>7</v>
      </c>
      <c r="AW25" s="83" t="n">
        <f aca="false">AY20*AW$23/$AY$23</f>
        <v>2.57142857142857</v>
      </c>
      <c r="AX25" s="84" t="n">
        <f aca="false">AY20*AX$23/$AY$23</f>
        <v>1.42857142857143</v>
      </c>
      <c r="AY25" s="85" t="n">
        <f aca="false">SUM(AW25:AX25)</f>
        <v>4</v>
      </c>
      <c r="BA25" s="65" t="s">
        <v>17</v>
      </c>
      <c r="BB25" s="87" t="n">
        <f aca="false">BD21*BB$22/$BD$22</f>
        <v>4.5</v>
      </c>
      <c r="BC25" s="88" t="n">
        <f aca="false">BD21*BC$22/$BD$22</f>
        <v>2.5</v>
      </c>
      <c r="BD25" s="89" t="n">
        <f aca="false">SUM(BB25:BC25)</f>
        <v>7</v>
      </c>
      <c r="BF25" s="65" t="s">
        <v>11</v>
      </c>
      <c r="BG25" s="87" t="n">
        <f aca="false">BG$22*BI21/$BI$22</f>
        <v>3.85714285714286</v>
      </c>
      <c r="BH25" s="88" t="n">
        <f aca="false">BH$22*BI21/$BI$22</f>
        <v>2.14285714285714</v>
      </c>
      <c r="BI25" s="89" t="n">
        <f aca="false">SUM(BG25:BH25)</f>
        <v>6</v>
      </c>
    </row>
    <row r="26" customFormat="false" ht="15.75" hidden="false" customHeight="false" outlineLevel="0" collapsed="false">
      <c r="AQ26" s="58" t="s">
        <v>12</v>
      </c>
      <c r="AR26" s="90" t="n">
        <f aca="false">AR$23*AT21/$AT$23</f>
        <v>2.57142857142857</v>
      </c>
      <c r="AS26" s="91" t="n">
        <f aca="false">AS$23*AT21/$AT$23</f>
        <v>1.42857142857143</v>
      </c>
      <c r="AT26" s="92" t="n">
        <f aca="false">SUM(AR26:AS26)</f>
        <v>4</v>
      </c>
      <c r="AV26" s="58" t="s">
        <v>15</v>
      </c>
      <c r="AW26" s="90" t="n">
        <f aca="false">AY21*AW$23/$AY$23</f>
        <v>3.85714285714286</v>
      </c>
      <c r="AX26" s="91" t="n">
        <f aca="false">AY21*AX$23/$AY$23</f>
        <v>2.14285714285714</v>
      </c>
      <c r="AY26" s="92" t="n">
        <f aca="false">SUM(AW26:AX26)</f>
        <v>6</v>
      </c>
      <c r="BB26" s="93" t="n">
        <f aca="false">SUM(BB24:BB25)</f>
        <v>9</v>
      </c>
      <c r="BC26" s="94" t="n">
        <f aca="false">SUM(BC24:BC25)</f>
        <v>5</v>
      </c>
      <c r="BD26" s="95" t="n">
        <f aca="false">SUM(BB24:BC25)</f>
        <v>14</v>
      </c>
      <c r="BG26" s="93" t="n">
        <f aca="false">SUM(BG24:BG25)</f>
        <v>9</v>
      </c>
      <c r="BH26" s="94" t="n">
        <f aca="false">SUM(BH24:BH25)</f>
        <v>5</v>
      </c>
      <c r="BI26" s="95" t="n">
        <f aca="false">SUM(BG24:BH25)</f>
        <v>14</v>
      </c>
    </row>
    <row r="27" customFormat="false" ht="15" hidden="false" customHeight="true" outlineLevel="0" collapsed="false">
      <c r="I27" s="23" t="s">
        <v>38</v>
      </c>
      <c r="J27" s="24"/>
      <c r="K27" s="24"/>
      <c r="L27" s="24"/>
      <c r="M27" s="24"/>
      <c r="N27" s="24"/>
      <c r="O27" s="24"/>
      <c r="P27" s="25"/>
      <c r="Q27" s="15" t="s">
        <v>28</v>
      </c>
      <c r="S27" s="15" t="s">
        <v>67</v>
      </c>
      <c r="T27" s="15" t="s">
        <v>13</v>
      </c>
      <c r="U27" s="15" t="s">
        <v>68</v>
      </c>
      <c r="V27" s="15" t="s">
        <v>69</v>
      </c>
      <c r="W27" s="15" t="s">
        <v>70</v>
      </c>
      <c r="X27" s="15" t="s">
        <v>64</v>
      </c>
      <c r="Y27" s="15" t="s">
        <v>71</v>
      </c>
      <c r="AA27" s="15" t="s">
        <v>67</v>
      </c>
      <c r="AB27" s="15" t="s">
        <v>13</v>
      </c>
      <c r="AC27" s="15" t="s">
        <v>68</v>
      </c>
      <c r="AD27" s="15" t="s">
        <v>69</v>
      </c>
      <c r="AE27" s="15" t="s">
        <v>70</v>
      </c>
      <c r="AF27" s="15" t="s">
        <v>64</v>
      </c>
      <c r="AG27" s="15" t="s">
        <v>71</v>
      </c>
      <c r="AI27" s="15" t="s">
        <v>67</v>
      </c>
      <c r="AJ27" s="15" t="s">
        <v>13</v>
      </c>
      <c r="AK27" s="15" t="s">
        <v>68</v>
      </c>
      <c r="AL27" s="15" t="s">
        <v>69</v>
      </c>
      <c r="AM27" s="15" t="s">
        <v>70</v>
      </c>
      <c r="AN27" s="15" t="s">
        <v>64</v>
      </c>
      <c r="AO27" s="15" t="s">
        <v>71</v>
      </c>
      <c r="AQ27" s="65" t="s">
        <v>14</v>
      </c>
      <c r="AR27" s="87" t="n">
        <f aca="false">AR$23*AT22/$AT$23</f>
        <v>3.21428571428571</v>
      </c>
      <c r="AS27" s="88" t="n">
        <f aca="false">AS$23*AT22/$AT$23</f>
        <v>1.78571428571429</v>
      </c>
      <c r="AT27" s="89" t="n">
        <f aca="false">SUM(AR27:AS27)</f>
        <v>5</v>
      </c>
      <c r="AV27" s="65" t="s">
        <v>16</v>
      </c>
      <c r="AW27" s="87" t="n">
        <f aca="false">AY22*AW$23/$AY$23</f>
        <v>2.57142857142857</v>
      </c>
      <c r="AX27" s="88" t="n">
        <f aca="false">AY22*AX$23/$AY$23</f>
        <v>1.42857142857143</v>
      </c>
      <c r="AY27" s="89" t="n">
        <f aca="false">SUM(AW27:AX27)</f>
        <v>4</v>
      </c>
      <c r="BB27" s="96"/>
      <c r="BC27" s="96"/>
      <c r="BG27" s="96"/>
      <c r="BH27" s="96"/>
    </row>
    <row r="28" customFormat="false" ht="15.75" hidden="false" customHeight="false" outlineLevel="0" collapsed="false">
      <c r="I28" s="26" t="s">
        <v>39</v>
      </c>
      <c r="J28" s="27" t="n">
        <f aca="false">COUNTIF($C$3:$C$16,"hot")/$A$17</f>
        <v>0.285714285714286</v>
      </c>
      <c r="K28" s="28" t="s">
        <v>40</v>
      </c>
      <c r="L28" s="29" t="n">
        <f aca="false">2/COUNTIF($C$3:$C$16,"hot")</f>
        <v>0.5</v>
      </c>
      <c r="M28" s="30" t="s">
        <v>41</v>
      </c>
      <c r="N28" s="29" t="n">
        <f aca="false">1-L28</f>
        <v>0.5</v>
      </c>
      <c r="O28" s="31" t="n">
        <f aca="false">-L28*LOG(L28,2)-N28*LOG(N28,2)</f>
        <v>1</v>
      </c>
      <c r="P28" s="32" t="n">
        <f aca="false">J28*O28+J29*O29+J30*O30</f>
        <v>0.911063393011676</v>
      </c>
      <c r="Q28" s="33" t="n">
        <f aca="false">$M$19-P28</f>
        <v>0.0292225656589546</v>
      </c>
      <c r="S28" s="72" t="n">
        <f aca="false">COUNTIF($C$3:$C$16,W28)</f>
        <v>4</v>
      </c>
      <c r="T28" s="72" t="n">
        <v>2</v>
      </c>
      <c r="U28" s="73" t="n">
        <f aca="false">T28/S28</f>
        <v>0.5</v>
      </c>
      <c r="V28" s="73" t="n">
        <f aca="false">S28/$A$17</f>
        <v>0.285714285714286</v>
      </c>
      <c r="W28" s="74" t="s">
        <v>7</v>
      </c>
      <c r="X28" s="75" t="n">
        <f aca="false">1-((U28)^2+(1-U28)^2)</f>
        <v>0.5</v>
      </c>
      <c r="Y28" s="33" t="n">
        <f aca="false">SUMPRODUCT(V28:V30,X28:X30)</f>
        <v>0.442857142857143</v>
      </c>
      <c r="AA28" s="72" t="n">
        <f aca="false">COUNTIF($C$3:$C$16,AE28)</f>
        <v>6</v>
      </c>
      <c r="AB28" s="72" t="n">
        <v>4</v>
      </c>
      <c r="AC28" s="73" t="n">
        <f aca="false">AB28/AA28</f>
        <v>0.666666666666667</v>
      </c>
      <c r="AD28" s="73" t="n">
        <f aca="false">AA28/$A$17</f>
        <v>0.428571428571429</v>
      </c>
      <c r="AE28" s="74" t="s">
        <v>15</v>
      </c>
      <c r="AF28" s="75" t="n">
        <f aca="false">1-((AC28)^2+(1-AC28)^2)</f>
        <v>0.444444444444444</v>
      </c>
      <c r="AG28" s="33" t="n">
        <f aca="false">SUMPRODUCT(AD28:AD30,AF28:AF30)</f>
        <v>0.458333333333333</v>
      </c>
      <c r="AI28" s="72" t="n">
        <f aca="false">COUNTIF($C$3:$C$16,AM28)</f>
        <v>4</v>
      </c>
      <c r="AJ28" s="72" t="n">
        <v>3</v>
      </c>
      <c r="AK28" s="73" t="n">
        <f aca="false">AJ28/AI28</f>
        <v>0.75</v>
      </c>
      <c r="AL28" s="73" t="n">
        <f aca="false">AI28/$A$17</f>
        <v>0.285714285714286</v>
      </c>
      <c r="AM28" s="74" t="s">
        <v>16</v>
      </c>
      <c r="AN28" s="75" t="n">
        <f aca="false">1-((AK28)^2+(1-AK28)^2)</f>
        <v>0.375</v>
      </c>
      <c r="AO28" s="33" t="n">
        <f aca="false">SUMPRODUCT(AL28:AL30,AN28:AN30)</f>
        <v>0.45</v>
      </c>
      <c r="AR28" s="93" t="n">
        <f aca="false">SUM(AR25:AR27)</f>
        <v>9</v>
      </c>
      <c r="AS28" s="94" t="n">
        <f aca="false">SUM(AS25:AS27)</f>
        <v>5</v>
      </c>
      <c r="AT28" s="95" t="n">
        <f aca="false">SUM(AR25:AS27)</f>
        <v>14</v>
      </c>
      <c r="AW28" s="93" t="n">
        <f aca="false">SUM(AW25:AW27)</f>
        <v>9</v>
      </c>
      <c r="AX28" s="94" t="n">
        <f aca="false">SUM(AX25:AX27)</f>
        <v>5</v>
      </c>
      <c r="AY28" s="95" t="n">
        <f aca="false">SUM(AW25:AX27)</f>
        <v>14</v>
      </c>
    </row>
    <row r="29" customFormat="false" ht="15.75" hidden="false" customHeight="true" outlineLevel="0" collapsed="false">
      <c r="I29" s="34" t="s">
        <v>42</v>
      </c>
      <c r="J29" s="77" t="n">
        <f aca="false">COUNTIF($C$3:$C$16,"mild")/$A$17</f>
        <v>0.428571428571429</v>
      </c>
      <c r="K29" s="35" t="s">
        <v>43</v>
      </c>
      <c r="L29" s="37" t="n">
        <f aca="false">4/COUNTIF($C$3:$C$16,"mild")</f>
        <v>0.666666666666667</v>
      </c>
      <c r="M29" s="36" t="s">
        <v>44</v>
      </c>
      <c r="N29" s="37" t="n">
        <f aca="false">1-L29</f>
        <v>0.333333333333333</v>
      </c>
      <c r="O29" s="78" t="n">
        <f aca="false">-L29*LOG(L29,2)-N29*LOG(N29,2)</f>
        <v>0.91829583405449</v>
      </c>
      <c r="P29" s="32"/>
      <c r="Q29" s="33"/>
      <c r="S29" s="79" t="n">
        <f aca="false">$A$17-S28</f>
        <v>10</v>
      </c>
      <c r="T29" s="79" t="n">
        <v>7</v>
      </c>
      <c r="U29" s="80" t="n">
        <f aca="false">T29/S29</f>
        <v>0.7</v>
      </c>
      <c r="V29" s="80" t="n">
        <f aca="false">1-V28</f>
        <v>0.714285714285714</v>
      </c>
      <c r="W29" s="81" t="s">
        <v>76</v>
      </c>
      <c r="X29" s="82" t="n">
        <f aca="false">1-((U29)^2+(1-U29)^2)</f>
        <v>0.42</v>
      </c>
      <c r="Y29" s="33"/>
      <c r="AA29" s="79" t="n">
        <f aca="false">$A$17-AA28</f>
        <v>8</v>
      </c>
      <c r="AB29" s="79" t="n">
        <v>5</v>
      </c>
      <c r="AC29" s="80" t="n">
        <f aca="false">AB29/AA29</f>
        <v>0.625</v>
      </c>
      <c r="AD29" s="80" t="n">
        <f aca="false">1-AD28</f>
        <v>0.571428571428571</v>
      </c>
      <c r="AE29" s="81" t="s">
        <v>77</v>
      </c>
      <c r="AF29" s="82" t="n">
        <f aca="false">1-((AC29)^2+(1-AC29)^2)</f>
        <v>0.46875</v>
      </c>
      <c r="AG29" s="33"/>
      <c r="AI29" s="79" t="n">
        <f aca="false">$A$17-AI28</f>
        <v>10</v>
      </c>
      <c r="AJ29" s="79" t="n">
        <v>6</v>
      </c>
      <c r="AK29" s="80" t="n">
        <f aca="false">AJ29/AI29</f>
        <v>0.6</v>
      </c>
      <c r="AL29" s="80" t="n">
        <f aca="false">1-AL28</f>
        <v>0.714285714285714</v>
      </c>
      <c r="AM29" s="81" t="s">
        <v>78</v>
      </c>
      <c r="AN29" s="82" t="n">
        <f aca="false">1-((AK29)^2+(1-AK29)^2)</f>
        <v>0.48</v>
      </c>
      <c r="AO29" s="33"/>
      <c r="AQ29" s="52" t="s">
        <v>79</v>
      </c>
      <c r="AV29" s="52" t="s">
        <v>79</v>
      </c>
      <c r="BA29" s="52" t="s">
        <v>79</v>
      </c>
      <c r="BF29" s="52" t="s">
        <v>79</v>
      </c>
    </row>
    <row r="30" customFormat="false" ht="15.75" hidden="false" customHeight="false" outlineLevel="0" collapsed="false">
      <c r="I30" s="38" t="s">
        <v>45</v>
      </c>
      <c r="J30" s="42" t="n">
        <f aca="false">COUNTIF($C$3:$C$16,"cool")/$A$17</f>
        <v>0.285714285714286</v>
      </c>
      <c r="K30" s="39" t="s">
        <v>46</v>
      </c>
      <c r="L30" s="41" t="n">
        <f aca="false">3/COUNTIF($C$3:$C$16,"cool")</f>
        <v>0.75</v>
      </c>
      <c r="M30" s="40" t="s">
        <v>47</v>
      </c>
      <c r="N30" s="41" t="n">
        <f aca="false">1-L30</f>
        <v>0.25</v>
      </c>
      <c r="O30" s="86" t="n">
        <f aca="false">-L30*LOG(L30,2)-N30*LOG(N30,2)</f>
        <v>0.811278124459133</v>
      </c>
      <c r="P30" s="32"/>
      <c r="Q30" s="33"/>
      <c r="S30" s="79"/>
      <c r="T30" s="79"/>
      <c r="U30" s="80" t="e">
        <f aca="false">T30/S30</f>
        <v>#DIV/0!</v>
      </c>
      <c r="V30" s="80"/>
      <c r="W30" s="81"/>
      <c r="X30" s="82"/>
      <c r="Y30" s="33"/>
      <c r="AA30" s="79"/>
      <c r="AB30" s="79"/>
      <c r="AC30" s="80" t="e">
        <f aca="false">AB30/AA30</f>
        <v>#DIV/0!</v>
      </c>
      <c r="AD30" s="80"/>
      <c r="AE30" s="81"/>
      <c r="AF30" s="82"/>
      <c r="AG30" s="33"/>
      <c r="AI30" s="79"/>
      <c r="AJ30" s="79"/>
      <c r="AK30" s="80" t="e">
        <f aca="false">AJ30/AI30</f>
        <v>#DIV/0!</v>
      </c>
      <c r="AL30" s="80"/>
      <c r="AM30" s="81"/>
      <c r="AN30" s="82"/>
      <c r="AO30" s="33"/>
      <c r="AQ30" s="53" t="s">
        <v>6</v>
      </c>
      <c r="AR30" s="97" t="n">
        <f aca="false">(AR20-AR25)^2/AR25</f>
        <v>0.458730158730159</v>
      </c>
      <c r="AS30" s="98" t="n">
        <f aca="false">(AS20-AS25)^2/AS25</f>
        <v>0.825714285714285</v>
      </c>
      <c r="AT30" s="99" t="n">
        <f aca="false">SUM(AR30:AS30)</f>
        <v>1.28444444444444</v>
      </c>
      <c r="AV30" s="58" t="s">
        <v>7</v>
      </c>
      <c r="AW30" s="97" t="n">
        <f aca="false">(AW20-AW25)^2/AW25</f>
        <v>0.126984126984127</v>
      </c>
      <c r="AX30" s="98" t="n">
        <f aca="false">(AX20-AX25)^2/AX25</f>
        <v>0.228571428571429</v>
      </c>
      <c r="AY30" s="99" t="n">
        <f aca="false">SUM(AW30:AX30)</f>
        <v>0.355555555555556</v>
      </c>
      <c r="BA30" s="58" t="s">
        <v>7</v>
      </c>
      <c r="BB30" s="97" t="n">
        <f aca="false">(BB20-BB24)^2/BB24</f>
        <v>0.5</v>
      </c>
      <c r="BC30" s="98" t="n">
        <f aca="false">(BC20-BC24)^2/BC24</f>
        <v>0.9</v>
      </c>
      <c r="BD30" s="99" t="n">
        <f aca="false">SUM(BB30:BC30)</f>
        <v>1.4</v>
      </c>
      <c r="BF30" s="58" t="s">
        <v>7</v>
      </c>
      <c r="BG30" s="97" t="n">
        <f aca="false">(BG20-BG24)^2/BG24</f>
        <v>0.142857142857143</v>
      </c>
      <c r="BH30" s="98" t="n">
        <f aca="false">(BH20-BH24)^2/BH24</f>
        <v>0.257142857142857</v>
      </c>
      <c r="BI30" s="99" t="n">
        <f aca="false">SUM(BG30:BH30)</f>
        <v>0.4</v>
      </c>
    </row>
    <row r="31" customFormat="false" ht="15.75" hidden="false" customHeight="false" outlineLevel="0" collapsed="false">
      <c r="AQ31" s="58" t="s">
        <v>12</v>
      </c>
      <c r="AR31" s="100" t="n">
        <f aca="false">(AR21-AR26)^2/AR26</f>
        <v>0.793650793650793</v>
      </c>
      <c r="AS31" s="101" t="n">
        <f aca="false">(AS21-AS26)^2/AS26</f>
        <v>1.42857142857143</v>
      </c>
      <c r="AT31" s="102" t="n">
        <f aca="false">SUM(AR31:AS31)</f>
        <v>2.22222222222222</v>
      </c>
      <c r="AV31" s="58" t="s">
        <v>15</v>
      </c>
      <c r="AW31" s="100" t="n">
        <f aca="false">(AW21-AW26)^2/AW26</f>
        <v>0.00529100529100529</v>
      </c>
      <c r="AX31" s="101" t="n">
        <f aca="false">(AX21-AX26)^2/AX26</f>
        <v>0.00952380952380952</v>
      </c>
      <c r="AY31" s="102" t="n">
        <f aca="false">SUM(AW31:AX31)</f>
        <v>0.0148148148148148</v>
      </c>
      <c r="BA31" s="65" t="s">
        <v>17</v>
      </c>
      <c r="BB31" s="103" t="n">
        <f aca="false">(BB21-BB25)^2/BB25</f>
        <v>0.5</v>
      </c>
      <c r="BC31" s="104" t="n">
        <f aca="false">(BC21-BC25)^2/BC25</f>
        <v>0.9</v>
      </c>
      <c r="BD31" s="105" t="n">
        <f aca="false">SUM(BB31:BC31)</f>
        <v>1.4</v>
      </c>
      <c r="BF31" s="65" t="s">
        <v>17</v>
      </c>
      <c r="BG31" s="103" t="n">
        <f aca="false">(BG21-BG25)^2/BG25</f>
        <v>0.190476190476191</v>
      </c>
      <c r="BH31" s="104" t="n">
        <f aca="false">(BH21-BH25)^2/BH25</f>
        <v>0.342857142857143</v>
      </c>
      <c r="BI31" s="105" t="n">
        <f aca="false">SUM(BG31:BH31)</f>
        <v>0.533333333333333</v>
      </c>
    </row>
    <row r="32" customFormat="false" ht="15.75" hidden="false" customHeight="false" outlineLevel="0" collapsed="false">
      <c r="I32" s="23" t="s">
        <v>48</v>
      </c>
      <c r="J32" s="24"/>
      <c r="K32" s="24"/>
      <c r="L32" s="24"/>
      <c r="M32" s="24"/>
      <c r="N32" s="24"/>
      <c r="O32" s="24"/>
      <c r="P32" s="25"/>
      <c r="Q32" s="15" t="s">
        <v>28</v>
      </c>
      <c r="S32" s="15" t="s">
        <v>67</v>
      </c>
      <c r="T32" s="15" t="s">
        <v>13</v>
      </c>
      <c r="U32" s="15" t="s">
        <v>68</v>
      </c>
      <c r="V32" s="15" t="s">
        <v>69</v>
      </c>
      <c r="W32" s="15" t="s">
        <v>70</v>
      </c>
      <c r="X32" s="15" t="s">
        <v>64</v>
      </c>
      <c r="Y32" s="15" t="s">
        <v>71</v>
      </c>
      <c r="AQ32" s="65" t="s">
        <v>14</v>
      </c>
      <c r="AR32" s="103" t="n">
        <f aca="false">(AR22-AR27)^2/AR27</f>
        <v>0.0142857142857143</v>
      </c>
      <c r="AS32" s="104" t="n">
        <f aca="false">(AS22-AS27)^2/AS27</f>
        <v>0.0257142857142857</v>
      </c>
      <c r="AT32" s="105" t="n">
        <f aca="false">SUM(AR32:AS32)</f>
        <v>0.04</v>
      </c>
      <c r="AV32" s="65" t="s">
        <v>16</v>
      </c>
      <c r="AW32" s="103" t="n">
        <f aca="false">(AW22-AW27)^2/AW27</f>
        <v>0.0714285714285714</v>
      </c>
      <c r="AX32" s="104" t="n">
        <f aca="false">(AX22-AX27)^2/AX27</f>
        <v>0.128571428571429</v>
      </c>
      <c r="AY32" s="105" t="n">
        <f aca="false">SUM(AW32:AX32)</f>
        <v>0.2</v>
      </c>
      <c r="BB32" s="106" t="n">
        <f aca="false">SUM(BB30:BB31)</f>
        <v>1</v>
      </c>
      <c r="BC32" s="107" t="n">
        <f aca="false">SUM(BC30:BC31)</f>
        <v>1.8</v>
      </c>
      <c r="BD32" s="108" t="n">
        <f aca="false">SUM(BB30:BC31)</f>
        <v>2.8</v>
      </c>
      <c r="BG32" s="106" t="n">
        <f aca="false">SUM(BG30:BG31)</f>
        <v>0.333333333333333</v>
      </c>
      <c r="BH32" s="107" t="n">
        <f aca="false">SUM(BH30:BH31)</f>
        <v>0.6</v>
      </c>
      <c r="BI32" s="108" t="n">
        <f aca="false">SUM(BG30:BH31)</f>
        <v>0.933333333333333</v>
      </c>
    </row>
    <row r="33" customFormat="false" ht="15.75" hidden="false" customHeight="false" outlineLevel="0" collapsed="false">
      <c r="I33" s="26" t="s">
        <v>49</v>
      </c>
      <c r="J33" s="27" t="n">
        <f aca="false">COUNTIF($D$3:$D$16,"normal")/$A$17</f>
        <v>0.5</v>
      </c>
      <c r="K33" s="28" t="s">
        <v>50</v>
      </c>
      <c r="L33" s="29" t="n">
        <f aca="false">6/COUNTIF($D$3:$D$16,"normal")</f>
        <v>0.857142857142857</v>
      </c>
      <c r="M33" s="30" t="s">
        <v>51</v>
      </c>
      <c r="N33" s="29" t="n">
        <f aca="false">1-L33</f>
        <v>0.142857142857143</v>
      </c>
      <c r="O33" s="31" t="n">
        <f aca="false">-L33*LOG(L33,2)-N33*LOG(N33,2)</f>
        <v>0.591672778582328</v>
      </c>
      <c r="P33" s="32" t="n">
        <f aca="false">J33*O33+J34*O34</f>
        <v>0.788450457308289</v>
      </c>
      <c r="Q33" s="33" t="n">
        <f aca="false">$M$19-P33</f>
        <v>0.151835501362341</v>
      </c>
      <c r="S33" s="72" t="n">
        <f aca="false">COUNTIF($D$3:$D$16,W33)</f>
        <v>7</v>
      </c>
      <c r="T33" s="72" t="n">
        <v>6</v>
      </c>
      <c r="U33" s="73" t="n">
        <f aca="false">T33/S33</f>
        <v>0.857142857142857</v>
      </c>
      <c r="V33" s="73" t="n">
        <f aca="false">S33/$A$17</f>
        <v>0.5</v>
      </c>
      <c r="W33" s="74" t="s">
        <v>17</v>
      </c>
      <c r="X33" s="75" t="n">
        <f aca="false">1-((U33)^2+(1-U33)^2)</f>
        <v>0.244897959183674</v>
      </c>
      <c r="Y33" s="33" t="n">
        <f aca="false">SUMPRODUCT(J33:J34,X33:X34)</f>
        <v>0.438775510204082</v>
      </c>
      <c r="AR33" s="106" t="n">
        <f aca="false">SUM(AR30:AR32)</f>
        <v>1.26666666666667</v>
      </c>
      <c r="AS33" s="107" t="n">
        <f aca="false">SUM(AS30:AS32)</f>
        <v>2.28</v>
      </c>
      <c r="AT33" s="108" t="n">
        <f aca="false">SUM(AR30:AS32)</f>
        <v>3.54666666666667</v>
      </c>
      <c r="AW33" s="106" t="n">
        <f aca="false">SUM(AW30:AW32)</f>
        <v>0.203703703703704</v>
      </c>
      <c r="AX33" s="107" t="n">
        <f aca="false">SUM(AX30:AX32)</f>
        <v>0.366666666666667</v>
      </c>
      <c r="AY33" s="108" t="n">
        <f aca="false">SUM(AW30:AX32)</f>
        <v>0.57037037037037</v>
      </c>
      <c r="BB33" s="96"/>
      <c r="BC33" s="96"/>
      <c r="BD33" s="109" t="n">
        <f aca="false">_xlfn.CHISQ.DIST.RT(BD32,1)</f>
        <v>0.0942643068412103</v>
      </c>
      <c r="BG33" s="96"/>
      <c r="BH33" s="96"/>
      <c r="BI33" s="33" t="n">
        <f aca="false">_xlfn.CHISQ.DIST.RT(BI32,1)</f>
        <v>0.333998255821998</v>
      </c>
    </row>
    <row r="34" customFormat="false" ht="15.75" hidden="false" customHeight="false" outlineLevel="0" collapsed="false">
      <c r="I34" s="38" t="s">
        <v>52</v>
      </c>
      <c r="J34" s="42" t="n">
        <f aca="false">COUNTIF($D$3:$D$16,"high")/$A$17</f>
        <v>0.5</v>
      </c>
      <c r="K34" s="39" t="s">
        <v>53</v>
      </c>
      <c r="L34" s="41" t="n">
        <f aca="false">3/COUNTIF($D$3:$D$16,"high")</f>
        <v>0.428571428571429</v>
      </c>
      <c r="M34" s="40" t="s">
        <v>54</v>
      </c>
      <c r="N34" s="41" t="n">
        <f aca="false">1-L34</f>
        <v>0.571428571428571</v>
      </c>
      <c r="O34" s="86" t="n">
        <f aca="false">-L34*LOG(L34,2)-N34*LOG(N34,2)</f>
        <v>0.985228136034252</v>
      </c>
      <c r="P34" s="32"/>
      <c r="Q34" s="33"/>
      <c r="S34" s="110" t="n">
        <f aca="false">$A$17-S33</f>
        <v>7</v>
      </c>
      <c r="T34" s="111" t="n">
        <v>3</v>
      </c>
      <c r="U34" s="112" t="n">
        <f aca="false">T34/S34</f>
        <v>0.428571428571429</v>
      </c>
      <c r="V34" s="112" t="n">
        <f aca="false">S34/$A$17</f>
        <v>0.5</v>
      </c>
      <c r="W34" s="111" t="s">
        <v>8</v>
      </c>
      <c r="X34" s="113" t="n">
        <f aca="false">1-((L34^2)+(L34^2))</f>
        <v>0.63265306122449</v>
      </c>
      <c r="Y34" s="33"/>
      <c r="AR34" s="96"/>
      <c r="AS34" s="96"/>
      <c r="AT34" s="33" t="n">
        <f aca="false">_xlfn.CHISQ.DIST.RT(AT33,2)</f>
        <v>0.169766157439811</v>
      </c>
      <c r="AW34" s="96"/>
      <c r="AX34" s="96"/>
      <c r="AY34" s="33" t="n">
        <f aca="false">_xlfn.CHISQ.DIST.RT(AY33,2)</f>
        <v>0.751875005314259</v>
      </c>
    </row>
    <row r="36" customFormat="false" ht="15.75" hidden="false" customHeight="false" outlineLevel="0" collapsed="false">
      <c r="I36" s="23" t="s">
        <v>55</v>
      </c>
      <c r="J36" s="24"/>
      <c r="K36" s="24"/>
      <c r="L36" s="24"/>
      <c r="M36" s="24"/>
      <c r="N36" s="24"/>
      <c r="O36" s="24"/>
      <c r="P36" s="25"/>
      <c r="Q36" s="15" t="s">
        <v>28</v>
      </c>
      <c r="S36" s="15" t="s">
        <v>67</v>
      </c>
      <c r="T36" s="15" t="s">
        <v>13</v>
      </c>
      <c r="U36" s="15" t="s">
        <v>68</v>
      </c>
      <c r="V36" s="15" t="s">
        <v>69</v>
      </c>
      <c r="W36" s="15" t="s">
        <v>70</v>
      </c>
      <c r="X36" s="15" t="s">
        <v>64</v>
      </c>
      <c r="Y36" s="15" t="s">
        <v>71</v>
      </c>
    </row>
    <row r="37" customFormat="false" ht="15" hidden="false" customHeight="false" outlineLevel="0" collapsed="false">
      <c r="I37" s="43" t="s">
        <v>56</v>
      </c>
      <c r="J37" s="44" t="n">
        <f aca="false">COUNTIF($E$3:$E$16,"FALSE")/$A$17</f>
        <v>0.571428571428571</v>
      </c>
      <c r="K37" s="45" t="s">
        <v>57</v>
      </c>
      <c r="L37" s="46" t="n">
        <f aca="false">6/COUNTIF($E$3:$E$16,"FALSE")</f>
        <v>0.75</v>
      </c>
      <c r="M37" s="45" t="s">
        <v>58</v>
      </c>
      <c r="N37" s="46" t="n">
        <f aca="false">1-L37</f>
        <v>0.25</v>
      </c>
      <c r="O37" s="47" t="n">
        <f aca="false">-L37*LOG(L37,2)-N37*LOG(N37,2)</f>
        <v>0.811278124459133</v>
      </c>
      <c r="P37" s="48" t="n">
        <f aca="false">J37*O37+J38*O38</f>
        <v>0.892158928262362</v>
      </c>
      <c r="Q37" s="33" t="n">
        <f aca="false">$M$19-P37</f>
        <v>0.0481270304082693</v>
      </c>
      <c r="S37" s="72" t="n">
        <f aca="false">COUNTIF($E$3:$E$16,W37)</f>
        <v>8</v>
      </c>
      <c r="T37" s="72" t="n">
        <v>6</v>
      </c>
      <c r="U37" s="73" t="n">
        <f aca="false">T37/S37</f>
        <v>0.75</v>
      </c>
      <c r="V37" s="73" t="n">
        <f aca="false">S37/$A$17</f>
        <v>0.571428571428571</v>
      </c>
      <c r="W37" s="74" t="s">
        <v>9</v>
      </c>
      <c r="X37" s="75" t="n">
        <f aca="false">1-((U37)^2+(1-U37)^2)</f>
        <v>0.375</v>
      </c>
      <c r="Y37" s="33" t="n">
        <f aca="false">SUMPRODUCT(J37:J38,X37:X38)</f>
        <v>0.428571428571429</v>
      </c>
    </row>
    <row r="38" customFormat="false" ht="15.75" hidden="false" customHeight="false" outlineLevel="0" collapsed="false">
      <c r="I38" s="20" t="s">
        <v>59</v>
      </c>
      <c r="J38" s="21" t="n">
        <f aca="false">COUNTIF($E$3:$E$16,"TRUE")/$A$17</f>
        <v>0.428571428571429</v>
      </c>
      <c r="K38" s="49" t="s">
        <v>60</v>
      </c>
      <c r="L38" s="50" t="n">
        <f aca="false">3/COUNTIF($E$3:$E$16,"TRUE")</f>
        <v>0.5</v>
      </c>
      <c r="M38" s="49" t="s">
        <v>61</v>
      </c>
      <c r="N38" s="50" t="n">
        <f aca="false">1-L38</f>
        <v>0.5</v>
      </c>
      <c r="O38" s="114" t="n">
        <f aca="false">-L38*LOG(L38,2)-N38*LOG(N38,2)</f>
        <v>1</v>
      </c>
      <c r="P38" s="48"/>
      <c r="Q38" s="33"/>
      <c r="S38" s="110" t="n">
        <f aca="false">$A$17-S37</f>
        <v>6</v>
      </c>
      <c r="T38" s="111" t="n">
        <v>3</v>
      </c>
      <c r="U38" s="112" t="n">
        <f aca="false">T38/S38</f>
        <v>0.5</v>
      </c>
      <c r="V38" s="112" t="n">
        <f aca="false">S38/$A$17</f>
        <v>0.428571428571429</v>
      </c>
      <c r="W38" s="111" t="s">
        <v>11</v>
      </c>
      <c r="X38" s="115" t="n">
        <f aca="false">1-((L38^2)+(L38^2))</f>
        <v>0.5</v>
      </c>
      <c r="Y38" s="33"/>
    </row>
    <row r="46" customFormat="false" ht="15" hidden="false" customHeight="false" outlineLevel="0" collapsed="false">
      <c r="B46" s="116" t="n">
        <v>0.25</v>
      </c>
      <c r="D46" s="117" t="n">
        <f aca="false">-B46*LOG(B46,2)</f>
        <v>0.5</v>
      </c>
      <c r="E46" s="118" t="n">
        <f aca="false">SUM(D46:D49)</f>
        <v>2</v>
      </c>
    </row>
    <row r="47" customFormat="false" ht="15" hidden="false" customHeight="false" outlineLevel="0" collapsed="false">
      <c r="B47" s="116" t="n">
        <v>0.25</v>
      </c>
      <c r="D47" s="117" t="n">
        <f aca="false">-B47*LOG(B47,2)</f>
        <v>0.5</v>
      </c>
      <c r="E47" s="118"/>
    </row>
    <row r="48" customFormat="false" ht="15" hidden="false" customHeight="false" outlineLevel="0" collapsed="false">
      <c r="B48" s="116" t="n">
        <v>0.25</v>
      </c>
      <c r="D48" s="117" t="n">
        <f aca="false">-B48*LOG(B48,2)</f>
        <v>0.5</v>
      </c>
      <c r="E48" s="118"/>
    </row>
    <row r="49" customFormat="false" ht="15" hidden="false" customHeight="false" outlineLevel="0" collapsed="false">
      <c r="B49" s="116" t="n">
        <v>0.25</v>
      </c>
      <c r="D49" s="117" t="n">
        <f aca="false">-B49*LOG(B49,2)</f>
        <v>0.5</v>
      </c>
      <c r="E49" s="118"/>
    </row>
  </sheetData>
  <autoFilter ref="A2:F16"/>
  <mergeCells count="62">
    <mergeCell ref="I16:Q16"/>
    <mergeCell ref="S16:AO16"/>
    <mergeCell ref="AQ16:BI16"/>
    <mergeCell ref="I18:L18"/>
    <mergeCell ref="AR18:AS18"/>
    <mergeCell ref="AW18:AX18"/>
    <mergeCell ref="BB18:BC18"/>
    <mergeCell ref="BG18:BH18"/>
    <mergeCell ref="M19:M20"/>
    <mergeCell ref="P23:P25"/>
    <mergeCell ref="Q23:Q25"/>
    <mergeCell ref="Y23:Y25"/>
    <mergeCell ref="AG23:AG25"/>
    <mergeCell ref="AO23:AO25"/>
    <mergeCell ref="S24:S25"/>
    <mergeCell ref="T24:T25"/>
    <mergeCell ref="U24:U25"/>
    <mergeCell ref="V24:V25"/>
    <mergeCell ref="W24:W25"/>
    <mergeCell ref="X24:X25"/>
    <mergeCell ref="AA24:AA25"/>
    <mergeCell ref="AB24:AB25"/>
    <mergeCell ref="AC24:AC25"/>
    <mergeCell ref="AD24:AD25"/>
    <mergeCell ref="AE24:AE25"/>
    <mergeCell ref="AF24:AF25"/>
    <mergeCell ref="AI24:AI25"/>
    <mergeCell ref="AJ24:AJ25"/>
    <mergeCell ref="AK24:AK25"/>
    <mergeCell ref="AL24:AL25"/>
    <mergeCell ref="AM24:AM25"/>
    <mergeCell ref="AN24:AN25"/>
    <mergeCell ref="P28:P30"/>
    <mergeCell ref="Q28:Q30"/>
    <mergeCell ref="Y28:Y30"/>
    <mergeCell ref="AG28:AG30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AF29:AF30"/>
    <mergeCell ref="AI29:AI30"/>
    <mergeCell ref="AJ29:AJ30"/>
    <mergeCell ref="AK29:AK30"/>
    <mergeCell ref="AL29:AL30"/>
    <mergeCell ref="AM29:AM30"/>
    <mergeCell ref="AN29:AN30"/>
    <mergeCell ref="P33:P34"/>
    <mergeCell ref="Q33:Q34"/>
    <mergeCell ref="Y33:Y34"/>
    <mergeCell ref="P37:P38"/>
    <mergeCell ref="Q37:Q38"/>
    <mergeCell ref="Y37:Y38"/>
    <mergeCell ref="E46:E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3" activeCellId="0" sqref="T13"/>
    </sheetView>
  </sheetViews>
  <sheetFormatPr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7.86"/>
    <col collapsed="false" customWidth="false" hidden="false" outlineLevel="0" max="3" min="3" style="0" width="11.42"/>
    <col collapsed="false" customWidth="true" hidden="false" outlineLevel="0" max="4" min="4" style="0" width="8.14"/>
    <col collapsed="false" customWidth="true" hidden="true" outlineLevel="0" max="5" min="5" style="0" width="5.86"/>
    <col collapsed="false" customWidth="true" hidden="false" outlineLevel="0" max="6" min="6" style="0" width="7"/>
    <col collapsed="false" customWidth="true" hidden="false" outlineLevel="0" max="7" min="7" style="0" width="1.42"/>
    <col collapsed="false" customWidth="true" hidden="false" outlineLevel="0" max="9" min="8" style="0" width="3.14"/>
    <col collapsed="false" customWidth="true" hidden="false" outlineLevel="0" max="10" min="10" style="0" width="10.67"/>
    <col collapsed="false" customWidth="true" hidden="false" outlineLevel="0" max="11" min="11" style="0" width="9.14"/>
    <col collapsed="false" customWidth="true" hidden="false" outlineLevel="0" max="12" min="12" style="0" width="5.86"/>
    <col collapsed="false" customWidth="true" hidden="false" outlineLevel="0" max="13" min="13" style="0" width="20.57"/>
    <col collapsed="false" customWidth="true" hidden="false" outlineLevel="0" max="14" min="14" style="0" width="7.86"/>
    <col collapsed="false" customWidth="true" hidden="false" outlineLevel="0" max="15" min="15" style="0" width="8"/>
    <col collapsed="false" customWidth="true" hidden="false" outlineLevel="0" max="19" min="16" style="0" width="7.86"/>
    <col collapsed="false" customWidth="true" hidden="false" outlineLevel="0" max="1025" min="20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0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H2" s="15" t="s">
        <v>80</v>
      </c>
      <c r="I2" s="119" t="s">
        <v>81</v>
      </c>
    </row>
    <row r="3" customFormat="false" ht="15.75" hidden="false" customHeight="false" outlineLevel="0" collapsed="false">
      <c r="A3" s="0" t="n">
        <v>5</v>
      </c>
      <c r="B3" s="5" t="s">
        <v>14</v>
      </c>
      <c r="C3" s="6" t="s">
        <v>16</v>
      </c>
      <c r="D3" s="120" t="n">
        <v>54</v>
      </c>
      <c r="E3" s="6" t="s">
        <v>9</v>
      </c>
      <c r="F3" s="8" t="s">
        <v>13</v>
      </c>
      <c r="H3" s="121" t="s">
        <v>82</v>
      </c>
      <c r="I3" s="122" t="s">
        <v>82</v>
      </c>
    </row>
    <row r="4" customFormat="false" ht="15.75" hidden="false" customHeight="false" outlineLevel="0" collapsed="false">
      <c r="A4" s="0" t="n">
        <v>6</v>
      </c>
      <c r="B4" s="5" t="s">
        <v>14</v>
      </c>
      <c r="C4" s="6" t="s">
        <v>16</v>
      </c>
      <c r="D4" s="120" t="n">
        <v>58</v>
      </c>
      <c r="E4" s="6" t="s">
        <v>11</v>
      </c>
      <c r="F4" s="7" t="s">
        <v>10</v>
      </c>
      <c r="H4" s="121" t="s">
        <v>82</v>
      </c>
      <c r="I4" s="122" t="s">
        <v>82</v>
      </c>
      <c r="K4" s="15" t="s">
        <v>20</v>
      </c>
      <c r="L4" s="15"/>
      <c r="M4" s="15"/>
      <c r="N4" s="15"/>
      <c r="O4" s="15" t="s">
        <v>21</v>
      </c>
    </row>
    <row r="5" customFormat="false" ht="15" hidden="false" customHeight="false" outlineLevel="0" collapsed="false">
      <c r="A5" s="0" t="n">
        <v>10</v>
      </c>
      <c r="B5" s="5" t="s">
        <v>14</v>
      </c>
      <c r="C5" s="6" t="s">
        <v>15</v>
      </c>
      <c r="D5" s="120" t="n">
        <v>59</v>
      </c>
      <c r="E5" s="6" t="s">
        <v>9</v>
      </c>
      <c r="F5" s="8" t="s">
        <v>13</v>
      </c>
      <c r="H5" s="121" t="s">
        <v>82</v>
      </c>
      <c r="I5" s="122" t="s">
        <v>82</v>
      </c>
      <c r="K5" s="16" t="s">
        <v>22</v>
      </c>
      <c r="L5" s="17"/>
      <c r="M5" s="16" t="s">
        <v>23</v>
      </c>
      <c r="N5" s="18"/>
      <c r="O5" s="19"/>
    </row>
    <row r="6" customFormat="false" ht="15.75" hidden="false" customHeight="false" outlineLevel="0" collapsed="false">
      <c r="A6" s="0" t="n">
        <v>7</v>
      </c>
      <c r="B6" s="5" t="s">
        <v>12</v>
      </c>
      <c r="C6" s="6" t="s">
        <v>16</v>
      </c>
      <c r="D6" s="120" t="n">
        <v>60</v>
      </c>
      <c r="E6" s="6" t="s">
        <v>11</v>
      </c>
      <c r="F6" s="8" t="s">
        <v>13</v>
      </c>
      <c r="H6" s="121" t="s">
        <v>82</v>
      </c>
      <c r="I6" s="122" t="s">
        <v>82</v>
      </c>
      <c r="K6" s="20" t="s">
        <v>24</v>
      </c>
      <c r="L6" s="21"/>
      <c r="M6" s="20" t="s">
        <v>25</v>
      </c>
      <c r="N6" s="57"/>
      <c r="O6" s="19"/>
    </row>
    <row r="7" customFormat="false" ht="15.75" hidden="false" customHeight="false" outlineLevel="0" collapsed="false">
      <c r="A7" s="0" t="n">
        <v>9</v>
      </c>
      <c r="B7" s="5" t="s">
        <v>6</v>
      </c>
      <c r="C7" s="6" t="s">
        <v>16</v>
      </c>
      <c r="D7" s="120" t="n">
        <v>60</v>
      </c>
      <c r="E7" s="6" t="s">
        <v>9</v>
      </c>
      <c r="F7" s="8" t="s">
        <v>13</v>
      </c>
      <c r="H7" s="121" t="s">
        <v>82</v>
      </c>
      <c r="I7" s="122" t="s">
        <v>82</v>
      </c>
    </row>
    <row r="8" customFormat="false" ht="15.75" hidden="false" customHeight="true" outlineLevel="0" collapsed="false">
      <c r="A8" s="0" t="n">
        <v>11</v>
      </c>
      <c r="B8" s="5" t="s">
        <v>6</v>
      </c>
      <c r="C8" s="6" t="s">
        <v>15</v>
      </c>
      <c r="D8" s="120" t="n">
        <v>62</v>
      </c>
      <c r="E8" s="6" t="s">
        <v>11</v>
      </c>
      <c r="F8" s="8" t="s">
        <v>13</v>
      </c>
      <c r="H8" s="121" t="s">
        <v>82</v>
      </c>
      <c r="I8" s="122" t="s">
        <v>82</v>
      </c>
      <c r="K8" s="123" t="s">
        <v>83</v>
      </c>
      <c r="L8" s="123"/>
      <c r="M8" s="123"/>
      <c r="N8" s="123"/>
      <c r="O8" s="123"/>
      <c r="P8" s="123"/>
      <c r="Q8" s="123"/>
      <c r="R8" s="123"/>
      <c r="S8" s="15" t="s">
        <v>28</v>
      </c>
    </row>
    <row r="9" customFormat="false" ht="15" hidden="false" customHeight="false" outlineLevel="0" collapsed="false">
      <c r="A9" s="0" t="n">
        <v>13</v>
      </c>
      <c r="B9" s="5" t="s">
        <v>12</v>
      </c>
      <c r="C9" s="6" t="s">
        <v>7</v>
      </c>
      <c r="D9" s="120" t="n">
        <v>63</v>
      </c>
      <c r="E9" s="6" t="s">
        <v>9</v>
      </c>
      <c r="F9" s="8" t="s">
        <v>13</v>
      </c>
      <c r="H9" s="124" t="s">
        <v>84</v>
      </c>
      <c r="I9" s="122" t="s">
        <v>82</v>
      </c>
      <c r="K9" s="26" t="s">
        <v>85</v>
      </c>
      <c r="L9" s="27"/>
      <c r="M9" s="28" t="s">
        <v>86</v>
      </c>
      <c r="N9" s="29"/>
      <c r="O9" s="30" t="s">
        <v>87</v>
      </c>
      <c r="P9" s="29"/>
      <c r="Q9" s="31"/>
      <c r="R9" s="32"/>
      <c r="S9" s="33"/>
    </row>
    <row r="10" customFormat="false" ht="15.75" hidden="false" customHeight="false" outlineLevel="0" collapsed="false">
      <c r="A10" s="0" t="n">
        <v>3</v>
      </c>
      <c r="B10" s="5" t="s">
        <v>12</v>
      </c>
      <c r="C10" s="6" t="s">
        <v>7</v>
      </c>
      <c r="D10" s="120" t="n">
        <v>80</v>
      </c>
      <c r="E10" s="6" t="s">
        <v>9</v>
      </c>
      <c r="F10" s="8" t="s">
        <v>13</v>
      </c>
      <c r="H10" s="124" t="s">
        <v>84</v>
      </c>
      <c r="I10" s="122" t="s">
        <v>82</v>
      </c>
      <c r="K10" s="38" t="s">
        <v>88</v>
      </c>
      <c r="L10" s="42"/>
      <c r="M10" s="39" t="s">
        <v>89</v>
      </c>
      <c r="N10" s="41"/>
      <c r="O10" s="40" t="s">
        <v>90</v>
      </c>
      <c r="P10" s="41"/>
      <c r="Q10" s="86"/>
      <c r="R10" s="32"/>
      <c r="S10" s="33"/>
    </row>
    <row r="11" customFormat="false" ht="15.75" hidden="false" customHeight="false" outlineLevel="0" collapsed="false">
      <c r="A11" s="0" t="n">
        <v>12</v>
      </c>
      <c r="B11" s="5" t="s">
        <v>12</v>
      </c>
      <c r="C11" s="6" t="s">
        <v>15</v>
      </c>
      <c r="D11" s="120" t="n">
        <v>81</v>
      </c>
      <c r="E11" s="6" t="s">
        <v>11</v>
      </c>
      <c r="F11" s="8" t="s">
        <v>13</v>
      </c>
      <c r="H11" s="124" t="s">
        <v>84</v>
      </c>
      <c r="I11" s="122" t="s">
        <v>82</v>
      </c>
    </row>
    <row r="12" customFormat="false" ht="15.75" hidden="false" customHeight="true" outlineLevel="0" collapsed="false">
      <c r="A12" s="0" t="n">
        <v>2</v>
      </c>
      <c r="B12" s="5" t="s">
        <v>6</v>
      </c>
      <c r="C12" s="6" t="s">
        <v>7</v>
      </c>
      <c r="D12" s="120" t="n">
        <v>89</v>
      </c>
      <c r="E12" s="6" t="s">
        <v>11</v>
      </c>
      <c r="F12" s="7" t="s">
        <v>10</v>
      </c>
      <c r="H12" s="124" t="s">
        <v>84</v>
      </c>
      <c r="I12" s="125" t="s">
        <v>84</v>
      </c>
      <c r="K12" s="123" t="s">
        <v>91</v>
      </c>
      <c r="L12" s="123"/>
      <c r="M12" s="123"/>
      <c r="N12" s="123"/>
      <c r="O12" s="123"/>
      <c r="P12" s="123"/>
      <c r="Q12" s="123"/>
      <c r="R12" s="123"/>
      <c r="S12" s="15" t="s">
        <v>28</v>
      </c>
    </row>
    <row r="13" customFormat="false" ht="15" hidden="false" customHeight="false" outlineLevel="0" collapsed="false">
      <c r="A13" s="0" t="n">
        <v>14</v>
      </c>
      <c r="B13" s="5" t="s">
        <v>14</v>
      </c>
      <c r="C13" s="6" t="s">
        <v>15</v>
      </c>
      <c r="D13" s="120" t="n">
        <v>90</v>
      </c>
      <c r="E13" s="6" t="s">
        <v>11</v>
      </c>
      <c r="F13" s="7" t="s">
        <v>10</v>
      </c>
      <c r="H13" s="124" t="s">
        <v>84</v>
      </c>
      <c r="I13" s="125" t="s">
        <v>84</v>
      </c>
      <c r="K13" s="26" t="s">
        <v>85</v>
      </c>
      <c r="L13" s="27"/>
      <c r="M13" s="28" t="s">
        <v>86</v>
      </c>
      <c r="N13" s="29"/>
      <c r="O13" s="30" t="s">
        <v>87</v>
      </c>
      <c r="P13" s="29"/>
      <c r="Q13" s="31"/>
      <c r="R13" s="32"/>
      <c r="S13" s="33"/>
    </row>
    <row r="14" customFormat="false" ht="15.75" hidden="false" customHeight="false" outlineLevel="0" collapsed="false">
      <c r="A14" s="0" t="n">
        <v>1</v>
      </c>
      <c r="B14" s="5" t="s">
        <v>6</v>
      </c>
      <c r="C14" s="6" t="s">
        <v>7</v>
      </c>
      <c r="D14" s="120" t="n">
        <v>90</v>
      </c>
      <c r="E14" s="6" t="s">
        <v>9</v>
      </c>
      <c r="F14" s="7" t="s">
        <v>10</v>
      </c>
      <c r="H14" s="124" t="s">
        <v>84</v>
      </c>
      <c r="I14" s="125" t="s">
        <v>84</v>
      </c>
      <c r="K14" s="38" t="s">
        <v>88</v>
      </c>
      <c r="L14" s="42"/>
      <c r="M14" s="39" t="s">
        <v>89</v>
      </c>
      <c r="N14" s="41"/>
      <c r="O14" s="40" t="s">
        <v>90</v>
      </c>
      <c r="P14" s="41"/>
      <c r="Q14" s="86"/>
      <c r="R14" s="32"/>
      <c r="S14" s="33"/>
    </row>
    <row r="15" customFormat="false" ht="15" hidden="false" customHeight="false" outlineLevel="0" collapsed="false">
      <c r="A15" s="0" t="n">
        <v>8</v>
      </c>
      <c r="B15" s="5" t="s">
        <v>6</v>
      </c>
      <c r="C15" s="6" t="s">
        <v>15</v>
      </c>
      <c r="D15" s="120" t="n">
        <v>90</v>
      </c>
      <c r="E15" s="6" t="s">
        <v>9</v>
      </c>
      <c r="F15" s="7" t="s">
        <v>10</v>
      </c>
      <c r="H15" s="124" t="s">
        <v>84</v>
      </c>
      <c r="I15" s="125" t="s">
        <v>84</v>
      </c>
    </row>
    <row r="16" customFormat="false" ht="15.75" hidden="false" customHeight="false" outlineLevel="0" collapsed="false">
      <c r="A16" s="0" t="n">
        <v>4</v>
      </c>
      <c r="B16" s="9" t="s">
        <v>14</v>
      </c>
      <c r="C16" s="10" t="s">
        <v>15</v>
      </c>
      <c r="D16" s="126" t="n">
        <v>92</v>
      </c>
      <c r="E16" s="10" t="s">
        <v>9</v>
      </c>
      <c r="F16" s="51" t="s">
        <v>13</v>
      </c>
      <c r="H16" s="127" t="s">
        <v>84</v>
      </c>
      <c r="I16" s="128" t="s">
        <v>84</v>
      </c>
    </row>
    <row r="17" customFormat="false" ht="15.75" hidden="false" customHeight="false" outlineLevel="0" collapsed="false">
      <c r="A17" s="13" t="n">
        <f aca="false">MAX(A3:A16)</f>
        <v>14</v>
      </c>
    </row>
    <row r="20" customFormat="false" ht="3.95" hidden="false" customHeight="true" outlineLevel="0" collapsed="false"/>
    <row r="25" customFormat="false" ht="2.45" hidden="false" customHeight="true" outlineLevel="0" collapsed="false"/>
    <row r="26" customFormat="false" ht="15" hidden="false" customHeight="true" outlineLevel="0" collapsed="false"/>
    <row r="30" customFormat="false" ht="2.45" hidden="false" customHeight="true" outlineLevel="0" collapsed="false"/>
    <row r="34" customFormat="false" ht="2.45" hidden="false" customHeight="true" outlineLevel="0" collapsed="false"/>
  </sheetData>
  <mergeCells count="8">
    <mergeCell ref="K4:N4"/>
    <mergeCell ref="O5:O6"/>
    <mergeCell ref="K8:R8"/>
    <mergeCell ref="R9:R10"/>
    <mergeCell ref="S9:S10"/>
    <mergeCell ref="K12:R12"/>
    <mergeCell ref="R13:R14"/>
    <mergeCell ref="S13:S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2016-07-01T00:08:51Z</dcterms:created>
  <dc:creator>Javier Diaz</dc:creator>
  <dc:description/>
  <dc:language>es-CO</dc:language>
  <cp:lastModifiedBy/>
  <dcterms:modified xsi:type="dcterms:W3CDTF">2018-09-25T15:27:47Z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