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WURNET.NL\Homes\musca002\My Documents\MAGIC\WP4 Case study\France\"/>
    </mc:Choice>
  </mc:AlternateContent>
  <bookViews>
    <workbookView xWindow="0" yWindow="0" windowWidth="21570" windowHeight="6855" activeTab="6"/>
  </bookViews>
  <sheets>
    <sheet name="Data herd" sheetId="1" r:id="rId1"/>
    <sheet name="Input" sheetId="2" r:id="rId2"/>
    <sheet name="Output" sheetId="3" r:id="rId3"/>
    <sheet name="Import &amp; Export" sheetId="4" r:id="rId4"/>
    <sheet name="Variables calculations" sheetId="5" r:id="rId5"/>
    <sheet name="SEM per week" sheetId="6" r:id="rId6"/>
    <sheet name="SEM per year (Potential)" sheetId="7" r:id="rId7"/>
    <sheet name="SEM Total" sheetId="8" r:id="rId8"/>
    <sheet name="Database Box 1 Adult Cattle" sheetId="15" r:id="rId9"/>
    <sheet name="Database box 2 Calves" sheetId="12" r:id="rId10"/>
    <sheet name="Database box 3 Young Cattle" sheetId="13" r:id="rId11"/>
    <sheet name="Database Country Level" sheetId="17" r:id="rId12"/>
    <sheet name="Database" sheetId="18" r:id="rId13"/>
    <sheet name="Data feed processing" sheetId="14" r:id="rId14"/>
  </sheets>
  <externalReferences>
    <externalReference r:id="rId1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3" l="1"/>
  <c r="M23" i="3"/>
  <c r="M13" i="3"/>
  <c r="L32" i="3"/>
  <c r="L23" i="3"/>
  <c r="E15" i="3"/>
  <c r="N156" i="2"/>
  <c r="N155" i="2"/>
  <c r="N152" i="2"/>
  <c r="N153" i="2" s="1"/>
  <c r="N148" i="2"/>
  <c r="N147" i="2"/>
  <c r="N149" i="2" s="1"/>
  <c r="N150" i="2" s="1"/>
  <c r="N168" i="2"/>
  <c r="N172" i="2" s="1"/>
  <c r="N169" i="2"/>
  <c r="N170" i="2"/>
  <c r="N167" i="2"/>
  <c r="N165" i="2"/>
  <c r="N173" i="2"/>
  <c r="N171" i="2"/>
  <c r="N174" i="2"/>
  <c r="N157" i="2"/>
  <c r="N158" i="2" s="1"/>
  <c r="L24" i="3" l="1"/>
  <c r="M27" i="3" s="1"/>
  <c r="L33" i="3"/>
  <c r="M35" i="3" s="1"/>
  <c r="L14" i="3"/>
  <c r="M17" i="3" s="1"/>
  <c r="M26" i="3"/>
  <c r="M28" i="3" s="1"/>
  <c r="M29" i="3" s="1"/>
  <c r="M16" i="3" l="1"/>
  <c r="M18" i="3" s="1"/>
  <c r="M19" i="3" s="1"/>
  <c r="M36" i="3"/>
  <c r="M37" i="3"/>
  <c r="M38" i="3" s="1"/>
  <c r="M14" i="4" l="1"/>
  <c r="M13" i="4"/>
  <c r="M12" i="4" s="1"/>
  <c r="M17" i="4" s="1"/>
  <c r="M4" i="4"/>
  <c r="M3" i="4"/>
  <c r="M2" i="4"/>
  <c r="M7" i="4" s="1"/>
  <c r="M3" i="3"/>
  <c r="M4" i="3"/>
  <c r="M9" i="3" s="1"/>
  <c r="M5" i="3"/>
  <c r="M2" i="3"/>
  <c r="M8" i="3"/>
  <c r="M7" i="3"/>
  <c r="N50" i="2"/>
  <c r="N43" i="2"/>
  <c r="N37" i="2"/>
  <c r="E35" i="2"/>
  <c r="N33" i="2" s="1"/>
  <c r="N39" i="2"/>
  <c r="N24" i="2"/>
  <c r="N16" i="2"/>
  <c r="N7" i="2"/>
  <c r="N9" i="2"/>
  <c r="N45" i="2" l="1"/>
  <c r="N46" i="2" s="1"/>
  <c r="N47" i="2" s="1"/>
  <c r="N52" i="2"/>
  <c r="N53" i="2" s="1"/>
  <c r="N54" i="2" s="1"/>
  <c r="N40" i="2"/>
  <c r="N41" i="2" s="1"/>
  <c r="N18" i="2"/>
  <c r="N26" i="2"/>
  <c r="E18" i="1" l="1"/>
  <c r="E19" i="1" s="1"/>
  <c r="E17" i="1"/>
  <c r="C147" i="5" l="1"/>
  <c r="C146" i="5"/>
  <c r="C145" i="5"/>
  <c r="C140" i="5"/>
  <c r="C139" i="5"/>
  <c r="C138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C123" i="5"/>
  <c r="E122" i="5"/>
  <c r="E121" i="5"/>
  <c r="C121" i="5"/>
  <c r="E120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C89" i="5"/>
  <c r="E88" i="5"/>
  <c r="E87" i="5"/>
  <c r="C87" i="5"/>
  <c r="E86" i="5"/>
  <c r="C79" i="5"/>
  <c r="C78" i="5"/>
  <c r="C77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C62" i="5"/>
  <c r="E61" i="5"/>
  <c r="E60" i="5"/>
  <c r="C60" i="5"/>
  <c r="E59" i="5"/>
  <c r="C53" i="5"/>
  <c r="C52" i="5"/>
  <c r="C51" i="5"/>
  <c r="C47" i="5"/>
  <c r="C46" i="5"/>
  <c r="C45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C30" i="5"/>
  <c r="E29" i="5"/>
  <c r="E28" i="5"/>
  <c r="C28" i="5"/>
  <c r="E27" i="5"/>
  <c r="M27" i="1"/>
  <c r="M46" i="1"/>
  <c r="E77" i="1"/>
  <c r="E78" i="1"/>
  <c r="E76" i="1"/>
  <c r="E74" i="1"/>
  <c r="E73" i="1"/>
  <c r="E72" i="1"/>
  <c r="E66" i="1"/>
  <c r="E63" i="1"/>
  <c r="E62" i="1"/>
  <c r="C148" i="5" l="1"/>
  <c r="C141" i="5"/>
  <c r="C80" i="5"/>
  <c r="C48" i="5"/>
  <c r="C54" i="5"/>
  <c r="M42" i="1" l="1"/>
  <c r="M36" i="1"/>
  <c r="M23" i="1"/>
  <c r="M13" i="1"/>
  <c r="M12" i="1"/>
  <c r="M14" i="1" s="1"/>
  <c r="M45" i="1"/>
  <c r="E61" i="1"/>
  <c r="E59" i="1"/>
  <c r="E52" i="1"/>
  <c r="E51" i="1"/>
  <c r="E50" i="1"/>
  <c r="E49" i="1"/>
  <c r="E48" i="1"/>
  <c r="E55" i="1" s="1"/>
  <c r="E47" i="1"/>
  <c r="D18" i="5"/>
  <c r="E35" i="1"/>
  <c r="M29" i="1"/>
  <c r="M43" i="1"/>
  <c r="E22" i="1"/>
  <c r="M30" i="1"/>
  <c r="E6" i="1"/>
  <c r="E5" i="1"/>
  <c r="M47" i="1"/>
  <c r="M38" i="1"/>
  <c r="M40" i="1" s="1"/>
  <c r="M25" i="1"/>
  <c r="E69" i="1" l="1"/>
  <c r="E81" i="1"/>
  <c r="B24" i="5" s="1"/>
  <c r="E57" i="1"/>
  <c r="E84" i="1" s="1"/>
  <c r="E58" i="1"/>
  <c r="E85" i="1" s="1"/>
  <c r="B117" i="5" s="1"/>
  <c r="E82" i="1"/>
  <c r="B25" i="5" s="1"/>
  <c r="E54" i="1"/>
  <c r="E56" i="1"/>
  <c r="E83" i="1" s="1"/>
  <c r="B57" i="5" s="1"/>
  <c r="M17" i="1"/>
  <c r="M2" i="1"/>
  <c r="E7" i="1"/>
  <c r="E7" i="2"/>
  <c r="E8" i="2" s="1"/>
  <c r="N3" i="2" s="1"/>
  <c r="N4" i="2" l="1"/>
  <c r="N11" i="2"/>
  <c r="N12" i="2" s="1"/>
  <c r="N28" i="2"/>
  <c r="N29" i="2" s="1"/>
  <c r="N20" i="2"/>
  <c r="N21" i="2" s="1"/>
  <c r="F120" i="5"/>
  <c r="G120" i="5" s="1"/>
  <c r="F128" i="5"/>
  <c r="G128" i="5" s="1"/>
  <c r="F125" i="5"/>
  <c r="G125" i="5" s="1"/>
  <c r="F129" i="5"/>
  <c r="G129" i="5" s="1"/>
  <c r="F133" i="5"/>
  <c r="G133" i="5" s="1"/>
  <c r="F121" i="5"/>
  <c r="G121" i="5" s="1"/>
  <c r="F123" i="5"/>
  <c r="G123" i="5" s="1"/>
  <c r="F132" i="5"/>
  <c r="G132" i="5" s="1"/>
  <c r="F122" i="5"/>
  <c r="G122" i="5" s="1"/>
  <c r="F126" i="5"/>
  <c r="G126" i="5" s="1"/>
  <c r="F130" i="5"/>
  <c r="G130" i="5" s="1"/>
  <c r="F127" i="5"/>
  <c r="G127" i="5" s="1"/>
  <c r="F131" i="5"/>
  <c r="G131" i="5" s="1"/>
  <c r="F135" i="5"/>
  <c r="G135" i="5" s="1"/>
  <c r="F124" i="5"/>
  <c r="G124" i="5" s="1"/>
  <c r="F134" i="5"/>
  <c r="G134" i="5" s="1"/>
  <c r="F61" i="5"/>
  <c r="G61" i="5" s="1"/>
  <c r="F65" i="5"/>
  <c r="G65" i="5" s="1"/>
  <c r="F69" i="5"/>
  <c r="G69" i="5" s="1"/>
  <c r="F73" i="5"/>
  <c r="G73" i="5" s="1"/>
  <c r="F60" i="5"/>
  <c r="G60" i="5" s="1"/>
  <c r="F64" i="5"/>
  <c r="G64" i="5" s="1"/>
  <c r="F62" i="5"/>
  <c r="G62" i="5" s="1"/>
  <c r="F66" i="5"/>
  <c r="G66" i="5" s="1"/>
  <c r="D78" i="5" s="1"/>
  <c r="N75" i="2" s="1"/>
  <c r="N87" i="2" s="1"/>
  <c r="F70" i="5"/>
  <c r="G70" i="5" s="1"/>
  <c r="F74" i="5"/>
  <c r="G74" i="5" s="1"/>
  <c r="F68" i="5"/>
  <c r="G68" i="5" s="1"/>
  <c r="F63" i="5"/>
  <c r="G63" i="5" s="1"/>
  <c r="F67" i="5"/>
  <c r="G67" i="5" s="1"/>
  <c r="F71" i="5"/>
  <c r="G71" i="5" s="1"/>
  <c r="F59" i="5"/>
  <c r="G59" i="5" s="1"/>
  <c r="F72" i="5"/>
  <c r="G72" i="5" s="1"/>
  <c r="B83" i="5"/>
  <c r="B84" i="5"/>
  <c r="H29" i="5"/>
  <c r="I29" i="5" s="1"/>
  <c r="H33" i="5"/>
  <c r="I33" i="5" s="1"/>
  <c r="H37" i="5"/>
  <c r="I37" i="5" s="1"/>
  <c r="H41" i="5"/>
  <c r="I41" i="5" s="1"/>
  <c r="H38" i="5"/>
  <c r="I38" i="5" s="1"/>
  <c r="H28" i="5"/>
  <c r="I28" i="5" s="1"/>
  <c r="H36" i="5"/>
  <c r="I36" i="5" s="1"/>
  <c r="H30" i="5"/>
  <c r="I30" i="5" s="1"/>
  <c r="H34" i="5"/>
  <c r="I34" i="5" s="1"/>
  <c r="H42" i="5"/>
  <c r="I42" i="5" s="1"/>
  <c r="H32" i="5"/>
  <c r="I32" i="5" s="1"/>
  <c r="H31" i="5"/>
  <c r="I31" i="5" s="1"/>
  <c r="H35" i="5"/>
  <c r="I35" i="5" s="1"/>
  <c r="H39" i="5"/>
  <c r="I39" i="5" s="1"/>
  <c r="H27" i="5"/>
  <c r="I27" i="5" s="1"/>
  <c r="H40" i="5"/>
  <c r="I40" i="5" s="1"/>
  <c r="E86" i="1"/>
  <c r="B118" i="5" s="1"/>
  <c r="F29" i="5"/>
  <c r="G29" i="5" s="1"/>
  <c r="F33" i="5"/>
  <c r="G33" i="5" s="1"/>
  <c r="F37" i="5"/>
  <c r="G37" i="5" s="1"/>
  <c r="F41" i="5"/>
  <c r="G41" i="5" s="1"/>
  <c r="F30" i="5"/>
  <c r="G30" i="5" s="1"/>
  <c r="F38" i="5"/>
  <c r="G38" i="5" s="1"/>
  <c r="F42" i="5"/>
  <c r="G42" i="5" s="1"/>
  <c r="F39" i="5"/>
  <c r="G39" i="5" s="1"/>
  <c r="F32" i="5"/>
  <c r="G32" i="5" s="1"/>
  <c r="F34" i="5"/>
  <c r="G34" i="5" s="1"/>
  <c r="F35" i="5"/>
  <c r="G35" i="5" s="1"/>
  <c r="F28" i="5"/>
  <c r="G28" i="5" s="1"/>
  <c r="F40" i="5"/>
  <c r="G40" i="5" s="1"/>
  <c r="F31" i="5"/>
  <c r="G31" i="5" s="1"/>
  <c r="F27" i="5"/>
  <c r="G27" i="5" s="1"/>
  <c r="F36" i="5"/>
  <c r="G36" i="5" s="1"/>
  <c r="D47" i="5" s="1"/>
  <c r="N68" i="2" s="1"/>
  <c r="N80" i="2" s="1"/>
  <c r="E5" i="3"/>
  <c r="D140" i="5" l="1"/>
  <c r="N122" i="2" s="1"/>
  <c r="N130" i="2" s="1"/>
  <c r="H125" i="5"/>
  <c r="I125" i="5" s="1"/>
  <c r="H129" i="5"/>
  <c r="I129" i="5" s="1"/>
  <c r="H133" i="5"/>
  <c r="I133" i="5" s="1"/>
  <c r="H121" i="5"/>
  <c r="I121" i="5" s="1"/>
  <c r="H123" i="5"/>
  <c r="I123" i="5" s="1"/>
  <c r="H132" i="5"/>
  <c r="I132" i="5" s="1"/>
  <c r="H134" i="5"/>
  <c r="I134" i="5" s="1"/>
  <c r="H126" i="5"/>
  <c r="I126" i="5" s="1"/>
  <c r="H130" i="5"/>
  <c r="I130" i="5" s="1"/>
  <c r="D147" i="5" s="1"/>
  <c r="N126" i="2" s="1"/>
  <c r="N134" i="2" s="1"/>
  <c r="H127" i="5"/>
  <c r="I127" i="5" s="1"/>
  <c r="H131" i="5"/>
  <c r="I131" i="5" s="1"/>
  <c r="H135" i="5"/>
  <c r="I135" i="5" s="1"/>
  <c r="H124" i="5"/>
  <c r="I124" i="5" s="1"/>
  <c r="H122" i="5"/>
  <c r="I122" i="5" s="1"/>
  <c r="H120" i="5"/>
  <c r="I120" i="5" s="1"/>
  <c r="H128" i="5"/>
  <c r="I128" i="5" s="1"/>
  <c r="D52" i="5"/>
  <c r="N71" i="2" s="1"/>
  <c r="N83" i="2" s="1"/>
  <c r="D79" i="5"/>
  <c r="N76" i="2" s="1"/>
  <c r="N88" i="2" s="1"/>
  <c r="D45" i="5"/>
  <c r="D139" i="5"/>
  <c r="N121" i="2" s="1"/>
  <c r="N129" i="2" s="1"/>
  <c r="D46" i="5"/>
  <c r="N67" i="2" s="1"/>
  <c r="N79" i="2" s="1"/>
  <c r="D51" i="5"/>
  <c r="D53" i="5"/>
  <c r="N72" i="2" s="1"/>
  <c r="N84" i="2" s="1"/>
  <c r="F87" i="5"/>
  <c r="G87" i="5" s="1"/>
  <c r="F91" i="5"/>
  <c r="G91" i="5" s="1"/>
  <c r="F95" i="5"/>
  <c r="G95" i="5" s="1"/>
  <c r="F99" i="5"/>
  <c r="G99" i="5" s="1"/>
  <c r="F90" i="5"/>
  <c r="G90" i="5" s="1"/>
  <c r="F88" i="5"/>
  <c r="G88" i="5" s="1"/>
  <c r="F92" i="5"/>
  <c r="G92" i="5" s="1"/>
  <c r="F96" i="5"/>
  <c r="G96" i="5" s="1"/>
  <c r="F100" i="5"/>
  <c r="G100" i="5" s="1"/>
  <c r="F98" i="5"/>
  <c r="G98" i="5" s="1"/>
  <c r="F101" i="5"/>
  <c r="G101" i="5" s="1"/>
  <c r="F89" i="5"/>
  <c r="G89" i="5" s="1"/>
  <c r="F93" i="5"/>
  <c r="G93" i="5" s="1"/>
  <c r="D107" i="5" s="1"/>
  <c r="N101" i="2" s="1"/>
  <c r="F97" i="5"/>
  <c r="G97" i="5" s="1"/>
  <c r="F86" i="5"/>
  <c r="G86" i="5" s="1"/>
  <c r="F94" i="5"/>
  <c r="G94" i="5" s="1"/>
  <c r="D103" i="5"/>
  <c r="E103" i="5" s="1"/>
  <c r="F103" i="5" s="1"/>
  <c r="G103" i="5" s="1"/>
  <c r="D109" i="5" s="1"/>
  <c r="N103" i="2" s="1"/>
  <c r="N109" i="2" s="1"/>
  <c r="N115" i="2" s="1"/>
  <c r="D77" i="5"/>
  <c r="D138" i="5"/>
  <c r="N92" i="2" l="1"/>
  <c r="N97" i="2" s="1"/>
  <c r="D80" i="5"/>
  <c r="N74" i="2"/>
  <c r="N86" i="2" s="1"/>
  <c r="N91" i="2"/>
  <c r="N96" i="2" s="1"/>
  <c r="D146" i="5"/>
  <c r="N125" i="2" s="1"/>
  <c r="N133" i="2" s="1"/>
  <c r="N137" i="2" s="1"/>
  <c r="N142" i="2" s="1"/>
  <c r="N107" i="2"/>
  <c r="N113" i="2" s="1"/>
  <c r="N120" i="2"/>
  <c r="N128" i="2" s="1"/>
  <c r="D141" i="5"/>
  <c r="D106" i="5"/>
  <c r="D108" i="5"/>
  <c r="N102" i="2" s="1"/>
  <c r="N108" i="2" s="1"/>
  <c r="N114" i="2" s="1"/>
  <c r="N70" i="2"/>
  <c r="N82" i="2" s="1"/>
  <c r="D54" i="5"/>
  <c r="N66" i="2"/>
  <c r="N78" i="2" s="1"/>
  <c r="D48" i="5"/>
  <c r="D145" i="5"/>
  <c r="N138" i="2"/>
  <c r="N143" i="2" s="1"/>
  <c r="N124" i="2" l="1"/>
  <c r="N132" i="2" s="1"/>
  <c r="N136" i="2" s="1"/>
  <c r="D148" i="5"/>
  <c r="N100" i="2"/>
  <c r="N106" i="2" s="1"/>
  <c r="N112" i="2" s="1"/>
  <c r="D110" i="5"/>
  <c r="N104" i="2" s="1"/>
  <c r="N110" i="2" s="1"/>
  <c r="N116" i="2" s="1"/>
  <c r="N90" i="2"/>
  <c r="N139" i="2" l="1"/>
  <c r="N144" i="2" s="1"/>
  <c r="N141" i="2"/>
  <c r="N95" i="2"/>
  <c r="N93" i="2"/>
  <c r="N98" i="2" s="1"/>
</calcChain>
</file>

<file path=xl/sharedStrings.xml><?xml version="1.0" encoding="utf-8"?>
<sst xmlns="http://schemas.openxmlformats.org/spreadsheetml/2006/main" count="966" uniqueCount="289">
  <si>
    <t>Beef farms</t>
  </si>
  <si>
    <t>Herd Composition</t>
  </si>
  <si>
    <t>Adult Cattle</t>
  </si>
  <si>
    <t>Calves</t>
  </si>
  <si>
    <t>Young Cattle</t>
  </si>
  <si>
    <t>Feed/Energy requirements</t>
  </si>
  <si>
    <t>Labour Use</t>
  </si>
  <si>
    <t>Year</t>
  </si>
  <si>
    <t>Unit</t>
  </si>
  <si>
    <t>Value</t>
  </si>
  <si>
    <t>ID Number</t>
  </si>
  <si>
    <t>Source</t>
  </si>
  <si>
    <t>Notes</t>
  </si>
  <si>
    <t>Total Agricultural Labour</t>
  </si>
  <si>
    <t>Eurostat</t>
  </si>
  <si>
    <t xml:space="preserve"> Work Units/year</t>
  </si>
  <si>
    <t>Exports</t>
  </si>
  <si>
    <t>Imports</t>
  </si>
  <si>
    <t>Animal Heads/year</t>
  </si>
  <si>
    <t>Total Meat Cattle</t>
  </si>
  <si>
    <t>Young Cattle and Calves</t>
  </si>
  <si>
    <t>Live Animals</t>
  </si>
  <si>
    <t>Animal Heads/Year</t>
  </si>
  <si>
    <t>Meat Production</t>
  </si>
  <si>
    <t>Cattle Slaughter</t>
  </si>
  <si>
    <t>Total</t>
  </si>
  <si>
    <t>tonnes/year</t>
  </si>
  <si>
    <t>Beef Labour</t>
  </si>
  <si>
    <t>Breeders</t>
  </si>
  <si>
    <t>FADN Beef Data</t>
  </si>
  <si>
    <t>Breeders-Fatteners</t>
  </si>
  <si>
    <t>Fatteners</t>
  </si>
  <si>
    <t>Own Calculation</t>
  </si>
  <si>
    <t>Own Calculation Annual working units X 1800 hours which is 8 hrs a day for 225 days</t>
  </si>
  <si>
    <t>Annual Working Units/farm</t>
  </si>
  <si>
    <t>Hours/year/farm</t>
  </si>
  <si>
    <t xml:space="preserve">Land Use </t>
  </si>
  <si>
    <t>Avg. UAA</t>
  </si>
  <si>
    <t>ha/farm</t>
  </si>
  <si>
    <t>FADN Beef data</t>
  </si>
  <si>
    <t xml:space="preserve">Breeders-Fatteners </t>
  </si>
  <si>
    <t>Forage crops</t>
  </si>
  <si>
    <t>heads/year</t>
  </si>
  <si>
    <t>Cattle Dairying Rearing Fattening</t>
  </si>
  <si>
    <t>Specialist Cattle-Rearing-Fattening</t>
  </si>
  <si>
    <t>Farms/country</t>
  </si>
  <si>
    <t>EUROSTAT</t>
  </si>
  <si>
    <t>Adult Reproductive females</t>
  </si>
  <si>
    <t xml:space="preserve"> Heads/year</t>
  </si>
  <si>
    <t>H.3</t>
  </si>
  <si>
    <t>GLEAM</t>
  </si>
  <si>
    <t xml:space="preserve">Adult Reproductive males </t>
  </si>
  <si>
    <t>Heads/year</t>
  </si>
  <si>
    <t>H.4</t>
  </si>
  <si>
    <t>H.5</t>
  </si>
  <si>
    <t>Weight of Adult female</t>
  </si>
  <si>
    <t>kg/head</t>
  </si>
  <si>
    <t>H.6</t>
  </si>
  <si>
    <t>Weight of Adult male</t>
  </si>
  <si>
    <t>H.7</t>
  </si>
  <si>
    <t>Mortality of Adult Animals</t>
  </si>
  <si>
    <t>%</t>
  </si>
  <si>
    <t>H.8</t>
  </si>
  <si>
    <t>Age at First Calving</t>
  </si>
  <si>
    <t>months</t>
  </si>
  <si>
    <t>H.9</t>
  </si>
  <si>
    <t>Adult Females Replacement</t>
  </si>
  <si>
    <t>H.10</t>
  </si>
  <si>
    <t>Fertility of adult females</t>
  </si>
  <si>
    <t>H.11</t>
  </si>
  <si>
    <t>Percentage of population lactating</t>
  </si>
  <si>
    <t>Assumption</t>
  </si>
  <si>
    <t>Females Lactating</t>
  </si>
  <si>
    <t>Females not-lactating</t>
  </si>
  <si>
    <t>Start Weight Calves (1 days)</t>
  </si>
  <si>
    <t>Goonawardene 1986</t>
  </si>
  <si>
    <t>End Weight Calves (365 days)</t>
  </si>
  <si>
    <t xml:space="preserve">Mid-Point Calves  (180 days) </t>
  </si>
  <si>
    <t>Mortality of young females</t>
  </si>
  <si>
    <t>Mortality of young males</t>
  </si>
  <si>
    <t>Start Weight Young Cattle (365 days)</t>
  </si>
  <si>
    <t>End Weight Young Cattle (730 days)</t>
  </si>
  <si>
    <t>Mid Point Young Cattle (548 days)</t>
  </si>
  <si>
    <t xml:space="preserve">Mortality of young males </t>
  </si>
  <si>
    <t>Net Energy Maintenance Adult Cattle Female Lactating Cows</t>
  </si>
  <si>
    <t>.</t>
  </si>
  <si>
    <t>MJ/day/head</t>
  </si>
  <si>
    <t>IPCC caclulation</t>
  </si>
  <si>
    <t>Net Energy Maintenance Adult Cattle Female Non-Lactating Cows</t>
  </si>
  <si>
    <t>Net Energy Maintenance Adult Cattle Male</t>
  </si>
  <si>
    <t>Net Energy Maintenance Calves</t>
  </si>
  <si>
    <t>Net Energy Maintenance Young Cattle female</t>
  </si>
  <si>
    <t>Net Energy Maintenance Young Cattle Male</t>
  </si>
  <si>
    <t>Net Energy for Activity Adult Cattle Female lactating</t>
  </si>
  <si>
    <t>Net Energy for Activity Adult Cattle Female Non-Lactating</t>
  </si>
  <si>
    <t>Net Energy Activity Adult Cattle Male</t>
  </si>
  <si>
    <t>Net Energy Activity Calves</t>
  </si>
  <si>
    <t>Net Energy Activity Young Cattle female</t>
  </si>
  <si>
    <t>Net Energy Young Cattle Male</t>
  </si>
  <si>
    <t>Net Energy for Growth  Calves</t>
  </si>
  <si>
    <t>Net Energy for Growth Young Cattle Female</t>
  </si>
  <si>
    <t>Net Energy for Growth Young Cattle male</t>
  </si>
  <si>
    <t>Net Energy for Lactation Adult Cattle Female</t>
  </si>
  <si>
    <t>Net Energy for pregnancy Adult Cattle female</t>
  </si>
  <si>
    <t>REM Adult Cattle</t>
  </si>
  <si>
    <t>REM Calves</t>
  </si>
  <si>
    <t>REM Young Cattle</t>
  </si>
  <si>
    <t>REG Adult Cattle</t>
  </si>
  <si>
    <t>REG Calves</t>
  </si>
  <si>
    <t>REG Young Cattle</t>
  </si>
  <si>
    <t>Gross Energy Requirements Adult Cattle  Female Lactating</t>
  </si>
  <si>
    <t>Gross Energy Requiremements Adult Cattle Female Non-lactating</t>
  </si>
  <si>
    <t xml:space="preserve">Gross Energy Requirements Adult Cattle Male </t>
  </si>
  <si>
    <t>Gross Energy Requirements Calves</t>
  </si>
  <si>
    <t>Gross Energy Requirements Young Cattle female</t>
  </si>
  <si>
    <t>Gross Energy Requirements Young Cattle male</t>
  </si>
  <si>
    <t>Calculations</t>
  </si>
  <si>
    <t xml:space="preserve">Unit </t>
  </si>
  <si>
    <t>Formula</t>
  </si>
  <si>
    <t>Total Biomass</t>
  </si>
  <si>
    <t>Kg/year</t>
  </si>
  <si>
    <t>Biomass Male</t>
  </si>
  <si>
    <t>Biomass Female</t>
  </si>
  <si>
    <t xml:space="preserve"> Animal FUND</t>
  </si>
  <si>
    <t xml:space="preserve">Biomass total </t>
  </si>
  <si>
    <t>Tg/year</t>
  </si>
  <si>
    <t>Biomass Calves</t>
  </si>
  <si>
    <t>Animal FUND</t>
  </si>
  <si>
    <t>Biomass Total</t>
  </si>
  <si>
    <t>Gg/year</t>
  </si>
  <si>
    <t>Daily Weight Gain Calf</t>
  </si>
  <si>
    <t>kg/day/head</t>
  </si>
  <si>
    <t>Mortality of Calves</t>
  </si>
  <si>
    <t>Biomass Young Cattle</t>
  </si>
  <si>
    <t>Biomass total</t>
  </si>
  <si>
    <t>kg/year</t>
  </si>
  <si>
    <t>Daily weight gain Young Cattle</t>
  </si>
  <si>
    <t>Mortality of Young Cattle</t>
  </si>
  <si>
    <t>Replacement Females</t>
  </si>
  <si>
    <t>Energy Requirements</t>
  </si>
  <si>
    <t>Coefficients Net Energy Maintenance</t>
  </si>
  <si>
    <t>Non-Lactating Cows</t>
  </si>
  <si>
    <t>MJ/day/kg</t>
  </si>
  <si>
    <t>IPCC</t>
  </si>
  <si>
    <t>Lactating Cows</t>
  </si>
  <si>
    <t>Bulls</t>
  </si>
  <si>
    <t>Coefficients Net Energy for Activity</t>
  </si>
  <si>
    <t>Housing conditions: Pasture</t>
  </si>
  <si>
    <t>Coefficients Net Energy for Growth</t>
  </si>
  <si>
    <t>females</t>
  </si>
  <si>
    <t>bulls</t>
  </si>
  <si>
    <t>Parameters for REG &amp; REM</t>
  </si>
  <si>
    <t xml:space="preserve">DE% Adult Cattle </t>
  </si>
  <si>
    <t>DE% Calves</t>
  </si>
  <si>
    <t>DE% Young Cattle</t>
  </si>
  <si>
    <t>Parameters for NE lactation</t>
  </si>
  <si>
    <t>Milk Fat content</t>
  </si>
  <si>
    <t>Milk produced</t>
  </si>
  <si>
    <t>kg/milk/day</t>
  </si>
  <si>
    <t xml:space="preserve">Coefficients Pregnancy </t>
  </si>
  <si>
    <t>Cattle and Buffalo</t>
  </si>
  <si>
    <t>constant</t>
  </si>
  <si>
    <t>Energy in Feed crops</t>
  </si>
  <si>
    <t>GE Females Lactating</t>
  </si>
  <si>
    <t>GE Females Non-Lactating</t>
  </si>
  <si>
    <t>Adult Females</t>
  </si>
  <si>
    <t>MJ/kg (Source: INRA Feed tables)</t>
  </si>
  <si>
    <t>DMI % (Gleam)</t>
  </si>
  <si>
    <t>Ratio DMI (Calculated)</t>
  </si>
  <si>
    <t xml:space="preserve"> Kg DMI/head Lactating (Calculated)</t>
  </si>
  <si>
    <t>Kg DMI/Head Non-Lactating (Calculated)</t>
  </si>
  <si>
    <t xml:space="preserve">Fresh grass </t>
  </si>
  <si>
    <t>Hay or silage from grass  (avg of maize silage and fresh grass)</t>
  </si>
  <si>
    <t>Fresh mixture of grass and legumes (avg of grass and white clover)</t>
  </si>
  <si>
    <t>Hay or silage from grass and legumes (avg of maie silage and fresh grass/legume mx)</t>
  </si>
  <si>
    <t xml:space="preserve">Silage from whole maize plant </t>
  </si>
  <si>
    <t>Crop residues from wheat (assumed wheat bran)</t>
  </si>
  <si>
    <t>Fodder Beet</t>
  </si>
  <si>
    <t xml:space="preserve">Maize </t>
  </si>
  <si>
    <t>Grains (Assumed Barley)</t>
  </si>
  <si>
    <t xml:space="preserve">By-products from soy </t>
  </si>
  <si>
    <t xml:space="preserve">By-products from rape (canola) </t>
  </si>
  <si>
    <t xml:space="preserve">By-products from sugar beet </t>
  </si>
  <si>
    <t>Oil palm kernel expeller (assumed palm kernel meal)</t>
  </si>
  <si>
    <t>Molasses (assumed beet)</t>
  </si>
  <si>
    <t xml:space="preserve">Maize gluten feed </t>
  </si>
  <si>
    <t>Dry by-product from grain industries  (assumed avg. for wheat middlings)</t>
  </si>
  <si>
    <t>Adult Female Lactating</t>
  </si>
  <si>
    <t>%DMI</t>
  </si>
  <si>
    <t>kg DMI</t>
  </si>
  <si>
    <t>Roughages</t>
  </si>
  <si>
    <t>Grains</t>
  </si>
  <si>
    <t>Agro-Industrial By-products</t>
  </si>
  <si>
    <t>Adult Female Non-Lactating</t>
  </si>
  <si>
    <t>Adult Males</t>
  </si>
  <si>
    <t>GE Males</t>
  </si>
  <si>
    <t>Ratio DMI</t>
  </si>
  <si>
    <t xml:space="preserve"> Kg DMI/head (Calculated)</t>
  </si>
  <si>
    <t xml:space="preserve">Hay or silage from grass </t>
  </si>
  <si>
    <t>Fresh mixture of grass and legumes</t>
  </si>
  <si>
    <t xml:space="preserve">Hay or silage from grass and legumes </t>
  </si>
  <si>
    <t>Crop residues from wheat</t>
  </si>
  <si>
    <t>Oil palm kernel expeller</t>
  </si>
  <si>
    <t>Molasses</t>
  </si>
  <si>
    <t xml:space="preserve">Dry by-product from grain industries </t>
  </si>
  <si>
    <t>Adult Male</t>
  </si>
  <si>
    <t>GE Calves minus milk</t>
  </si>
  <si>
    <t>GE Calves</t>
  </si>
  <si>
    <t>Milk powder whole</t>
  </si>
  <si>
    <t xml:space="preserve">Young Cattle </t>
  </si>
  <si>
    <t>GE Young Cattle Female</t>
  </si>
  <si>
    <t>GE Young Cattle Male</t>
  </si>
  <si>
    <t xml:space="preserve"> Kg DMI/head female (Calculated)</t>
  </si>
  <si>
    <t>Kg DMI/ head male</t>
  </si>
  <si>
    <t>Young Cattle Female</t>
  </si>
  <si>
    <t xml:space="preserve">Young Cattle Male </t>
  </si>
  <si>
    <t>Feed</t>
  </si>
  <si>
    <t>Caculations</t>
  </si>
  <si>
    <t>Name</t>
  </si>
  <si>
    <t>ID number</t>
  </si>
  <si>
    <t>kg DMI/head/day</t>
  </si>
  <si>
    <t>Feed Calculations</t>
  </si>
  <si>
    <t>Industrial by-products</t>
  </si>
  <si>
    <t>Industrial By-products</t>
  </si>
  <si>
    <t>Adult Cattle total</t>
  </si>
  <si>
    <t>total</t>
  </si>
  <si>
    <t>Milk powder</t>
  </si>
  <si>
    <t xml:space="preserve">Total </t>
  </si>
  <si>
    <t>Young Cattle Male</t>
  </si>
  <si>
    <t>Young Cattle total</t>
  </si>
  <si>
    <t>Pecentage of population non-lactating</t>
  </si>
  <si>
    <t>Labour hours in beef sector</t>
  </si>
  <si>
    <t>hours/year</t>
  </si>
  <si>
    <t>Ghours/year</t>
  </si>
  <si>
    <t>Adult cattle Biomass</t>
  </si>
  <si>
    <t>Ratio of total</t>
  </si>
  <si>
    <t>ratio</t>
  </si>
  <si>
    <t>Adult Cattle Labour</t>
  </si>
  <si>
    <t>Calves Biomass</t>
  </si>
  <si>
    <t>Calves Labour</t>
  </si>
  <si>
    <t>Young Cattle Biomass</t>
  </si>
  <si>
    <t>Young Cattle Labour</t>
  </si>
  <si>
    <t>Land Use of Beef Sector</t>
  </si>
  <si>
    <t>ha/year</t>
  </si>
  <si>
    <t xml:space="preserve">Adult Cattle Land Use </t>
  </si>
  <si>
    <t>km2/year</t>
  </si>
  <si>
    <t>Calves Land Use</t>
  </si>
  <si>
    <t>Young Cattle Land Use</t>
  </si>
  <si>
    <t>Cattle Slaughtering</t>
  </si>
  <si>
    <t xml:space="preserve">Gg/year </t>
  </si>
  <si>
    <t xml:space="preserve">Live Animals </t>
  </si>
  <si>
    <t>Total Beef Cattle</t>
  </si>
  <si>
    <t>Adult Cattle female</t>
  </si>
  <si>
    <t>Adult Cattle male</t>
  </si>
  <si>
    <t>Adult Cattle exports</t>
  </si>
  <si>
    <t>Adult Cattle imports</t>
  </si>
  <si>
    <t>Water Use</t>
  </si>
  <si>
    <r>
      <t xml:space="preserve"> </t>
    </r>
    <r>
      <rPr>
        <b/>
        <sz val="11"/>
        <color rgb="FFFF0000"/>
        <rFont val="Calibri"/>
        <family val="2"/>
        <scheme val="minor"/>
      </rPr>
      <t>FROM UK Database</t>
    </r>
  </si>
  <si>
    <t>Beef cow drinking water</t>
  </si>
  <si>
    <t>l/animal/day</t>
  </si>
  <si>
    <t>Technology to improve water use efficiency - Defra Project WU0123</t>
  </si>
  <si>
    <t>l/animal/year</t>
  </si>
  <si>
    <t>Adult female</t>
  </si>
  <si>
    <t>l/year</t>
  </si>
  <si>
    <t>Beef bull drinking water</t>
  </si>
  <si>
    <t>Calves drinking water</t>
  </si>
  <si>
    <t>TL/Year</t>
  </si>
  <si>
    <t>Young Cattle female</t>
  </si>
  <si>
    <t>Young Cattle male</t>
  </si>
  <si>
    <t>Energy Use</t>
  </si>
  <si>
    <t>Beef in England and Wales</t>
  </si>
  <si>
    <t>Primary Energy Used</t>
  </si>
  <si>
    <t>GJ/t carcass</t>
  </si>
  <si>
    <t>Determining the environmental burdens and resource use in the production of agricultural and horticultural commodities.Defra project report IS0205</t>
  </si>
  <si>
    <t>Primary energy use</t>
  </si>
  <si>
    <t>GJ/year</t>
  </si>
  <si>
    <t>TJ/year</t>
  </si>
  <si>
    <t>Manure</t>
  </si>
  <si>
    <t xml:space="preserve"> FROM UK Database</t>
  </si>
  <si>
    <t>Beef Cattle</t>
  </si>
  <si>
    <t>Undiluted Slurry</t>
  </si>
  <si>
    <t>Tonnes</t>
  </si>
  <si>
    <t>Smith and Williams 2016 Production and Management of Cattle manure in the UK</t>
  </si>
  <si>
    <t>FYM or Solids</t>
  </si>
  <si>
    <t>Ratio</t>
  </si>
  <si>
    <t>FYM OR Solids</t>
  </si>
  <si>
    <t>Tonnes/year</t>
  </si>
  <si>
    <t>Undiluted slurry</t>
  </si>
  <si>
    <t>Animal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</si>
</sst>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medium">
        <color rgb="FFFF0000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rgb="FFC00000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 style="thick">
        <color rgb="FFC00000"/>
      </top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5" fillId="0" borderId="0"/>
  </cellStyleXfs>
  <cellXfs count="42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2" borderId="0" xfId="0" applyFont="1" applyFill="1"/>
    <xf numFmtId="0" fontId="2" fillId="0" borderId="0" xfId="0" applyFont="1"/>
    <xf numFmtId="0" fontId="5" fillId="4" borderId="0" xfId="2" applyNumberFormat="1" applyFont="1" applyFill="1" applyBorder="1"/>
    <xf numFmtId="9" fontId="5" fillId="4" borderId="0" xfId="2" applyNumberFormat="1" applyFont="1" applyFill="1" applyBorder="1"/>
    <xf numFmtId="0" fontId="0" fillId="0" borderId="0" xfId="0" applyFont="1" applyFill="1"/>
    <xf numFmtId="0" fontId="6" fillId="0" borderId="0" xfId="0" applyFont="1" applyFill="1"/>
    <xf numFmtId="0" fontId="6" fillId="0" borderId="0" xfId="0" applyFont="1"/>
    <xf numFmtId="0" fontId="4" fillId="0" borderId="0" xfId="0" applyFont="1"/>
    <xf numFmtId="9" fontId="7" fillId="4" borderId="0" xfId="2" applyNumberFormat="1" applyFont="1" applyFill="1" applyBorder="1"/>
    <xf numFmtId="0" fontId="0" fillId="0" borderId="0" xfId="0" applyFill="1" applyBorder="1"/>
    <xf numFmtId="0" fontId="2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ill="1" applyBorder="1"/>
    <xf numFmtId="0" fontId="4" fillId="0" borderId="1" xfId="0" applyFont="1" applyBorder="1"/>
    <xf numFmtId="0" fontId="6" fillId="0" borderId="1" xfId="0" applyFont="1" applyBorder="1"/>
    <xf numFmtId="0" fontId="0" fillId="0" borderId="0" xfId="1" applyNumberFormat="1" applyFont="1"/>
    <xf numFmtId="2" fontId="0" fillId="0" borderId="0" xfId="0" applyNumberFormat="1"/>
    <xf numFmtId="0" fontId="0" fillId="3" borderId="0" xfId="0" applyFill="1"/>
    <xf numFmtId="0" fontId="0" fillId="3" borderId="0" xfId="0" applyFont="1" applyFill="1"/>
    <xf numFmtId="0" fontId="1" fillId="3" borderId="0" xfId="0" applyFont="1" applyFill="1"/>
    <xf numFmtId="0" fontId="0" fillId="0" borderId="0" xfId="0" applyFont="1"/>
    <xf numFmtId="0" fontId="0" fillId="5" borderId="2" xfId="0" applyFill="1" applyBorder="1"/>
    <xf numFmtId="0" fontId="0" fillId="0" borderId="3" xfId="0" applyBorder="1"/>
    <xf numFmtId="0" fontId="6" fillId="3" borderId="0" xfId="0" applyFont="1" applyFill="1"/>
    <xf numFmtId="0" fontId="2" fillId="2" borderId="4" xfId="0" applyFont="1" applyFill="1" applyBorder="1"/>
    <xf numFmtId="0" fontId="2" fillId="0" borderId="0" xfId="0" applyFont="1" applyFill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5" xfId="0" applyBorder="1"/>
    <xf numFmtId="0" fontId="2" fillId="3" borderId="0" xfId="0" applyFont="1" applyFill="1" applyBorder="1"/>
    <xf numFmtId="0" fontId="2" fillId="0" borderId="0" xfId="0" applyFont="1" applyFill="1" applyBorder="1"/>
    <xf numFmtId="0" fontId="0" fillId="0" borderId="6" xfId="0" applyBorder="1"/>
    <xf numFmtId="0" fontId="2" fillId="3" borderId="1" xfId="0" applyFont="1" applyFill="1" applyBorder="1"/>
    <xf numFmtId="0" fontId="0" fillId="0" borderId="0" xfId="0" applyAlignment="1">
      <alignment horizontal="fill"/>
    </xf>
    <xf numFmtId="3" fontId="0" fillId="0" borderId="0" xfId="0" applyNumberFormat="1"/>
    <xf numFmtId="1" fontId="0" fillId="0" borderId="0" xfId="0" applyNumberFormat="1"/>
    <xf numFmtId="0" fontId="2" fillId="2" borderId="7" xfId="0" applyFont="1" applyFill="1" applyBorder="1"/>
    <xf numFmtId="0" fontId="8" fillId="0" borderId="0" xfId="0" applyFont="1"/>
  </cellXfs>
  <cellStyles count="3">
    <cellStyle name="Normal" xfId="0" builtinId="0"/>
    <cellStyle name="Normal_Cattle (CTS)_1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207961</xdr:colOff>
      <xdr:row>34</xdr:row>
      <xdr:rowOff>0</xdr:rowOff>
    </xdr:from>
    <xdr:to>
      <xdr:col>58</xdr:col>
      <xdr:colOff>94735</xdr:colOff>
      <xdr:row>69</xdr:row>
      <xdr:rowOff>176041</xdr:rowOff>
    </xdr:to>
    <xdr:grpSp>
      <xdr:nvGrpSpPr>
        <xdr:cNvPr id="2" name="Group 1"/>
        <xdr:cNvGrpSpPr/>
      </xdr:nvGrpSpPr>
      <xdr:grpSpPr>
        <a:xfrm>
          <a:off x="12876211" y="6477000"/>
          <a:ext cx="22207024" cy="6843541"/>
          <a:chOff x="13532442" y="433916"/>
          <a:chExt cx="21869867" cy="6843541"/>
        </a:xfrm>
      </xdr:grpSpPr>
      <xdr:sp macro="" textlink="">
        <xdr:nvSpPr>
          <xdr:cNvPr id="3" name="Rectangle 2"/>
          <xdr:cNvSpPr/>
        </xdr:nvSpPr>
        <xdr:spPr>
          <a:xfrm>
            <a:off x="28025725" y="2314504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4F81BD">
                <a:shade val="50000"/>
              </a:srgbClr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4" name="Rectangle 3"/>
          <xdr:cNvSpPr/>
        </xdr:nvSpPr>
        <xdr:spPr>
          <a:xfrm>
            <a:off x="30635575" y="3790244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FFC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5" name="Rectangle 4"/>
          <xdr:cNvSpPr/>
        </xdr:nvSpPr>
        <xdr:spPr>
          <a:xfrm>
            <a:off x="28051760" y="3793419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00B05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6" name="Rectangle 5"/>
          <xdr:cNvSpPr/>
        </xdr:nvSpPr>
        <xdr:spPr>
          <a:xfrm>
            <a:off x="30635575" y="2320854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C00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7" name="Rectangle 6"/>
          <xdr:cNvSpPr>
            <a:spLocks noChangeArrowheads="1"/>
          </xdr:cNvSpPr>
        </xdr:nvSpPr>
        <xdr:spPr bwMode="auto">
          <a:xfrm>
            <a:off x="28794075" y="3001890"/>
            <a:ext cx="3683000" cy="1001713"/>
          </a:xfrm>
          <a:prstGeom prst="rect">
            <a:avLst/>
          </a:prstGeom>
          <a:solidFill>
            <a:srgbClr val="FFFFFF"/>
          </a:solidFill>
          <a:ln w="3175">
            <a:solidFill>
              <a:srgbClr val="00B050"/>
            </a:solidFill>
            <a:miter lim="800000"/>
            <a:headEnd/>
            <a:tailEnd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n-GB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Calibri" panose="020F0502020204030204" pitchFamily="34" charset="0"/>
                <a:cs typeface="Times New Roman" panose="02020603050405020304" pitchFamily="18" charset="0"/>
              </a:rPr>
              <a:t> Young Cattle</a:t>
            </a:r>
          </a:p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n-GB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Calibri" panose="020F0502020204030204" pitchFamily="34" charset="0"/>
                <a:cs typeface="Times New Roman" panose="02020603050405020304" pitchFamily="18" charset="0"/>
              </a:rPr>
              <a:t>1-2yrs</a:t>
            </a:r>
            <a:endParaRPr kumimoji="0" lang="en-GB" altLang="en-U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19174734" y="513964"/>
            <a:ext cx="764388" cy="905261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HA</a:t>
            </a:r>
          </a:p>
          <a:p>
            <a:r>
              <a:rPr lang="en-GB" sz="1300" b="1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GB" sz="1300"/>
              <a:t> 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19916776" y="522815"/>
            <a:ext cx="920750" cy="65888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Power</a:t>
            </a:r>
            <a:r>
              <a:rPr lang="en-GB" sz="1600" baseline="0"/>
              <a:t> Capacity</a:t>
            </a:r>
            <a:endParaRPr lang="en-GB" sz="160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21013208" y="534458"/>
            <a:ext cx="716492" cy="619546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Land Use</a:t>
            </a:r>
            <a:r>
              <a:rPr lang="en-GB" sz="1600" baseline="0"/>
              <a:t> </a:t>
            </a:r>
            <a:endParaRPr lang="en-GB" sz="1600"/>
          </a:p>
        </xdr:txBody>
      </xdr:sp>
      <xdr:sp macro="" textlink="">
        <xdr:nvSpPr>
          <xdr:cNvPr id="11" name="Shape 9"/>
          <xdr:cNvSpPr/>
        </xdr:nvSpPr>
        <xdr:spPr>
          <a:xfrm rot="5400000">
            <a:off x="18871139" y="1565275"/>
            <a:ext cx="1195919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12" name="Shape 9"/>
          <xdr:cNvSpPr/>
        </xdr:nvSpPr>
        <xdr:spPr>
          <a:xfrm rot="5400000">
            <a:off x="19802473" y="1628774"/>
            <a:ext cx="1111250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13" name="Rectangle 12"/>
          <xdr:cNvSpPr/>
        </xdr:nvSpPr>
        <xdr:spPr>
          <a:xfrm>
            <a:off x="16357600" y="2337200"/>
            <a:ext cx="2346113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4F81BD">
                <a:shade val="50000"/>
              </a:srgbClr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4" name="Rectangle 13"/>
          <xdr:cNvSpPr/>
        </xdr:nvSpPr>
        <xdr:spPr>
          <a:xfrm>
            <a:off x="18967450" y="3812940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FFC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5" name="Rectangle 14"/>
          <xdr:cNvSpPr/>
        </xdr:nvSpPr>
        <xdr:spPr>
          <a:xfrm>
            <a:off x="16383635" y="3816115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00B05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6" name="Rectangle 15"/>
          <xdr:cNvSpPr/>
        </xdr:nvSpPr>
        <xdr:spPr>
          <a:xfrm>
            <a:off x="18967450" y="2343550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C00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7" name="Rectangle 16"/>
          <xdr:cNvSpPr>
            <a:spLocks noChangeArrowheads="1"/>
          </xdr:cNvSpPr>
        </xdr:nvSpPr>
        <xdr:spPr bwMode="auto">
          <a:xfrm>
            <a:off x="17059275" y="3072211"/>
            <a:ext cx="3683000" cy="1001713"/>
          </a:xfrm>
          <a:prstGeom prst="rect">
            <a:avLst/>
          </a:prstGeom>
          <a:solidFill>
            <a:srgbClr val="FFFFFF"/>
          </a:solidFill>
          <a:ln w="3175">
            <a:solidFill>
              <a:srgbClr val="00B050"/>
            </a:solidFill>
            <a:miter lim="800000"/>
            <a:headEnd/>
            <a:tailEnd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n-GB" altLang="en-US" sz="1800" b="0" i="0" u="none" strike="noStrike" cap="none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Calves &lt; 1yrs</a:t>
            </a:r>
          </a:p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endParaRPr kumimoji="0" lang="en-GB" altLang="en-US" sz="1800" b="0" i="0" u="none" strike="noStrike" cap="none" normalizeH="0" baseline="0">
              <a:ln>
                <a:noFill/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18" name="Shape 9"/>
          <xdr:cNvSpPr/>
        </xdr:nvSpPr>
        <xdr:spPr>
          <a:xfrm rot="5400000">
            <a:off x="20776141" y="1628774"/>
            <a:ext cx="1111250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19" name="TextBox 12"/>
          <xdr:cNvSpPr txBox="1"/>
        </xdr:nvSpPr>
        <xdr:spPr>
          <a:xfrm>
            <a:off x="16131001" y="546796"/>
            <a:ext cx="799157" cy="342786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Feed </a:t>
            </a:r>
          </a:p>
        </xdr:txBody>
      </xdr:sp>
      <xdr:sp macro="" textlink="">
        <xdr:nvSpPr>
          <xdr:cNvPr id="20" name="TextBox 18"/>
          <xdr:cNvSpPr txBox="1"/>
        </xdr:nvSpPr>
        <xdr:spPr>
          <a:xfrm>
            <a:off x="17019852" y="455083"/>
            <a:ext cx="808747" cy="530658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400"/>
              <a:t>Blue Water</a:t>
            </a:r>
          </a:p>
        </xdr:txBody>
      </xdr:sp>
      <xdr:sp macro="" textlink="">
        <xdr:nvSpPr>
          <xdr:cNvPr id="21" name="TextBox 40"/>
          <xdr:cNvSpPr txBox="1"/>
        </xdr:nvSpPr>
        <xdr:spPr>
          <a:xfrm>
            <a:off x="17917123" y="540808"/>
            <a:ext cx="1191124" cy="334068"/>
          </a:xfrm>
          <a:prstGeom prst="rect">
            <a:avLst/>
          </a:prstGeom>
          <a:solidFill>
            <a:sysClr val="window" lastClr="FFFFFF"/>
          </a:solidFill>
          <a:ln w="0" cmpd="sng">
            <a:solidFill>
              <a:srgbClr val="0070C0"/>
            </a:solidFill>
          </a:ln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Antibiotics</a:t>
            </a:r>
          </a:p>
        </xdr:txBody>
      </xdr:sp>
      <xdr:sp macro="" textlink="">
        <xdr:nvSpPr>
          <xdr:cNvPr id="22" name="Shape 8"/>
          <xdr:cNvSpPr/>
        </xdr:nvSpPr>
        <xdr:spPr>
          <a:xfrm rot="5400000">
            <a:off x="15905161" y="1429279"/>
            <a:ext cx="1238250" cy="29950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23" name="Shape 8"/>
          <xdr:cNvSpPr/>
        </xdr:nvSpPr>
        <xdr:spPr>
          <a:xfrm rot="5400000">
            <a:off x="16814798" y="1470025"/>
            <a:ext cx="1190625" cy="284691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24" name="Shape 8"/>
          <xdr:cNvSpPr/>
        </xdr:nvSpPr>
        <xdr:spPr>
          <a:xfrm rot="5400000">
            <a:off x="17772061" y="1429279"/>
            <a:ext cx="1314450" cy="29950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25" name="TextBox 12"/>
          <xdr:cNvSpPr txBox="1"/>
        </xdr:nvSpPr>
        <xdr:spPr>
          <a:xfrm>
            <a:off x="14911916" y="626533"/>
            <a:ext cx="799155" cy="593239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Energy</a:t>
            </a:r>
            <a:r>
              <a:rPr lang="en-GB" sz="1600" baseline="0"/>
              <a:t> Use</a:t>
            </a:r>
            <a:endParaRPr lang="en-GB" sz="1600"/>
          </a:p>
        </xdr:txBody>
      </xdr:sp>
      <xdr:cxnSp macro="">
        <xdr:nvCxnSpPr>
          <xdr:cNvPr id="26" name="Elbow Connector 25"/>
          <xdr:cNvCxnSpPr>
            <a:stCxn id="25" idx="2"/>
          </xdr:cNvCxnSpPr>
        </xdr:nvCxnSpPr>
        <xdr:spPr>
          <a:xfrm rot="16200000" flipH="1">
            <a:off x="15287146" y="1244118"/>
            <a:ext cx="1054583" cy="1005888"/>
          </a:xfrm>
          <a:prstGeom prst="bentConnector3">
            <a:avLst/>
          </a:prstGeom>
          <a:ln w="31750" cmpd="sng">
            <a:solidFill>
              <a:schemeClr val="accent5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TextBox 12"/>
          <xdr:cNvSpPr txBox="1"/>
        </xdr:nvSpPr>
        <xdr:spPr>
          <a:xfrm>
            <a:off x="27836169" y="525629"/>
            <a:ext cx="809739" cy="342786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Feed </a:t>
            </a:r>
          </a:p>
        </xdr:txBody>
      </xdr:sp>
      <xdr:sp macro="" textlink="">
        <xdr:nvSpPr>
          <xdr:cNvPr id="28" name="TextBox 18"/>
          <xdr:cNvSpPr txBox="1"/>
        </xdr:nvSpPr>
        <xdr:spPr>
          <a:xfrm>
            <a:off x="28735602" y="433916"/>
            <a:ext cx="808748" cy="530658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400"/>
              <a:t>Blue Water</a:t>
            </a:r>
          </a:p>
        </xdr:txBody>
      </xdr:sp>
      <xdr:sp macro="" textlink="">
        <xdr:nvSpPr>
          <xdr:cNvPr id="29" name="TextBox 40"/>
          <xdr:cNvSpPr txBox="1"/>
        </xdr:nvSpPr>
        <xdr:spPr>
          <a:xfrm>
            <a:off x="29622291" y="519641"/>
            <a:ext cx="1191123" cy="334068"/>
          </a:xfrm>
          <a:prstGeom prst="rect">
            <a:avLst/>
          </a:prstGeom>
          <a:solidFill>
            <a:sysClr val="window" lastClr="FFFFFF"/>
          </a:solidFill>
          <a:ln w="0" cmpd="sng">
            <a:solidFill>
              <a:srgbClr val="0070C0"/>
            </a:solidFill>
          </a:ln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Antibiotics</a:t>
            </a:r>
          </a:p>
        </xdr:txBody>
      </xdr:sp>
      <xdr:sp macro="" textlink="">
        <xdr:nvSpPr>
          <xdr:cNvPr id="30" name="Shape 8"/>
          <xdr:cNvSpPr/>
        </xdr:nvSpPr>
        <xdr:spPr>
          <a:xfrm rot="5400000">
            <a:off x="27615620" y="1413404"/>
            <a:ext cx="1238250" cy="28892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1" name="Shape 8"/>
          <xdr:cNvSpPr/>
        </xdr:nvSpPr>
        <xdr:spPr>
          <a:xfrm rot="5400000">
            <a:off x="28525257" y="1443566"/>
            <a:ext cx="1190625" cy="2952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2" name="Shape 8"/>
          <xdr:cNvSpPr/>
        </xdr:nvSpPr>
        <xdr:spPr>
          <a:xfrm rot="5400000">
            <a:off x="29482520" y="1413404"/>
            <a:ext cx="1314450" cy="28892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3" name="TextBox 12"/>
          <xdr:cNvSpPr txBox="1"/>
        </xdr:nvSpPr>
        <xdr:spPr>
          <a:xfrm>
            <a:off x="26617083" y="605366"/>
            <a:ext cx="809739" cy="593239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Energy Use</a:t>
            </a:r>
          </a:p>
        </xdr:txBody>
      </xdr:sp>
      <xdr:cxnSp macro="">
        <xdr:nvCxnSpPr>
          <xdr:cNvPr id="34" name="Elbow Connector 33"/>
          <xdr:cNvCxnSpPr>
            <a:stCxn id="33" idx="2"/>
          </xdr:cNvCxnSpPr>
        </xdr:nvCxnSpPr>
        <xdr:spPr>
          <a:xfrm rot="16200000" flipH="1">
            <a:off x="27000250" y="1220307"/>
            <a:ext cx="1054585" cy="1011180"/>
          </a:xfrm>
          <a:prstGeom prst="bentConnector3">
            <a:avLst/>
          </a:prstGeom>
          <a:ln w="31750" cmpd="sng">
            <a:solidFill>
              <a:schemeClr val="accent5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TextBox 34"/>
          <xdr:cNvSpPr txBox="1"/>
        </xdr:nvSpPr>
        <xdr:spPr>
          <a:xfrm>
            <a:off x="30903333" y="558801"/>
            <a:ext cx="641351" cy="44253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HA</a:t>
            </a:r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31636758" y="455084"/>
            <a:ext cx="931332" cy="65888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Power</a:t>
            </a:r>
            <a:r>
              <a:rPr lang="en-GB" sz="1600" baseline="0"/>
              <a:t> Capacity</a:t>
            </a:r>
            <a:endParaRPr lang="en-GB" sz="1600"/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32733189" y="466727"/>
            <a:ext cx="727076" cy="619546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Land Use</a:t>
            </a:r>
            <a:r>
              <a:rPr lang="en-GB" sz="1600" baseline="0"/>
              <a:t> </a:t>
            </a:r>
            <a:endParaRPr lang="en-GB" sz="1600"/>
          </a:p>
        </xdr:txBody>
      </xdr:sp>
      <xdr:sp macro="" textlink="">
        <xdr:nvSpPr>
          <xdr:cNvPr id="38" name="Shape 9"/>
          <xdr:cNvSpPr/>
        </xdr:nvSpPr>
        <xdr:spPr>
          <a:xfrm rot="5400000">
            <a:off x="30601704" y="1497544"/>
            <a:ext cx="1195919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9" name="Shape 9"/>
          <xdr:cNvSpPr/>
        </xdr:nvSpPr>
        <xdr:spPr>
          <a:xfrm rot="5400000">
            <a:off x="31527746" y="1566335"/>
            <a:ext cx="1111250" cy="29844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0" name="Shape 9"/>
          <xdr:cNvSpPr/>
        </xdr:nvSpPr>
        <xdr:spPr>
          <a:xfrm rot="5400000">
            <a:off x="32501414" y="1566335"/>
            <a:ext cx="1111250" cy="298450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16255999" y="5792258"/>
            <a:ext cx="1500717" cy="3905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Green water </a:t>
            </a:r>
          </a:p>
        </xdr:txBody>
      </xdr:sp>
      <xdr:sp macro="" textlink="">
        <xdr:nvSpPr>
          <xdr:cNvPr id="42" name="Shape 10"/>
          <xdr:cNvSpPr/>
        </xdr:nvSpPr>
        <xdr:spPr>
          <a:xfrm rot="-5400000">
            <a:off x="16349133" y="5035550"/>
            <a:ext cx="1076325" cy="360892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548135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3" name="Shape 11"/>
          <xdr:cNvSpPr/>
        </xdr:nvSpPr>
        <xdr:spPr>
          <a:xfrm rot="5400000">
            <a:off x="18619818" y="4888442"/>
            <a:ext cx="1076325" cy="2952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4" name="Shape 11"/>
          <xdr:cNvSpPr/>
        </xdr:nvSpPr>
        <xdr:spPr>
          <a:xfrm rot="5400000">
            <a:off x="19671801" y="4886325"/>
            <a:ext cx="1076325" cy="29950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5" name="TextBox 44"/>
          <xdr:cNvSpPr txBox="1"/>
        </xdr:nvSpPr>
        <xdr:spPr>
          <a:xfrm>
            <a:off x="18510250" y="5700541"/>
            <a:ext cx="1177924" cy="838200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GHG</a:t>
            </a:r>
            <a:endParaRPr lang="en-GB" sz="1600" baseline="0"/>
          </a:p>
          <a:p>
            <a:r>
              <a:rPr lang="en-GB" sz="1600" baseline="0"/>
              <a:t>(N2O, CH4, CO2)</a:t>
            </a:r>
            <a:endParaRPr lang="en-GB" sz="1600"/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19792950" y="5729116"/>
            <a:ext cx="1139826" cy="600075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Antibiotics</a:t>
            </a:r>
          </a:p>
        </xdr:txBody>
      </xdr:sp>
      <xdr:sp macro="" textlink="">
        <xdr:nvSpPr>
          <xdr:cNvPr id="47" name="Shape 11"/>
          <xdr:cNvSpPr/>
        </xdr:nvSpPr>
        <xdr:spPr>
          <a:xfrm rot="5400000">
            <a:off x="20065471" y="5424845"/>
            <a:ext cx="2057400" cy="284691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20576118" y="6624466"/>
            <a:ext cx="1150407" cy="600075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Manure?</a:t>
            </a:r>
          </a:p>
        </xdr:txBody>
      </xdr:sp>
      <xdr:sp macro="" textlink="">
        <xdr:nvSpPr>
          <xdr:cNvPr id="49" name="TextBox 48"/>
          <xdr:cNvSpPr txBox="1"/>
        </xdr:nvSpPr>
        <xdr:spPr>
          <a:xfrm>
            <a:off x="27929417" y="5845174"/>
            <a:ext cx="1511300" cy="39052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70AD47">
                <a:lumMod val="75000"/>
              </a:srgbClr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Green water </a:t>
            </a:r>
          </a:p>
        </xdr:txBody>
      </xdr:sp>
      <xdr:sp macro="" textlink="">
        <xdr:nvSpPr>
          <xdr:cNvPr id="50" name="Shape 10"/>
          <xdr:cNvSpPr/>
        </xdr:nvSpPr>
        <xdr:spPr>
          <a:xfrm rot="-5400000">
            <a:off x="28027842" y="5083174"/>
            <a:ext cx="1076325" cy="3714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548135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1" name="Shape 11"/>
          <xdr:cNvSpPr/>
        </xdr:nvSpPr>
        <xdr:spPr>
          <a:xfrm rot="5400000">
            <a:off x="30298526" y="4946650"/>
            <a:ext cx="1076325" cy="284692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2" name="Shape 11"/>
          <xdr:cNvSpPr/>
        </xdr:nvSpPr>
        <xdr:spPr>
          <a:xfrm rot="5400000">
            <a:off x="31350510" y="4944533"/>
            <a:ext cx="1076325" cy="28892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30183667" y="5753457"/>
            <a:ext cx="1188508" cy="83820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FFC000"/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GHG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(N2O, CH4, CO2)</a:t>
            </a:r>
          </a:p>
        </xdr:txBody>
      </xdr:sp>
      <xdr:sp macro="" textlink="">
        <xdr:nvSpPr>
          <xdr:cNvPr id="54" name="TextBox 53"/>
          <xdr:cNvSpPr txBox="1"/>
        </xdr:nvSpPr>
        <xdr:spPr>
          <a:xfrm>
            <a:off x="31466368" y="5782032"/>
            <a:ext cx="1139825" cy="60007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FFC000"/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Antibiotics</a:t>
            </a:r>
          </a:p>
        </xdr:txBody>
      </xdr:sp>
      <xdr:sp macro="" textlink="">
        <xdr:nvSpPr>
          <xdr:cNvPr id="55" name="Shape 11"/>
          <xdr:cNvSpPr/>
        </xdr:nvSpPr>
        <xdr:spPr>
          <a:xfrm rot="5400000">
            <a:off x="31744180" y="5472469"/>
            <a:ext cx="2057400" cy="2952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6" name="TextBox 55"/>
          <xdr:cNvSpPr txBox="1"/>
        </xdr:nvSpPr>
        <xdr:spPr>
          <a:xfrm>
            <a:off x="32260118" y="6677382"/>
            <a:ext cx="1139825" cy="60007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FFC000"/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Manure?</a:t>
            </a:r>
          </a:p>
        </xdr:txBody>
      </xdr:sp>
      <xdr:sp macro="" textlink="">
        <xdr:nvSpPr>
          <xdr:cNvPr id="57" name="Right Arrow Callout 56"/>
          <xdr:cNvSpPr/>
        </xdr:nvSpPr>
        <xdr:spPr>
          <a:xfrm>
            <a:off x="13532442" y="3362326"/>
            <a:ext cx="2315705" cy="1004974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58" name="TextBox 57"/>
          <xdr:cNvSpPr txBox="1"/>
        </xdr:nvSpPr>
        <xdr:spPr>
          <a:xfrm>
            <a:off x="13718314" y="3488267"/>
            <a:ext cx="1206500" cy="84560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Import calves</a:t>
            </a:r>
          </a:p>
          <a:p>
            <a:endParaRPr lang="en-GB" sz="1600"/>
          </a:p>
        </xdr:txBody>
      </xdr:sp>
      <xdr:sp macro="" textlink="">
        <xdr:nvSpPr>
          <xdr:cNvPr id="59" name="Right Arrow Callout 58"/>
          <xdr:cNvSpPr/>
        </xdr:nvSpPr>
        <xdr:spPr>
          <a:xfrm>
            <a:off x="21616988" y="3000375"/>
            <a:ext cx="2677043" cy="1059147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0" name="TextBox 27"/>
          <xdr:cNvSpPr txBox="1"/>
        </xdr:nvSpPr>
        <xdr:spPr>
          <a:xfrm>
            <a:off x="21795128" y="2990850"/>
            <a:ext cx="1462020" cy="13445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Slaughtered calves</a:t>
            </a:r>
          </a:p>
          <a:p>
            <a:endParaRPr lang="en-GB" sz="1600"/>
          </a:p>
          <a:p>
            <a:endParaRPr lang="en-GB" sz="1600"/>
          </a:p>
          <a:p>
            <a:endParaRPr lang="en-GB" sz="1600"/>
          </a:p>
        </xdr:txBody>
      </xdr:sp>
      <xdr:sp macro="" textlink="">
        <xdr:nvSpPr>
          <xdr:cNvPr id="61" name="Right Arrow Callout 60"/>
          <xdr:cNvSpPr/>
        </xdr:nvSpPr>
        <xdr:spPr>
          <a:xfrm>
            <a:off x="21717000" y="4381500"/>
            <a:ext cx="2223559" cy="630521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2" name="TextBox 27"/>
          <xdr:cNvSpPr txBox="1"/>
        </xdr:nvSpPr>
        <xdr:spPr>
          <a:xfrm>
            <a:off x="21927095" y="4471591"/>
            <a:ext cx="1300711" cy="59323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Calf</a:t>
            </a:r>
            <a:r>
              <a:rPr lang="en-GB" sz="1600" baseline="0"/>
              <a:t> export</a:t>
            </a:r>
          </a:p>
          <a:p>
            <a:endParaRPr lang="en-GB" sz="1600"/>
          </a:p>
        </xdr:txBody>
      </xdr:sp>
      <xdr:sp macro="" textlink="">
        <xdr:nvSpPr>
          <xdr:cNvPr id="63" name="Right Arrow Callout 62"/>
          <xdr:cNvSpPr/>
        </xdr:nvSpPr>
        <xdr:spPr>
          <a:xfrm>
            <a:off x="33178750" y="3429000"/>
            <a:ext cx="2223559" cy="630521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4" name="TextBox 27"/>
          <xdr:cNvSpPr txBox="1"/>
        </xdr:nvSpPr>
        <xdr:spPr>
          <a:xfrm>
            <a:off x="33351139" y="3461941"/>
            <a:ext cx="1300711" cy="59323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Slaughtered</a:t>
            </a:r>
            <a:r>
              <a:rPr lang="en-GB" sz="1600" baseline="0"/>
              <a:t> young cattle</a:t>
            </a:r>
            <a:endParaRPr lang="en-GB" sz="1600"/>
          </a:p>
        </xdr:txBody>
      </xdr:sp>
      <xdr:sp macro="" textlink="">
        <xdr:nvSpPr>
          <xdr:cNvPr id="65" name="Right Arrow Callout 64"/>
          <xdr:cNvSpPr/>
        </xdr:nvSpPr>
        <xdr:spPr>
          <a:xfrm>
            <a:off x="25791583" y="2984500"/>
            <a:ext cx="2222500" cy="904433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6" name="TextBox 20"/>
          <xdr:cNvSpPr txBox="1"/>
        </xdr:nvSpPr>
        <xdr:spPr>
          <a:xfrm>
            <a:off x="25881541" y="3034844"/>
            <a:ext cx="1281642" cy="34278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Dairy</a:t>
            </a:r>
            <a:r>
              <a:rPr lang="en-GB" sz="1600" baseline="0"/>
              <a:t> heifers</a:t>
            </a:r>
          </a:p>
        </xdr:txBody>
      </xdr:sp>
    </xdr:grpSp>
    <xdr:clientData/>
  </xdr:twoCellAnchor>
  <xdr:twoCellAnchor>
    <xdr:from>
      <xdr:col>6</xdr:col>
      <xdr:colOff>0</xdr:colOff>
      <xdr:row>34</xdr:row>
      <xdr:rowOff>8997</xdr:rowOff>
    </xdr:from>
    <xdr:to>
      <xdr:col>17</xdr:col>
      <xdr:colOff>314801</xdr:colOff>
      <xdr:row>69</xdr:row>
      <xdr:rowOff>51860</xdr:rowOff>
    </xdr:to>
    <xdr:grpSp>
      <xdr:nvGrpSpPr>
        <xdr:cNvPr id="67" name="Group 66"/>
        <xdr:cNvGrpSpPr/>
      </xdr:nvGrpSpPr>
      <xdr:grpSpPr>
        <a:xfrm>
          <a:off x="3619500" y="6485997"/>
          <a:ext cx="6950551" cy="6710363"/>
          <a:chOff x="2445544" y="2728912"/>
          <a:chExt cx="6887051" cy="6710363"/>
        </a:xfrm>
      </xdr:grpSpPr>
      <xdr:cxnSp macro="">
        <xdr:nvCxnSpPr>
          <xdr:cNvPr id="68" name="Elbow Connector 67"/>
          <xdr:cNvCxnSpPr>
            <a:stCxn id="86" idx="2"/>
          </xdr:cNvCxnSpPr>
        </xdr:nvCxnSpPr>
        <xdr:spPr>
          <a:xfrm rot="16200000" flipH="1">
            <a:off x="2848228" y="3586469"/>
            <a:ext cx="1020255" cy="1049823"/>
          </a:xfrm>
          <a:prstGeom prst="bentConnector3">
            <a:avLst/>
          </a:prstGeom>
          <a:ln w="31750" cmpd="sng">
            <a:solidFill>
              <a:schemeClr val="accent5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9" name="Group 68"/>
          <xdr:cNvGrpSpPr/>
        </xdr:nvGrpSpPr>
        <xdr:grpSpPr>
          <a:xfrm>
            <a:off x="2445544" y="2728912"/>
            <a:ext cx="6887051" cy="6710363"/>
            <a:chOff x="2278856" y="2824162"/>
            <a:chExt cx="6887051" cy="6710363"/>
          </a:xfrm>
        </xdr:grpSpPr>
        <xdr:sp macro="" textlink="">
          <xdr:nvSpPr>
            <xdr:cNvPr id="70" name="Rectangle 69"/>
            <xdr:cNvSpPr/>
          </xdr:nvSpPr>
          <xdr:spPr>
            <a:xfrm>
              <a:off x="3770408" y="4751136"/>
              <a:ext cx="2352596" cy="1214755"/>
            </a:xfrm>
            <a:prstGeom prst="rect">
              <a:avLst/>
            </a:prstGeom>
            <a:solidFill>
              <a:schemeClr val="bg1"/>
            </a:solidFill>
            <a:ln w="381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1" name="Rectangle 70"/>
            <xdr:cNvSpPr/>
          </xdr:nvSpPr>
          <xdr:spPr>
            <a:xfrm>
              <a:off x="6390251" y="6188776"/>
              <a:ext cx="2352595" cy="1214755"/>
            </a:xfrm>
            <a:prstGeom prst="rect">
              <a:avLst/>
            </a:prstGeom>
            <a:solidFill>
              <a:schemeClr val="bg1"/>
            </a:solidFill>
            <a:ln w="38100">
              <a:solidFill>
                <a:srgbClr val="FFC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2" name="Rectangle 71"/>
            <xdr:cNvSpPr/>
          </xdr:nvSpPr>
          <xdr:spPr>
            <a:xfrm>
              <a:off x="3796270" y="6201476"/>
              <a:ext cx="2352596" cy="1214755"/>
            </a:xfrm>
            <a:prstGeom prst="rect">
              <a:avLst/>
            </a:prstGeom>
            <a:solidFill>
              <a:schemeClr val="bg1"/>
            </a:solidFill>
            <a:ln w="38100"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3" name="Rectangle 72"/>
            <xdr:cNvSpPr/>
          </xdr:nvSpPr>
          <xdr:spPr>
            <a:xfrm>
              <a:off x="6399713" y="4757486"/>
              <a:ext cx="2352595" cy="1214755"/>
            </a:xfrm>
            <a:prstGeom prst="rect">
              <a:avLst/>
            </a:prstGeom>
            <a:solidFill>
              <a:schemeClr val="bg1"/>
            </a:solidFill>
            <a:ln w="38100"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4" name="Rectangle 73"/>
            <xdr:cNvSpPr/>
          </xdr:nvSpPr>
          <xdr:spPr>
            <a:xfrm>
              <a:off x="4419114" y="5497261"/>
              <a:ext cx="3706148" cy="1002030"/>
            </a:xfrm>
            <a:prstGeom prst="rect">
              <a:avLst/>
            </a:prstGeom>
            <a:solidFill>
              <a:schemeClr val="bg1"/>
            </a:solidFill>
            <a:ln w="3175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5" name="TextBox 4"/>
            <xdr:cNvSpPr txBox="1">
              <a:spLocks noChangeArrowheads="1"/>
            </xdr:cNvSpPr>
          </xdr:nvSpPr>
          <xdr:spPr bwMode="auto">
            <a:xfrm>
              <a:off x="5145510" y="5688839"/>
              <a:ext cx="2508403" cy="36933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0" fontAlgn="base" latinLnBrk="0" hangingPunct="0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1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Adult Animals</a:t>
              </a:r>
              <a:r>
                <a:rPr kumimoji="0" lang="en-US" altLang="en-US" sz="1800" b="0" i="0" u="none" strike="noStrike" cap="none" normalizeH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&gt;= 2yrs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anose="020B0604020202020204" pitchFamily="34" charset="0"/>
              </a:endParaRPr>
            </a:p>
          </xdr:txBody>
        </xdr:sp>
        <xdr:sp macro="" textlink="">
          <xdr:nvSpPr>
            <xdr:cNvPr id="76" name="TextBox 12"/>
            <xdr:cNvSpPr txBox="1"/>
          </xdr:nvSpPr>
          <xdr:spPr>
            <a:xfrm>
              <a:off x="3506135" y="3006363"/>
              <a:ext cx="810129" cy="342786"/>
            </a:xfrm>
            <a:prstGeom prst="rect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/>
                <a:t>Feed </a:t>
              </a:r>
            </a:p>
          </xdr:txBody>
        </xdr:sp>
        <xdr:sp macro="" textlink="">
          <xdr:nvSpPr>
            <xdr:cNvPr id="77" name="TextBox 18"/>
            <xdr:cNvSpPr txBox="1"/>
          </xdr:nvSpPr>
          <xdr:spPr>
            <a:xfrm>
              <a:off x="4405364" y="2914650"/>
              <a:ext cx="811526" cy="530658"/>
            </a:xfrm>
            <a:prstGeom prst="rect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400"/>
                <a:t>Blue Water</a:t>
              </a:r>
            </a:p>
          </xdr:txBody>
        </xdr:sp>
        <xdr:sp macro="" textlink="">
          <xdr:nvSpPr>
            <xdr:cNvPr id="78" name="TextBox 40"/>
            <xdr:cNvSpPr txBox="1"/>
          </xdr:nvSpPr>
          <xdr:spPr>
            <a:xfrm>
              <a:off x="5304828" y="3000375"/>
              <a:ext cx="1199502" cy="334068"/>
            </a:xfrm>
            <a:prstGeom prst="rect">
              <a:avLst/>
            </a:prstGeom>
            <a:solidFill>
              <a:sysClr val="window" lastClr="FFFFFF"/>
            </a:solidFill>
            <a:ln w="0" cmpd="sng">
              <a:solidFill>
                <a:srgbClr val="0070C0"/>
              </a:solidFill>
            </a:ln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/>
                <a:t>Antibiotics</a:t>
              </a:r>
            </a:p>
          </xdr:txBody>
        </xdr:sp>
        <xdr:sp macro="" textlink="">
          <xdr:nvSpPr>
            <xdr:cNvPr id="79" name="TextBox 78"/>
            <xdr:cNvSpPr txBox="1"/>
          </xdr:nvSpPr>
          <xdr:spPr>
            <a:xfrm>
              <a:off x="8291077" y="2824162"/>
              <a:ext cx="730393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Land Use</a:t>
              </a:r>
              <a:r>
                <a:rPr lang="en-GB" sz="1600" baseline="0"/>
                <a:t> </a:t>
              </a:r>
              <a:endParaRPr lang="en-GB" sz="1600"/>
            </a:p>
          </xdr:txBody>
        </xdr:sp>
        <xdr:sp macro="" textlink="">
          <xdr:nvSpPr>
            <xdr:cNvPr id="80" name="TextBox 79"/>
            <xdr:cNvSpPr txBox="1"/>
          </xdr:nvSpPr>
          <xdr:spPr>
            <a:xfrm>
              <a:off x="6606269" y="2855119"/>
              <a:ext cx="645235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HA</a:t>
              </a:r>
            </a:p>
          </xdr:txBody>
        </xdr:sp>
        <xdr:sp macro="" textlink="">
          <xdr:nvSpPr>
            <xdr:cNvPr id="81" name="TextBox 80"/>
            <xdr:cNvSpPr txBox="1"/>
          </xdr:nvSpPr>
          <xdr:spPr>
            <a:xfrm>
              <a:off x="7298563" y="2857500"/>
              <a:ext cx="933300" cy="6929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Power</a:t>
              </a:r>
              <a:r>
                <a:rPr lang="en-GB" sz="1600" baseline="0"/>
                <a:t> Capacity</a:t>
              </a:r>
              <a:endParaRPr lang="en-GB" sz="1600"/>
            </a:p>
          </xdr:txBody>
        </xdr:sp>
        <xdr:sp macro="" textlink="">
          <xdr:nvSpPr>
            <xdr:cNvPr id="82" name="TextBox 81"/>
            <xdr:cNvSpPr txBox="1"/>
          </xdr:nvSpPr>
          <xdr:spPr>
            <a:xfrm>
              <a:off x="3512556" y="7915275"/>
              <a:ext cx="1515177" cy="3905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Green water </a:t>
              </a:r>
            </a:p>
          </xdr:txBody>
        </xdr:sp>
        <xdr:sp macro="" textlink="">
          <xdr:nvSpPr>
            <xdr:cNvPr id="83" name="TextBox 82"/>
            <xdr:cNvSpPr txBox="1"/>
          </xdr:nvSpPr>
          <xdr:spPr>
            <a:xfrm>
              <a:off x="5932647" y="8010525"/>
              <a:ext cx="1186389" cy="838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GHG</a:t>
              </a:r>
              <a:endParaRPr lang="en-GB" sz="1600" baseline="0"/>
            </a:p>
            <a:p>
              <a:r>
                <a:rPr lang="en-GB" sz="1600" baseline="0"/>
                <a:t>(N2O, CH4, CO2)</a:t>
              </a:r>
              <a:endParaRPr lang="en-GB" sz="1600"/>
            </a:p>
          </xdr:txBody>
        </xdr:sp>
        <xdr:sp macro="" textlink="">
          <xdr:nvSpPr>
            <xdr:cNvPr id="84" name="TextBox 83"/>
            <xdr:cNvSpPr txBox="1"/>
          </xdr:nvSpPr>
          <xdr:spPr>
            <a:xfrm>
              <a:off x="7223118" y="8039100"/>
              <a:ext cx="1148544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Antibiotics</a:t>
              </a:r>
            </a:p>
          </xdr:txBody>
        </xdr:sp>
        <xdr:sp macro="" textlink="">
          <xdr:nvSpPr>
            <xdr:cNvPr id="85" name="TextBox 84"/>
            <xdr:cNvSpPr txBox="1"/>
          </xdr:nvSpPr>
          <xdr:spPr>
            <a:xfrm>
              <a:off x="8017365" y="8934450"/>
              <a:ext cx="1148542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Manure?</a:t>
              </a:r>
            </a:p>
          </xdr:txBody>
        </xdr:sp>
        <xdr:sp macro="" textlink="">
          <xdr:nvSpPr>
            <xdr:cNvPr id="86" name="TextBox 12"/>
            <xdr:cNvSpPr txBox="1"/>
          </xdr:nvSpPr>
          <xdr:spPr>
            <a:xfrm>
              <a:off x="2278856" y="3086100"/>
              <a:ext cx="810129" cy="593239"/>
            </a:xfrm>
            <a:prstGeom prst="rect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/>
                <a:t>Energy Use</a:t>
              </a:r>
            </a:p>
          </xdr:txBody>
        </xdr:sp>
        <xdr:sp macro="" textlink="">
          <xdr:nvSpPr>
            <xdr:cNvPr id="87" name="Shape 8"/>
            <xdr:cNvSpPr/>
          </xdr:nvSpPr>
          <xdr:spPr>
            <a:xfrm rot="5400000">
              <a:off x="3377333" y="3897386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4472C4">
                <a:lumMod val="75000"/>
              </a:srgbClr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88" name="Shape 8"/>
            <xdr:cNvSpPr/>
          </xdr:nvSpPr>
          <xdr:spPr>
            <a:xfrm rot="5400000">
              <a:off x="4115520" y="3933104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4472C4">
                <a:lumMod val="75000"/>
              </a:srgbClr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89" name="Shape 8"/>
            <xdr:cNvSpPr/>
          </xdr:nvSpPr>
          <xdr:spPr>
            <a:xfrm rot="5400000">
              <a:off x="5139457" y="3885480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4472C4">
                <a:lumMod val="75000"/>
              </a:srgbClr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0" name="Shape 8"/>
            <xdr:cNvSpPr/>
          </xdr:nvSpPr>
          <xdr:spPr>
            <a:xfrm rot="5400000">
              <a:off x="6330083" y="3968823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C00000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1" name="Shape 8"/>
            <xdr:cNvSpPr/>
          </xdr:nvSpPr>
          <xdr:spPr>
            <a:xfrm rot="5400000">
              <a:off x="7068271" y="4028355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C00000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2" name="Shape 8"/>
            <xdr:cNvSpPr/>
          </xdr:nvSpPr>
          <xdr:spPr>
            <a:xfrm rot="5400000">
              <a:off x="8008864" y="3980730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C00000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3" name="Shape 10"/>
            <xdr:cNvSpPr/>
          </xdr:nvSpPr>
          <xdr:spPr>
            <a:xfrm rot="16200000">
              <a:off x="3655876" y="7178812"/>
              <a:ext cx="1076325" cy="363265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548135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lvl="0" indent="0" algn="l">
                <a:spcBef>
                  <a:spcPts val="0"/>
                </a:spcBef>
                <a:buNone/>
              </a:pPr>
              <a:endParaRPr sz="1100"/>
            </a:p>
          </xdr:txBody>
        </xdr:sp>
        <xdr:pic>
          <xdr:nvPicPr>
            <xdr:cNvPr id="94" name="Picture 93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6512719" y="6881812"/>
              <a:ext cx="298730" cy="1079086"/>
            </a:xfrm>
            <a:prstGeom prst="rect">
              <a:avLst/>
            </a:prstGeom>
          </xdr:spPr>
        </xdr:pic>
        <xdr:pic>
          <xdr:nvPicPr>
            <xdr:cNvPr id="95" name="Picture 9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8498682" y="7141367"/>
              <a:ext cx="298730" cy="1764507"/>
            </a:xfrm>
            <a:prstGeom prst="rect">
              <a:avLst/>
            </a:prstGeom>
          </xdr:spPr>
        </xdr:pic>
        <xdr:pic>
          <xdr:nvPicPr>
            <xdr:cNvPr id="96" name="Picture 95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7686675" y="6972299"/>
              <a:ext cx="298730" cy="1079086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341462</xdr:colOff>
      <xdr:row>51</xdr:row>
      <xdr:rowOff>0</xdr:rowOff>
    </xdr:from>
    <xdr:to>
      <xdr:col>65</xdr:col>
      <xdr:colOff>455369</xdr:colOff>
      <xdr:row>123</xdr:row>
      <xdr:rowOff>85665</xdr:rowOff>
    </xdr:to>
    <xdr:grpSp>
      <xdr:nvGrpSpPr>
        <xdr:cNvPr id="97" name="Group 96"/>
        <xdr:cNvGrpSpPr/>
      </xdr:nvGrpSpPr>
      <xdr:grpSpPr>
        <a:xfrm>
          <a:off x="953783" y="9715500"/>
          <a:ext cx="39302479" cy="13801665"/>
          <a:chOff x="4445000" y="3714750"/>
          <a:chExt cx="34479073" cy="11588750"/>
        </a:xfrm>
      </xdr:grpSpPr>
      <xdr:grpSp>
        <xdr:nvGrpSpPr>
          <xdr:cNvPr id="98" name="Group 97"/>
          <xdr:cNvGrpSpPr/>
        </xdr:nvGrpSpPr>
        <xdr:grpSpPr>
          <a:xfrm>
            <a:off x="4445000" y="3714750"/>
            <a:ext cx="34479073" cy="11588750"/>
            <a:chOff x="3391958" y="5365750"/>
            <a:chExt cx="34835654" cy="11588750"/>
          </a:xfrm>
        </xdr:grpSpPr>
        <xdr:sp macro="" textlink="">
          <xdr:nvSpPr>
            <xdr:cNvPr id="101" name="U-Turn Arrow 15"/>
            <xdr:cNvSpPr/>
          </xdr:nvSpPr>
          <xdr:spPr>
            <a:xfrm rot="10800000">
              <a:off x="9207500" y="14128750"/>
              <a:ext cx="26060065" cy="2825750"/>
            </a:xfrm>
            <a:prstGeom prst="uturnArrow">
              <a:avLst/>
            </a:prstGeom>
            <a:ln w="3810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GB" sz="1100">
                <a:solidFill>
                  <a:schemeClr val="tx1"/>
                </a:solidFill>
              </a:endParaRPr>
            </a:p>
          </xdr:txBody>
        </xdr:sp>
        <xdr:grpSp>
          <xdr:nvGrpSpPr>
            <xdr:cNvPr id="102" name="Group 101"/>
            <xdr:cNvGrpSpPr/>
          </xdr:nvGrpSpPr>
          <xdr:grpSpPr>
            <a:xfrm>
              <a:off x="3391958" y="5365750"/>
              <a:ext cx="34835654" cy="8165399"/>
              <a:chOff x="3391958" y="5365750"/>
              <a:chExt cx="34835654" cy="8165399"/>
            </a:xfrm>
          </xdr:grpSpPr>
          <xdr:sp macro="" textlink="">
            <xdr:nvSpPr>
              <xdr:cNvPr id="103" name="Right Arrow Callout 102"/>
              <xdr:cNvSpPr/>
            </xdr:nvSpPr>
            <xdr:spPr>
              <a:xfrm>
                <a:off x="35877500" y="10445750"/>
                <a:ext cx="2254249" cy="1026583"/>
              </a:xfrm>
              <a:prstGeom prst="rightArrowCallout">
                <a:avLst/>
              </a:prstGeom>
              <a:solidFill>
                <a:schemeClr val="bg1"/>
              </a:solidFill>
              <a:ln w="19050">
                <a:solidFill>
                  <a:schemeClr val="tx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en-US"/>
                </a:defPPr>
                <a:lvl1pPr marL="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en-GB" sz="1600">
                    <a:solidFill>
                      <a:sysClr val="windowText" lastClr="000000"/>
                    </a:solidFill>
                  </a:rPr>
                  <a:t>Slaughtered</a:t>
                </a:r>
                <a:r>
                  <a:rPr lang="en-GB" sz="1600" baseline="0">
                    <a:solidFill>
                      <a:sysClr val="windowText" lastClr="000000"/>
                    </a:solidFill>
                  </a:rPr>
                  <a:t>  Young Cattle</a:t>
                </a:r>
              </a:p>
              <a:p>
                <a:pPr algn="ctr"/>
                <a:r>
                  <a:rPr lang="en-GB" sz="1600" b="0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30 Gg</a:t>
                </a:r>
                <a:r>
                  <a:rPr lang="en-GB" sz="1800" b="0" i="0" u="none" strike="noStrike" kern="1200" baseline="0">
                    <a:solidFill>
                      <a:schemeClr val="lt1"/>
                    </a:solidFill>
                    <a:effectLst/>
                    <a:latin typeface="+mn-lt"/>
                    <a:ea typeface="+mn-ea"/>
                    <a:cs typeface="+mn-cs"/>
                  </a:rPr>
                  <a:t> </a:t>
                </a:r>
                <a:endParaRPr lang="en-GB" sz="1600">
                  <a:solidFill>
                    <a:sysClr val="windowText" lastClr="000000"/>
                  </a:solidFill>
                </a:endParaRPr>
              </a:p>
            </xdr:txBody>
          </xdr:sp>
          <xdr:grpSp>
            <xdr:nvGrpSpPr>
              <xdr:cNvPr id="104" name="Group 103"/>
              <xdr:cNvGrpSpPr/>
            </xdr:nvGrpSpPr>
            <xdr:grpSpPr>
              <a:xfrm>
                <a:off x="3391958" y="5365750"/>
                <a:ext cx="34835654" cy="8165399"/>
                <a:chOff x="3487208" y="5508625"/>
                <a:chExt cx="34835654" cy="8165399"/>
              </a:xfrm>
            </xdr:grpSpPr>
            <xdr:grpSp>
              <xdr:nvGrpSpPr>
                <xdr:cNvPr id="105" name="Group 104"/>
                <xdr:cNvGrpSpPr/>
              </xdr:nvGrpSpPr>
              <xdr:grpSpPr>
                <a:xfrm>
                  <a:off x="3487208" y="5582730"/>
                  <a:ext cx="34835654" cy="8091294"/>
                  <a:chOff x="3487208" y="5582730"/>
                  <a:chExt cx="34835654" cy="8091294"/>
                </a:xfrm>
              </xdr:grpSpPr>
              <xdr:cxnSp macro="">
                <xdr:nvCxnSpPr>
                  <xdr:cNvPr id="112" name="Straight Arrow Connector 90"/>
                  <xdr:cNvCxnSpPr/>
                </xdr:nvCxnSpPr>
                <xdr:spPr>
                  <a:xfrm>
                    <a:off x="18107126" y="6078540"/>
                    <a:ext cx="318174" cy="846780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13" name="Rectángulo 762"/>
                  <xdr:cNvSpPr/>
                </xdr:nvSpPr>
                <xdr:spPr>
                  <a:xfrm>
                    <a:off x="18682152" y="5597525"/>
                    <a:ext cx="914385" cy="443982"/>
                  </a:xfrm>
                  <a:prstGeom prst="rect">
                    <a:avLst/>
                  </a:prstGeom>
                  <a:noFill/>
                  <a:ln w="28575">
                    <a:solidFill>
                      <a:srgbClr val="0070C0"/>
                    </a:solidFill>
                  </a:ln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ctr"/>
                    <a:r>
                      <a:rPr lang="en-GB" sz="1100"/>
                      <a:t>Roughages</a:t>
                    </a:r>
                  </a:p>
                  <a:p>
                    <a:pPr algn="ctr"/>
                    <a:r>
                      <a:rPr lang="en-GB" sz="1100"/>
                      <a:t>0.14</a:t>
                    </a:r>
                    <a:r>
                      <a:rPr lang="en-GB" sz="1100" baseline="0"/>
                      <a:t> </a:t>
                    </a:r>
                    <a:r>
                      <a:rPr lang="en-GB" sz="1100"/>
                      <a:t>Tg</a:t>
                    </a:r>
                  </a:p>
                </xdr:txBody>
              </xdr:sp>
              <xdr:sp macro="" textlink="">
                <xdr:nvSpPr>
                  <xdr:cNvPr id="114" name="Rectángulo 762"/>
                  <xdr:cNvSpPr/>
                </xdr:nvSpPr>
                <xdr:spPr>
                  <a:xfrm>
                    <a:off x="17368762" y="5582730"/>
                    <a:ext cx="1129153" cy="473585"/>
                  </a:xfrm>
                  <a:prstGeom prst="rect">
                    <a:avLst/>
                  </a:prstGeom>
                  <a:noFill/>
                  <a:ln w="28575">
                    <a:solidFill>
                      <a:srgbClr val="0070C0"/>
                    </a:solidFill>
                  </a:ln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ctr"/>
                    <a:r>
                      <a:rPr lang="en-GB" sz="1100"/>
                      <a:t>Grains</a:t>
                    </a:r>
                  </a:p>
                  <a:p>
                    <a:pPr algn="ctr"/>
                    <a:r>
                      <a:rPr lang="en-GB" sz="1100"/>
                      <a:t>0.012Tg</a:t>
                    </a:r>
                  </a:p>
                </xdr:txBody>
              </xdr:sp>
              <xdr:cxnSp macro="">
                <xdr:nvCxnSpPr>
                  <xdr:cNvPr id="115" name="Straight Arrow Connector 91"/>
                  <xdr:cNvCxnSpPr>
                    <a:stCxn id="113" idx="2"/>
                  </xdr:cNvCxnSpPr>
                </xdr:nvCxnSpPr>
                <xdr:spPr>
                  <a:xfrm flipH="1">
                    <a:off x="18654632" y="6041507"/>
                    <a:ext cx="477525" cy="854101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sp macro="" textlink="">
                <xdr:nvSpPr>
                  <xdr:cNvPr id="116" name="Rectángulo 762"/>
                  <xdr:cNvSpPr/>
                </xdr:nvSpPr>
                <xdr:spPr>
                  <a:xfrm>
                    <a:off x="16773525" y="6231047"/>
                    <a:ext cx="1070523" cy="624685"/>
                  </a:xfrm>
                  <a:prstGeom prst="rect">
                    <a:avLst/>
                  </a:prstGeom>
                  <a:noFill/>
                  <a:ln w="28575">
                    <a:solidFill>
                      <a:srgbClr val="0070C0"/>
                    </a:solidFill>
                  </a:ln>
                </xdr:spPr>
                <xdr:style>
                  <a:lnRef idx="2">
                    <a:schemeClr val="accent1"/>
                  </a:lnRef>
                  <a:fillRef idx="1">
                    <a:schemeClr val="lt1"/>
                  </a:fillRef>
                  <a:effectRef idx="0">
                    <a:schemeClr val="accent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ctr"/>
                    <a:r>
                      <a:rPr lang="en-GB" sz="1100"/>
                      <a:t>Industrial By-products</a:t>
                    </a:r>
                  </a:p>
                  <a:p>
                    <a:pPr algn="ctr"/>
                    <a:r>
                      <a:rPr lang="en-GB" sz="1100"/>
                      <a:t>0.0011Tg</a:t>
                    </a:r>
                  </a:p>
                  <a:p>
                    <a:pPr algn="ctr"/>
                    <a:endParaRPr lang="en-GB" sz="1100"/>
                  </a:p>
                </xdr:txBody>
              </xdr:sp>
              <xdr:cxnSp macro="">
                <xdr:nvCxnSpPr>
                  <xdr:cNvPr id="117" name="Rechte verbindingslijn met pijl 70"/>
                  <xdr:cNvCxnSpPr>
                    <a:stCxn id="116" idx="3"/>
                  </xdr:cNvCxnSpPr>
                </xdr:nvCxnSpPr>
                <xdr:spPr>
                  <a:xfrm>
                    <a:off x="17844048" y="6543390"/>
                    <a:ext cx="416152" cy="359705"/>
                  </a:xfrm>
                  <a:prstGeom prst="straightConnector1">
                    <a:avLst/>
                  </a:prstGeom>
                  <a:ln>
                    <a:tailEnd type="triangle"/>
                  </a:ln>
                </xdr:spPr>
                <xdr:style>
                  <a:lnRef idx="1">
                    <a:schemeClr val="accent1"/>
                  </a:lnRef>
                  <a:fillRef idx="0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tx1"/>
                  </a:fontRef>
                </xdr:style>
              </xdr:cxnSp>
              <xdr:grpSp>
                <xdr:nvGrpSpPr>
                  <xdr:cNvPr id="118" name="Group 117"/>
                  <xdr:cNvGrpSpPr/>
                </xdr:nvGrpSpPr>
                <xdr:grpSpPr>
                  <a:xfrm>
                    <a:off x="3487208" y="5604955"/>
                    <a:ext cx="34835654" cy="8069069"/>
                    <a:chOff x="3487208" y="5604955"/>
                    <a:chExt cx="34835654" cy="8069069"/>
                  </a:xfrm>
                </xdr:grpSpPr>
                <xdr:sp macro="" textlink="">
                  <xdr:nvSpPr>
                    <xdr:cNvPr id="119" name="Right Arrow Callout 118"/>
                    <xdr:cNvSpPr/>
                  </xdr:nvSpPr>
                  <xdr:spPr>
                    <a:xfrm>
                      <a:off x="13012208" y="9461500"/>
                      <a:ext cx="2238374" cy="1026583"/>
                    </a:xfrm>
                    <a:prstGeom prst="rightArrowCallout">
                      <a:avLst/>
                    </a:prstGeom>
                    <a:solidFill>
                      <a:schemeClr val="bg1"/>
                    </a:solidFill>
                    <a:ln w="19050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GB"/>
                    </a:p>
                  </xdr:txBody>
                </xdr:sp>
                <xdr:sp macro="" textlink="">
                  <xdr:nvSpPr>
                    <xdr:cNvPr id="120" name="Right Arrow Callout 119"/>
                    <xdr:cNvSpPr/>
                  </xdr:nvSpPr>
                  <xdr:spPr>
                    <a:xfrm>
                      <a:off x="3487208" y="9271000"/>
                      <a:ext cx="2410150" cy="1004974"/>
                    </a:xfrm>
                    <a:prstGeom prst="rightArrowCallout">
                      <a:avLst/>
                    </a:prstGeom>
                    <a:solidFill>
                      <a:schemeClr val="bg1"/>
                    </a:solidFill>
                    <a:ln w="19050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endParaRPr lang="en-GB"/>
                    </a:p>
                  </xdr:txBody>
                </xdr:sp>
                <xdr:grpSp>
                  <xdr:nvGrpSpPr>
                    <xdr:cNvPr id="121" name="Group 120"/>
                    <xdr:cNvGrpSpPr/>
                  </xdr:nvGrpSpPr>
                  <xdr:grpSpPr>
                    <a:xfrm>
                      <a:off x="15804619" y="6383869"/>
                      <a:ext cx="22518243" cy="7290155"/>
                      <a:chOff x="13942124" y="-12698"/>
                      <a:chExt cx="21606129" cy="7290155"/>
                    </a:xfrm>
                  </xdr:grpSpPr>
                  <xdr:sp macro="" textlink="">
                    <xdr:nvSpPr>
                      <xdr:cNvPr id="161" name="Rectangle 160"/>
                      <xdr:cNvSpPr/>
                    </xdr:nvSpPr>
                    <xdr:spPr>
                      <a:xfrm>
                        <a:off x="28025725" y="2314504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4F81BD">
                            <a:shade val="50000"/>
                          </a:srgbClr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62" name="Rectangle 161"/>
                      <xdr:cNvSpPr/>
                    </xdr:nvSpPr>
                    <xdr:spPr>
                      <a:xfrm>
                        <a:off x="30635575" y="3790244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FFC00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63" name="Rectangle 162"/>
                      <xdr:cNvSpPr/>
                    </xdr:nvSpPr>
                    <xdr:spPr>
                      <a:xfrm>
                        <a:off x="28051760" y="3793419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00B05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64" name="Rectangle 163"/>
                      <xdr:cNvSpPr/>
                    </xdr:nvSpPr>
                    <xdr:spPr>
                      <a:xfrm>
                        <a:off x="30635575" y="2320854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C0000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65" name="Rectangle 164"/>
                      <xdr:cNvSpPr>
                        <a:spLocks noChangeArrowheads="1"/>
                      </xdr:cNvSpPr>
                    </xdr:nvSpPr>
                    <xdr:spPr bwMode="auto">
                      <a:xfrm>
                        <a:off x="28794075" y="3001890"/>
                        <a:ext cx="3683000" cy="1001713"/>
                      </a:xfrm>
                      <a:prstGeom prst="rect">
                        <a:avLst/>
                      </a:prstGeom>
                      <a:solidFill>
                        <a:srgbClr val="FFFFFF"/>
                      </a:solidFill>
                      <a:ln w="3175">
                        <a:solidFill>
                          <a:srgbClr val="00B050"/>
                        </a:solidFill>
                        <a:miter lim="800000"/>
                        <a:headEnd/>
                        <a:tailEnd/>
                      </a:ln>
                    </xdr:spPr>
                    <xdr:txBody>
                      <a:bodyPr vert="horz" wrap="square" lIns="91440" tIns="45720" rIns="91440" bIns="45720" numCol="1" anchor="ctr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marL="0" marR="0" lvl="0" indent="0" algn="ctr" defTabSz="914400" rtl="0" eaLnBrk="0" fontAlgn="base" latinLnBrk="0" hangingPunct="0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kumimoji="0" lang="en-GB" altLang="en-US" sz="1800" b="0" i="0" u="none" strike="noStrike" cap="none" normalizeH="0" baseline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latin typeface="Calibri" panose="020F0502020204030204" pitchFamily="34" charset="0"/>
                            <a:cs typeface="Times New Roman" panose="02020603050405020304" pitchFamily="18" charset="0"/>
                          </a:rPr>
                          <a:t> Young Cattle</a:t>
                        </a:r>
                      </a:p>
                      <a:p>
                        <a:pPr marL="0" marR="0" lvl="0" indent="0" algn="ctr" defTabSz="914400" rtl="0" eaLnBrk="0" fontAlgn="base" latinLnBrk="0" hangingPunct="0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kumimoji="0" lang="en-GB" altLang="en-US" sz="1800" b="0" i="0" u="none" strike="noStrike" cap="none" normalizeH="0" baseline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latin typeface="Calibri" panose="020F0502020204030204" pitchFamily="34" charset="0"/>
                            <a:cs typeface="Times New Roman" panose="02020603050405020304" pitchFamily="18" charset="0"/>
                          </a:rPr>
                          <a:t>1-2yrs</a:t>
                        </a:r>
                        <a:endParaRPr kumimoji="0" lang="en-GB" altLang="en-US" sz="1800" b="0" i="0" u="none" strike="noStrike" cap="none" normalizeH="0" baseline="0">
                          <a:ln>
                            <a:noFill/>
                          </a:ln>
                          <a:solidFill>
                            <a:schemeClr val="tx1"/>
                          </a:solidFill>
                          <a:effectLst/>
                          <a:latin typeface="Arial" panose="020B0604020202020204" pitchFamily="34" charset="0"/>
                        </a:endParaRPr>
                      </a:p>
                    </xdr:txBody>
                  </xdr:sp>
                  <xdr:sp macro="" textlink="">
                    <xdr:nvSpPr>
                      <xdr:cNvPr id="166" name="TextBox 165"/>
                      <xdr:cNvSpPr txBox="1"/>
                    </xdr:nvSpPr>
                    <xdr:spPr>
                      <a:xfrm>
                        <a:off x="19109755" y="173786"/>
                        <a:ext cx="869800" cy="938522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HA</a:t>
                        </a:r>
                      </a:p>
                      <a:p>
                        <a:r>
                          <a:rPr lang="en-GB" sz="1600"/>
                          <a:t>3.45</a:t>
                        </a:r>
                        <a:r>
                          <a:rPr lang="en-GB" sz="1600" baseline="0"/>
                          <a:t> </a:t>
                        </a:r>
                        <a:r>
                          <a:rPr lang="en-GB" sz="1600"/>
                          <a:t>Ghours</a:t>
                        </a:r>
                      </a:p>
                      <a:p>
                        <a:r>
                          <a:rPr lang="en-GB" sz="1300" b="1" i="0" u="none" strike="noStrike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 </a:t>
                        </a:r>
                        <a:r>
                          <a:rPr lang="en-GB" sz="1300"/>
                          <a:t> </a:t>
                        </a:r>
                      </a:p>
                    </xdr:txBody>
                  </xdr:sp>
                  <xdr:sp macro="" textlink="">
                    <xdr:nvSpPr>
                      <xdr:cNvPr id="167" name="TextBox 166"/>
                      <xdr:cNvSpPr txBox="1"/>
                    </xdr:nvSpPr>
                    <xdr:spPr>
                      <a:xfrm>
                        <a:off x="20008954" y="281518"/>
                        <a:ext cx="920750" cy="889598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Animal Fund</a:t>
                        </a:r>
                        <a:r>
                          <a:rPr lang="en-GB" sz="1100" b="0" i="0" u="none" strike="noStrike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 </a:t>
                        </a:r>
                      </a:p>
                      <a:p>
                        <a:r>
                          <a:rPr lang="en-GB" sz="1100" b="0" i="0" u="none" strike="noStrike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a:t>20.25 Gg</a:t>
                        </a:r>
                      </a:p>
                    </xdr:txBody>
                  </xdr:sp>
                  <xdr:sp macro="" textlink="">
                    <xdr:nvSpPr>
                      <xdr:cNvPr id="168" name="TextBox 167"/>
                      <xdr:cNvSpPr txBox="1"/>
                    </xdr:nvSpPr>
                    <xdr:spPr>
                      <a:xfrm>
                        <a:off x="21091181" y="275921"/>
                        <a:ext cx="1175595" cy="849993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Land Use</a:t>
                        </a:r>
                      </a:p>
                      <a:p>
                        <a:r>
                          <a:rPr lang="en-GB" sz="1600" baseline="0"/>
                          <a:t>1481 Km2 </a:t>
                        </a:r>
                      </a:p>
                    </xdr:txBody>
                  </xdr:sp>
                  <xdr:sp macro="" textlink="">
                    <xdr:nvSpPr>
                      <xdr:cNvPr id="169" name="Shape 9"/>
                      <xdr:cNvSpPr/>
                    </xdr:nvSpPr>
                    <xdr:spPr>
                      <a:xfrm rot="5400000">
                        <a:off x="18871139" y="1565275"/>
                        <a:ext cx="1195919" cy="309033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70" name="Shape 9"/>
                      <xdr:cNvSpPr/>
                    </xdr:nvSpPr>
                    <xdr:spPr>
                      <a:xfrm rot="5400000">
                        <a:off x="19802473" y="1628774"/>
                        <a:ext cx="1111250" cy="309033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71" name="Rectangle 170"/>
                      <xdr:cNvSpPr/>
                    </xdr:nvSpPr>
                    <xdr:spPr>
                      <a:xfrm>
                        <a:off x="16357600" y="2337200"/>
                        <a:ext cx="2346113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4F81BD">
                            <a:shade val="50000"/>
                          </a:srgbClr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72" name="Rectangle 171"/>
                      <xdr:cNvSpPr/>
                    </xdr:nvSpPr>
                    <xdr:spPr>
                      <a:xfrm>
                        <a:off x="18967450" y="3812940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FFC00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73" name="Rectangle 172"/>
                      <xdr:cNvSpPr/>
                    </xdr:nvSpPr>
                    <xdr:spPr>
                      <a:xfrm>
                        <a:off x="16383635" y="3816115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00B05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74" name="Rectangle 173"/>
                      <xdr:cNvSpPr/>
                    </xdr:nvSpPr>
                    <xdr:spPr>
                      <a:xfrm>
                        <a:off x="18967450" y="2343550"/>
                        <a:ext cx="2335530" cy="121475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38100" cap="flat" cmpd="sng" algn="ctr">
                        <a:solidFill>
                          <a:srgbClr val="C00000"/>
                        </a:solidFill>
                        <a:prstDash val="solid"/>
                      </a:ln>
                      <a:effectLst/>
                    </xdr:spPr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endParaRPr lang="en-GB"/>
                      </a:p>
                    </xdr:txBody>
                  </xdr:sp>
                  <xdr:sp macro="" textlink="">
                    <xdr:nvSpPr>
                      <xdr:cNvPr id="175" name="Rectangle 174"/>
                      <xdr:cNvSpPr>
                        <a:spLocks noChangeArrowheads="1"/>
                      </xdr:cNvSpPr>
                    </xdr:nvSpPr>
                    <xdr:spPr bwMode="auto">
                      <a:xfrm>
                        <a:off x="17059275" y="3072211"/>
                        <a:ext cx="3683000" cy="1001713"/>
                      </a:xfrm>
                      <a:prstGeom prst="rect">
                        <a:avLst/>
                      </a:prstGeom>
                      <a:solidFill>
                        <a:srgbClr val="FFFFFF"/>
                      </a:solidFill>
                      <a:ln w="3175">
                        <a:solidFill>
                          <a:srgbClr val="00B050"/>
                        </a:solidFill>
                        <a:miter lim="800000"/>
                        <a:headEnd/>
                        <a:tailEnd/>
                      </a:ln>
                    </xdr:spPr>
                    <xdr:txBody>
                      <a:bodyPr vert="horz" wrap="square" lIns="91440" tIns="45720" rIns="91440" bIns="45720" numCol="1" anchor="ctr" anchorCtr="0" compatLnSpc="1">
                        <a:prstTxWarp prst="textNoShape">
                          <a:avLst/>
                        </a:prstTxWarp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ysClr val="windowText" lastClr="000000"/>
                            </a:solidFill>
                            <a:latin typeface="Calibri" panose="020F0502020204030204"/>
                          </a:defRPr>
                        </a:lvl9pPr>
                      </a:lstStyle>
                      <a:p>
                        <a:pPr marL="0" marR="0" lvl="0" indent="0" algn="ctr" defTabSz="914400" rtl="0" eaLnBrk="0" fontAlgn="base" latinLnBrk="0" hangingPunct="0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r>
                          <a:rPr kumimoji="0" lang="en-GB" altLang="en-US" sz="1800" b="0" i="0" u="none" strike="noStrike" cap="none" normalizeH="0" baseline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latin typeface="Calibri" panose="020F0502020204030204" pitchFamily="34" charset="0"/>
                            <a:ea typeface="Times New Roman" panose="02020603050405020304" pitchFamily="18" charset="0"/>
                            <a:cs typeface="Times New Roman" panose="02020603050405020304" pitchFamily="18" charset="0"/>
                          </a:rPr>
                          <a:t>Calves &lt; 1yrs</a:t>
                        </a:r>
                      </a:p>
                      <a:p>
                        <a:pPr marL="0" marR="0" lvl="0" indent="0" algn="ctr" defTabSz="914400" rtl="0" eaLnBrk="0" fontAlgn="base" latinLnBrk="0" hangingPunct="0">
                          <a:lnSpc>
                            <a:spcPct val="100000"/>
                          </a:lnSpc>
                          <a:spcBef>
                            <a:spcPct val="0"/>
                          </a:spcBef>
                          <a:spcAft>
                            <a:spcPct val="0"/>
                          </a:spcAft>
                          <a:buClrTx/>
                          <a:buSzTx/>
                          <a:buFontTx/>
                          <a:buNone/>
                          <a:tabLst/>
                        </a:pPr>
                        <a:endParaRPr kumimoji="0" lang="en-GB" altLang="en-US" sz="1800" b="0" i="0" u="none" strike="noStrike" cap="none" normalizeH="0" baseline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latin typeface="Arial" panose="020B0604020202020204" pitchFamily="34" charset="0"/>
                        </a:endParaRPr>
                      </a:p>
                    </xdr:txBody>
                  </xdr:sp>
                  <xdr:sp macro="" textlink="">
                    <xdr:nvSpPr>
                      <xdr:cNvPr id="176" name="Shape 9"/>
                      <xdr:cNvSpPr/>
                    </xdr:nvSpPr>
                    <xdr:spPr>
                      <a:xfrm rot="5400000">
                        <a:off x="20776141" y="1628774"/>
                        <a:ext cx="1111250" cy="309033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77" name="TextBox 12"/>
                      <xdr:cNvSpPr txBox="1"/>
                    </xdr:nvSpPr>
                    <xdr:spPr>
                      <a:xfrm>
                        <a:off x="16131001" y="546796"/>
                        <a:ext cx="799157" cy="342786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Feed </a:t>
                        </a:r>
                      </a:p>
                    </xdr:txBody>
                  </xdr:sp>
                  <xdr:sp macro="" textlink="">
                    <xdr:nvSpPr>
                      <xdr:cNvPr id="178" name="TextBox 18"/>
                      <xdr:cNvSpPr txBox="1"/>
                    </xdr:nvSpPr>
                    <xdr:spPr>
                      <a:xfrm>
                        <a:off x="17019852" y="455083"/>
                        <a:ext cx="808747" cy="629597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400"/>
                          <a:t>Blue Water</a:t>
                        </a:r>
                      </a:p>
                      <a:p>
                        <a:r>
                          <a:rPr lang="en-GB" sz="1400"/>
                          <a:t>0.2 TL</a:t>
                        </a:r>
                      </a:p>
                    </xdr:txBody>
                  </xdr:sp>
                  <xdr:sp macro="" textlink="">
                    <xdr:nvSpPr>
                      <xdr:cNvPr id="179" name="TextBox 40"/>
                      <xdr:cNvSpPr txBox="1"/>
                    </xdr:nvSpPr>
                    <xdr:spPr>
                      <a:xfrm>
                        <a:off x="17917123" y="540808"/>
                        <a:ext cx="1191124" cy="334068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0" cmpd="sng">
                        <a:solidFill>
                          <a:srgbClr val="0070C0"/>
                        </a:solidFill>
                      </a:ln>
                    </xdr:spPr>
                    <xdr:txBody>
                      <a:bodyPr wrap="square" rtlCol="0"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Antibiotics</a:t>
                        </a:r>
                      </a:p>
                    </xdr:txBody>
                  </xdr:sp>
                  <xdr:sp macro="" textlink="">
                    <xdr:nvSpPr>
                      <xdr:cNvPr id="180" name="Shape 8"/>
                      <xdr:cNvSpPr/>
                    </xdr:nvSpPr>
                    <xdr:spPr>
                      <a:xfrm rot="5400000">
                        <a:off x="15905161" y="1429279"/>
                        <a:ext cx="1238250" cy="299509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81" name="Shape 8"/>
                      <xdr:cNvSpPr/>
                    </xdr:nvSpPr>
                    <xdr:spPr>
                      <a:xfrm rot="5400000">
                        <a:off x="16814798" y="1470025"/>
                        <a:ext cx="1190625" cy="284691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82" name="Shape 8"/>
                      <xdr:cNvSpPr/>
                    </xdr:nvSpPr>
                    <xdr:spPr>
                      <a:xfrm rot="5400000">
                        <a:off x="17772061" y="1429279"/>
                        <a:ext cx="1314450" cy="299509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83" name="TextBox 12"/>
                      <xdr:cNvSpPr txBox="1"/>
                    </xdr:nvSpPr>
                    <xdr:spPr>
                      <a:xfrm>
                        <a:off x="14911916" y="626533"/>
                        <a:ext cx="799155" cy="708418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Energy</a:t>
                        </a:r>
                        <a:r>
                          <a:rPr lang="en-GB" sz="1600" baseline="0"/>
                          <a:t> Use</a:t>
                        </a:r>
                      </a:p>
                      <a:p>
                        <a:r>
                          <a:rPr lang="en-GB" sz="1600" baseline="0"/>
                          <a:t>5070 TJ</a:t>
                        </a:r>
                        <a:endParaRPr lang="en-GB" sz="1600"/>
                      </a:p>
                    </xdr:txBody>
                  </xdr:sp>
                  <xdr:cxnSp macro="">
                    <xdr:nvCxnSpPr>
                      <xdr:cNvPr id="184" name="Elbow Connector 183"/>
                      <xdr:cNvCxnSpPr>
                        <a:stCxn id="183" idx="2"/>
                      </xdr:cNvCxnSpPr>
                    </xdr:nvCxnSpPr>
                    <xdr:spPr>
                      <a:xfrm rot="16200000" flipH="1">
                        <a:off x="15344737" y="1301708"/>
                        <a:ext cx="939403" cy="1005888"/>
                      </a:xfrm>
                      <a:prstGeom prst="bentConnector2">
                        <a:avLst/>
                      </a:prstGeom>
                      <a:ln w="31750" cmpd="sng">
                        <a:solidFill>
                          <a:schemeClr val="accent5">
                            <a:lumMod val="75000"/>
                          </a:schemeClr>
                        </a:solidFill>
                        <a:tailEnd type="triangle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185" name="TextBox 12"/>
                      <xdr:cNvSpPr txBox="1"/>
                    </xdr:nvSpPr>
                    <xdr:spPr>
                      <a:xfrm>
                        <a:off x="27836169" y="525629"/>
                        <a:ext cx="809739" cy="342786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Feed </a:t>
                        </a:r>
                      </a:p>
                    </xdr:txBody>
                  </xdr:sp>
                  <xdr:sp macro="" textlink="">
                    <xdr:nvSpPr>
                      <xdr:cNvPr id="186" name="TextBox 18"/>
                      <xdr:cNvSpPr txBox="1"/>
                    </xdr:nvSpPr>
                    <xdr:spPr>
                      <a:xfrm>
                        <a:off x="28735602" y="433916"/>
                        <a:ext cx="808748" cy="629597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400"/>
                          <a:t>Blue Water</a:t>
                        </a:r>
                      </a:p>
                      <a:p>
                        <a:r>
                          <a:rPr lang="en-GB" sz="1400"/>
                          <a:t>0.04 TL</a:t>
                        </a:r>
                      </a:p>
                    </xdr:txBody>
                  </xdr:sp>
                  <xdr:sp macro="" textlink="">
                    <xdr:nvSpPr>
                      <xdr:cNvPr id="187" name="TextBox 40"/>
                      <xdr:cNvSpPr txBox="1"/>
                    </xdr:nvSpPr>
                    <xdr:spPr>
                      <a:xfrm>
                        <a:off x="29622291" y="519641"/>
                        <a:ext cx="1191123" cy="334068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0" cmpd="sng">
                        <a:solidFill>
                          <a:srgbClr val="0070C0"/>
                        </a:solidFill>
                      </a:ln>
                    </xdr:spPr>
                    <xdr:txBody>
                      <a:bodyPr wrap="square" rtlCol="0"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Antibiotics</a:t>
                        </a:r>
                      </a:p>
                    </xdr:txBody>
                  </xdr:sp>
                  <xdr:sp macro="" textlink="">
                    <xdr:nvSpPr>
                      <xdr:cNvPr id="188" name="Shape 8"/>
                      <xdr:cNvSpPr/>
                    </xdr:nvSpPr>
                    <xdr:spPr>
                      <a:xfrm rot="5400000">
                        <a:off x="27615620" y="1413404"/>
                        <a:ext cx="1238250" cy="28892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89" name="Shape 8"/>
                      <xdr:cNvSpPr/>
                    </xdr:nvSpPr>
                    <xdr:spPr>
                      <a:xfrm rot="5400000">
                        <a:off x="28525257" y="1443566"/>
                        <a:ext cx="1190625" cy="29527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0" name="Shape 8"/>
                      <xdr:cNvSpPr/>
                    </xdr:nvSpPr>
                    <xdr:spPr>
                      <a:xfrm rot="5400000">
                        <a:off x="29482520" y="1413404"/>
                        <a:ext cx="1314450" cy="28892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chemeClr val="accent5">
                          <a:lumMod val="75000"/>
                        </a:schemeClr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1" name="TextBox 12"/>
                      <xdr:cNvSpPr txBox="1"/>
                    </xdr:nvSpPr>
                    <xdr:spPr>
                      <a:xfrm>
                        <a:off x="26617083" y="605366"/>
                        <a:ext cx="809739" cy="708418"/>
                      </a:xfrm>
                      <a:prstGeom prst="rect">
                        <a:avLst/>
                      </a:prstGeom>
                      <a:ln>
                        <a:solidFill>
                          <a:srgbClr val="0070C0"/>
                        </a:solidFill>
                      </a:ln>
                    </xdr:spPr>
                    <xdr:style>
                      <a:lnRef idx="2">
                        <a:schemeClr val="accent1"/>
                      </a:lnRef>
                      <a:fillRef idx="1">
                        <a:schemeClr val="lt1"/>
                      </a:fillRef>
                      <a:effectRef idx="0">
                        <a:schemeClr val="accent1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Energy Use</a:t>
                        </a:r>
                      </a:p>
                      <a:p>
                        <a:r>
                          <a:rPr lang="en-GB" sz="1600"/>
                          <a:t>844 TJ</a:t>
                        </a:r>
                      </a:p>
                    </xdr:txBody>
                  </xdr:sp>
                  <xdr:cxnSp macro="">
                    <xdr:nvCxnSpPr>
                      <xdr:cNvPr id="192" name="Elbow Connector 191"/>
                      <xdr:cNvCxnSpPr>
                        <a:stCxn id="191" idx="2"/>
                      </xdr:cNvCxnSpPr>
                    </xdr:nvCxnSpPr>
                    <xdr:spPr>
                      <a:xfrm rot="16200000" flipH="1">
                        <a:off x="27057840" y="1277897"/>
                        <a:ext cx="939405" cy="1011180"/>
                      </a:xfrm>
                      <a:prstGeom prst="bentConnector2">
                        <a:avLst/>
                      </a:prstGeom>
                      <a:ln w="31750" cmpd="sng">
                        <a:solidFill>
                          <a:schemeClr val="accent5">
                            <a:lumMod val="75000"/>
                          </a:schemeClr>
                        </a:solidFill>
                        <a:tailEnd type="triangle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sp macro="" textlink="">
                    <xdr:nvSpPr>
                      <xdr:cNvPr id="193" name="TextBox 192"/>
                      <xdr:cNvSpPr txBox="1"/>
                    </xdr:nvSpPr>
                    <xdr:spPr>
                      <a:xfrm>
                        <a:off x="30890336" y="-12698"/>
                        <a:ext cx="733252" cy="1043364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HA</a:t>
                        </a:r>
                      </a:p>
                      <a:p>
                        <a:r>
                          <a:rPr lang="en-GB" sz="1600"/>
                          <a:t>0.33 Ghours</a:t>
                        </a:r>
                      </a:p>
                    </xdr:txBody>
                  </xdr:sp>
                  <xdr:sp macro="" textlink="">
                    <xdr:nvSpPr>
                      <xdr:cNvPr id="194" name="TextBox 193"/>
                      <xdr:cNvSpPr txBox="1"/>
                    </xdr:nvSpPr>
                    <xdr:spPr>
                      <a:xfrm>
                        <a:off x="31636758" y="218016"/>
                        <a:ext cx="931332" cy="895951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Animal Fund</a:t>
                        </a:r>
                        <a:r>
                          <a:rPr lang="en-GB" sz="1600" baseline="0"/>
                          <a:t> </a:t>
                        </a:r>
                      </a:p>
                      <a:p>
                        <a:r>
                          <a:rPr lang="en-GB" sz="1600" baseline="0"/>
                          <a:t>1.94 Gg</a:t>
                        </a:r>
                      </a:p>
                    </xdr:txBody>
                  </xdr:sp>
                  <xdr:sp macro="" textlink="">
                    <xdr:nvSpPr>
                      <xdr:cNvPr id="195" name="TextBox 194"/>
                      <xdr:cNvSpPr txBox="1"/>
                    </xdr:nvSpPr>
                    <xdr:spPr>
                      <a:xfrm>
                        <a:off x="32746185" y="249011"/>
                        <a:ext cx="1034671" cy="904117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C00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Land Use</a:t>
                        </a:r>
                        <a:r>
                          <a:rPr lang="en-GB" sz="1600" baseline="0"/>
                          <a:t> </a:t>
                        </a:r>
                      </a:p>
                      <a:p>
                        <a:r>
                          <a:rPr lang="en-GB" sz="1600" baseline="0"/>
                          <a:t>142 Km2</a:t>
                        </a:r>
                        <a:endParaRPr lang="en-GB" sz="1600"/>
                      </a:p>
                    </xdr:txBody>
                  </xdr:sp>
                  <xdr:sp macro="" textlink="">
                    <xdr:nvSpPr>
                      <xdr:cNvPr id="196" name="Shape 9"/>
                      <xdr:cNvSpPr/>
                    </xdr:nvSpPr>
                    <xdr:spPr>
                      <a:xfrm rot="5400000">
                        <a:off x="30601704" y="1497544"/>
                        <a:ext cx="1195919" cy="309033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7" name="Shape 9"/>
                      <xdr:cNvSpPr/>
                    </xdr:nvSpPr>
                    <xdr:spPr>
                      <a:xfrm rot="5400000">
                        <a:off x="31527746" y="1566335"/>
                        <a:ext cx="1111250" cy="298449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8" name="Shape 9"/>
                      <xdr:cNvSpPr/>
                    </xdr:nvSpPr>
                    <xdr:spPr>
                      <a:xfrm rot="5400000">
                        <a:off x="32501414" y="1566335"/>
                        <a:ext cx="1111250" cy="298450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C00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199" name="TextBox 198"/>
                      <xdr:cNvSpPr txBox="1"/>
                    </xdr:nvSpPr>
                    <xdr:spPr>
                      <a:xfrm>
                        <a:off x="16255999" y="5792258"/>
                        <a:ext cx="1500717" cy="390525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chemeClr val="accent6">
                            <a:lumMod val="75000"/>
                          </a:schemeClr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Green water </a:t>
                        </a:r>
                      </a:p>
                    </xdr:txBody>
                  </xdr:sp>
                  <xdr:sp macro="" textlink="">
                    <xdr:nvSpPr>
                      <xdr:cNvPr id="200" name="Shape 10"/>
                      <xdr:cNvSpPr/>
                    </xdr:nvSpPr>
                    <xdr:spPr>
                      <a:xfrm rot="-5400000">
                        <a:off x="16349133" y="5035550"/>
                        <a:ext cx="1076325" cy="360892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548135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201" name="Shape 11"/>
                      <xdr:cNvSpPr/>
                    </xdr:nvSpPr>
                    <xdr:spPr>
                      <a:xfrm rot="5400000">
                        <a:off x="18619818" y="4888442"/>
                        <a:ext cx="1076325" cy="29527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202" name="Shape 11"/>
                      <xdr:cNvSpPr/>
                    </xdr:nvSpPr>
                    <xdr:spPr>
                      <a:xfrm rot="5400000">
                        <a:off x="19671801" y="4886325"/>
                        <a:ext cx="1076325" cy="299509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203" name="TextBox 202"/>
                      <xdr:cNvSpPr txBox="1"/>
                    </xdr:nvSpPr>
                    <xdr:spPr>
                      <a:xfrm>
                        <a:off x="18510250" y="5700541"/>
                        <a:ext cx="1177924" cy="838200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FFC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GHG</a:t>
                        </a:r>
                        <a:endParaRPr lang="en-GB" sz="1600" baseline="0"/>
                      </a:p>
                      <a:p>
                        <a:r>
                          <a:rPr lang="en-GB" sz="1600" baseline="0"/>
                          <a:t>(N2O, CH4, CO2)</a:t>
                        </a:r>
                        <a:endParaRPr lang="en-GB" sz="1600"/>
                      </a:p>
                    </xdr:txBody>
                  </xdr:sp>
                  <xdr:sp macro="" textlink="">
                    <xdr:nvSpPr>
                      <xdr:cNvPr id="204" name="TextBox 203"/>
                      <xdr:cNvSpPr txBox="1"/>
                    </xdr:nvSpPr>
                    <xdr:spPr>
                      <a:xfrm>
                        <a:off x="19792950" y="5729116"/>
                        <a:ext cx="1139826" cy="600075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FFC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Antibiotics</a:t>
                        </a:r>
                      </a:p>
                    </xdr:txBody>
                  </xdr:sp>
                  <xdr:sp macro="" textlink="">
                    <xdr:nvSpPr>
                      <xdr:cNvPr id="205" name="Shape 11"/>
                      <xdr:cNvSpPr/>
                    </xdr:nvSpPr>
                    <xdr:spPr>
                      <a:xfrm rot="5400000">
                        <a:off x="20065471" y="5424845"/>
                        <a:ext cx="2057400" cy="284691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lvl="0" indent="0" algn="l">
                          <a:spcBef>
                            <a:spcPts val="0"/>
                          </a:spcBef>
                          <a:buNone/>
                        </a:pPr>
                        <a:endParaRPr sz="1100"/>
                      </a:p>
                    </xdr:txBody>
                  </xdr:sp>
                  <xdr:sp macro="" textlink="">
                    <xdr:nvSpPr>
                      <xdr:cNvPr id="206" name="TextBox 205"/>
                      <xdr:cNvSpPr txBox="1"/>
                    </xdr:nvSpPr>
                    <xdr:spPr>
                      <a:xfrm>
                        <a:off x="20576118" y="6624466"/>
                        <a:ext cx="1150407" cy="600075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solidFill>
                          <a:srgbClr val="FFC000"/>
                        </a:solidFill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Manure</a:t>
                        </a:r>
                      </a:p>
                      <a:p>
                        <a:r>
                          <a:rPr lang="en-GB" sz="1600"/>
                          <a:t>0.54 Tg</a:t>
                        </a:r>
                      </a:p>
                    </xdr:txBody>
                  </xdr:sp>
                  <xdr:sp macro="" textlink="">
                    <xdr:nvSpPr>
                      <xdr:cNvPr id="207" name="TextBox 206"/>
                      <xdr:cNvSpPr txBox="1"/>
                    </xdr:nvSpPr>
                    <xdr:spPr>
                      <a:xfrm>
                        <a:off x="27929417" y="5845174"/>
                        <a:ext cx="1511300" cy="39052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solidFill>
                          <a:srgbClr val="70AD47">
                            <a:lumMod val="75000"/>
                          </a:srgbClr>
                        </a:solidFill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Green water </a:t>
                        </a:r>
                      </a:p>
                    </xdr:txBody>
                  </xdr:sp>
                  <xdr:sp macro="" textlink="">
                    <xdr:nvSpPr>
                      <xdr:cNvPr id="208" name="Shape 10"/>
                      <xdr:cNvSpPr/>
                    </xdr:nvSpPr>
                    <xdr:spPr>
                      <a:xfrm rot="-5400000">
                        <a:off x="28027842" y="5083174"/>
                        <a:ext cx="1076325" cy="37147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548135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marL="0" marR="0" lvl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sz="11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</a:endParaRPr>
                      </a:p>
                    </xdr:txBody>
                  </xdr:sp>
                  <xdr:sp macro="" textlink="">
                    <xdr:nvSpPr>
                      <xdr:cNvPr id="209" name="Shape 11"/>
                      <xdr:cNvSpPr/>
                    </xdr:nvSpPr>
                    <xdr:spPr>
                      <a:xfrm rot="5400000">
                        <a:off x="30298526" y="4946650"/>
                        <a:ext cx="1076325" cy="284692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marL="0" marR="0" lvl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sz="11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</a:endParaRPr>
                      </a:p>
                    </xdr:txBody>
                  </xdr:sp>
                  <xdr:sp macro="" textlink="">
                    <xdr:nvSpPr>
                      <xdr:cNvPr id="210" name="Shape 11"/>
                      <xdr:cNvSpPr/>
                    </xdr:nvSpPr>
                    <xdr:spPr>
                      <a:xfrm rot="5400000">
                        <a:off x="31350510" y="4944533"/>
                        <a:ext cx="1076325" cy="28892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marL="0" marR="0" lvl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sz="11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</a:endParaRPr>
                      </a:p>
                    </xdr:txBody>
                  </xdr:sp>
                  <xdr:sp macro="" textlink="">
                    <xdr:nvSpPr>
                      <xdr:cNvPr id="211" name="TextBox 210"/>
                      <xdr:cNvSpPr txBox="1"/>
                    </xdr:nvSpPr>
                    <xdr:spPr>
                      <a:xfrm>
                        <a:off x="30183667" y="5753457"/>
                        <a:ext cx="1188508" cy="838200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solidFill>
                          <a:srgbClr val="FFC000"/>
                        </a:solidFill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GHG</a:t>
                        </a:r>
                      </a:p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(N2O, CH4, CO2)</a:t>
                        </a:r>
                      </a:p>
                    </xdr:txBody>
                  </xdr:sp>
                  <xdr:sp macro="" textlink="">
                    <xdr:nvSpPr>
                      <xdr:cNvPr id="212" name="TextBox 211"/>
                      <xdr:cNvSpPr txBox="1"/>
                    </xdr:nvSpPr>
                    <xdr:spPr>
                      <a:xfrm>
                        <a:off x="31466368" y="5782032"/>
                        <a:ext cx="1139825" cy="60007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solidFill>
                          <a:srgbClr val="FFC000"/>
                        </a:solidFill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Antibiotics</a:t>
                        </a:r>
                      </a:p>
                    </xdr:txBody>
                  </xdr:sp>
                  <xdr:sp macro="" textlink="">
                    <xdr:nvSpPr>
                      <xdr:cNvPr id="213" name="Shape 11"/>
                      <xdr:cNvSpPr/>
                    </xdr:nvSpPr>
                    <xdr:spPr>
                      <a:xfrm rot="5400000">
                        <a:off x="31744180" y="5472469"/>
                        <a:ext cx="2057400" cy="295275"/>
                      </a:xfrm>
                      <a:prstGeom prst="stripedRightArrow">
                        <a:avLst>
                          <a:gd name="adj1" fmla="val 32857"/>
                          <a:gd name="adj2" fmla="val 64286"/>
                        </a:avLst>
                      </a:prstGeom>
                      <a:solidFill>
                        <a:srgbClr val="FFC000"/>
                      </a:solidFill>
                      <a:ln>
                        <a:noFill/>
                      </a:ln>
                    </xdr:spPr>
                    <xdr:txBody>
                      <a:bodyPr wrap="square" lIns="91425" tIns="45700" rIns="91425" bIns="45700" anchor="t" anchorCtr="0">
                        <a:noAutofit/>
                      </a:bodyPr>
                      <a:lstStyle/>
                      <a:p>
                        <a:pPr marL="0" marR="0" lvl="0" indent="0" algn="l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endParaRPr kumimoji="0" sz="1100" b="0" i="0" u="none" strike="noStrike" kern="0" cap="none" spc="0" normalizeH="0" baseline="0" noProof="0">
                          <a:ln>
                            <a:noFill/>
                          </a:ln>
                          <a:solidFill>
                            <a:sysClr val="windowText" lastClr="000000"/>
                          </a:solidFill>
                          <a:effectLst/>
                          <a:uLnTx/>
                          <a:uFillTx/>
                        </a:endParaRPr>
                      </a:p>
                    </xdr:txBody>
                  </xdr:sp>
                  <xdr:sp macro="" textlink="">
                    <xdr:nvSpPr>
                      <xdr:cNvPr id="214" name="TextBox 213"/>
                      <xdr:cNvSpPr txBox="1"/>
                    </xdr:nvSpPr>
                    <xdr:spPr>
                      <a:xfrm>
                        <a:off x="32260118" y="6677382"/>
                        <a:ext cx="1139825" cy="600075"/>
                      </a:xfrm>
                      <a:prstGeom prst="rect">
                        <a:avLst/>
                      </a:prstGeom>
                      <a:solidFill>
                        <a:sysClr val="window" lastClr="FFFFFF"/>
                      </a:solidFill>
                      <a:ln w="9525" cmpd="sng">
                        <a:solidFill>
                          <a:srgbClr val="FFC000"/>
                        </a:solidFill>
                      </a:ln>
                      <a:effectLst/>
                    </xdr:spPr>
                    <xdr:txBody>
                      <a:bodyPr vertOverflow="clip" horzOverflow="clip" wrap="square" rtlCol="0" anchor="t"/>
                      <a:lstStyle/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Manure</a:t>
                        </a:r>
                      </a:p>
                      <a:p>
                        <a:pPr marL="0" marR="0" lvl="0" indent="0" defTabSz="914400" eaLnBrk="1" fontAlgn="auto" latinLnBrk="0" hangingPunct="1">
                          <a:lnSpc>
                            <a:spcPct val="100000"/>
                          </a:lnSpc>
                          <a:spcBef>
                            <a:spcPts val="0"/>
                          </a:spcBef>
                          <a:spcAft>
                            <a:spcPts val="0"/>
                          </a:spcAft>
                          <a:buClrTx/>
                          <a:buSzTx/>
                          <a:buFontTx/>
                          <a:buNone/>
                          <a:tabLst/>
                          <a:defRPr/>
                        </a:pPr>
                        <a:r>
                          <a:rPr kumimoji="0" lang="en-GB" sz="1600" b="0" i="0" u="none" strike="noStrike" kern="0" cap="none" spc="0" normalizeH="0" baseline="0" noProof="0" smtClean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  <a:latin typeface="Calibri" panose="020F0502020204030204"/>
                            <a:ea typeface="+mn-ea"/>
                            <a:cs typeface="+mn-cs"/>
                          </a:rPr>
                          <a:t>0.05 Tg</a:t>
                        </a:r>
                      </a:p>
                    </xdr:txBody>
                  </xdr:sp>
                  <xdr:sp macro="" textlink="">
                    <xdr:nvSpPr>
                      <xdr:cNvPr id="215" name="Right Arrow Callout 214"/>
                      <xdr:cNvSpPr/>
                    </xdr:nvSpPr>
                    <xdr:spPr>
                      <a:xfrm>
                        <a:off x="13942124" y="3181349"/>
                        <a:ext cx="1865852" cy="965352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16" name="TextBox 215"/>
                      <xdr:cNvSpPr txBox="1"/>
                    </xdr:nvSpPr>
                    <xdr:spPr>
                      <a:xfrm>
                        <a:off x="13994849" y="3244851"/>
                        <a:ext cx="1111366" cy="874636"/>
                      </a:xfrm>
                      <a:prstGeom prst="rect">
                        <a:avLst/>
                      </a:prstGeom>
                      <a:solidFill>
                        <a:schemeClr val="lt1"/>
                      </a:solidFill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vertOverflow="clip" horzOverflow="clip" wrap="square" rtlCol="0" anchor="t"/>
                      <a:lstStyle/>
                      <a:p>
                        <a:r>
                          <a:rPr lang="en-GB" sz="1600"/>
                          <a:t>Imports calves</a:t>
                        </a:r>
                      </a:p>
                      <a:p>
                        <a:endParaRPr lang="en-GB" sz="1600"/>
                      </a:p>
                    </xdr:txBody>
                  </xdr:sp>
                  <xdr:sp macro="" textlink="">
                    <xdr:nvSpPr>
                      <xdr:cNvPr id="217" name="Right Arrow Callout 216"/>
                      <xdr:cNvSpPr/>
                    </xdr:nvSpPr>
                    <xdr:spPr>
                      <a:xfrm>
                        <a:off x="21616988" y="3000375"/>
                        <a:ext cx="2677043" cy="1059147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18" name="TextBox 27"/>
                      <xdr:cNvSpPr txBox="1"/>
                    </xdr:nvSpPr>
                    <xdr:spPr>
                      <a:xfrm>
                        <a:off x="21795128" y="2990850"/>
                        <a:ext cx="1462020" cy="1365634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Slaughtered calves</a:t>
                        </a:r>
                      </a:p>
                      <a:p>
                        <a:r>
                          <a:rPr lang="en-GB" sz="1600"/>
                          <a:t>181 Gg</a:t>
                        </a:r>
                      </a:p>
                      <a:p>
                        <a:endParaRPr lang="en-GB" sz="1800" b="0" i="0" u="none" strike="noStrike" kern="12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endParaRPr>
                      </a:p>
                      <a:p>
                        <a:endParaRPr lang="en-GB" sz="1600"/>
                      </a:p>
                      <a:p>
                        <a:endParaRPr lang="en-GB" sz="1600"/>
                      </a:p>
                      <a:p>
                        <a:endParaRPr lang="en-GB" sz="1600"/>
                      </a:p>
                    </xdr:txBody>
                  </xdr:sp>
                  <xdr:sp macro="" textlink="">
                    <xdr:nvSpPr>
                      <xdr:cNvPr id="219" name="Right Arrow Callout 218"/>
                      <xdr:cNvSpPr/>
                    </xdr:nvSpPr>
                    <xdr:spPr>
                      <a:xfrm>
                        <a:off x="21717000" y="4381500"/>
                        <a:ext cx="2343166" cy="908201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20" name="TextBox 27"/>
                      <xdr:cNvSpPr txBox="1"/>
                    </xdr:nvSpPr>
                    <xdr:spPr>
                      <a:xfrm>
                        <a:off x="21875884" y="4408091"/>
                        <a:ext cx="1300711" cy="277421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Exports</a:t>
                        </a:r>
                        <a:r>
                          <a:rPr lang="en-GB" sz="1600" baseline="0"/>
                          <a:t> Calves</a:t>
                        </a:r>
                      </a:p>
                    </xdr:txBody>
                  </xdr:sp>
                  <xdr:sp macro="" textlink="">
                    <xdr:nvSpPr>
                      <xdr:cNvPr id="221" name="Right Arrow Callout 220"/>
                      <xdr:cNvSpPr/>
                    </xdr:nvSpPr>
                    <xdr:spPr>
                      <a:xfrm>
                        <a:off x="33163773" y="3128131"/>
                        <a:ext cx="2384480" cy="936927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22" name="TextBox 27"/>
                      <xdr:cNvSpPr txBox="1"/>
                    </xdr:nvSpPr>
                    <xdr:spPr>
                      <a:xfrm>
                        <a:off x="33345194" y="3188286"/>
                        <a:ext cx="1300711" cy="480116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/>
                          <a:t>Exports</a:t>
                        </a:r>
                        <a:r>
                          <a:rPr lang="en-GB" sz="1600" baseline="0"/>
                          <a:t> Young Cattle</a:t>
                        </a:r>
                      </a:p>
                    </xdr:txBody>
                  </xdr:sp>
                  <xdr:sp macro="" textlink="">
                    <xdr:nvSpPr>
                      <xdr:cNvPr id="223" name="Right Arrow Callout 222"/>
                      <xdr:cNvSpPr/>
                    </xdr:nvSpPr>
                    <xdr:spPr>
                      <a:xfrm>
                        <a:off x="25791583" y="2990850"/>
                        <a:ext cx="2222500" cy="898083"/>
                      </a:xfrm>
                      <a:prstGeom prst="rightArrowCallout">
                        <a:avLst/>
                      </a:prstGeom>
                      <a:solidFill>
                        <a:schemeClr val="bg1"/>
                      </a:solidFill>
                      <a:ln w="19050">
                        <a:solidFill>
                          <a:schemeClr val="tx1"/>
                        </a:solidFill>
                      </a:ln>
                    </xdr:spPr>
                    <xdr:style>
                      <a:lnRef idx="2">
                        <a:schemeClr val="accent1">
                          <a:shade val="50000"/>
                        </a:schemeClr>
                      </a:lnRef>
                      <a:fillRef idx="1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lt1"/>
                      </a:fontRef>
                    </xdr:style>
                    <xdr:txBody>
                      <a:bodyPr rot="0" spcFirstLastPara="0" vert="horz" wrap="square" lIns="91440" tIns="45720" rIns="91440" bIns="45720" numCol="1" spcCol="0" rtlCol="0" fromWordArt="0" anchor="ctr" anchorCtr="0" forceAA="0" compatLnSpc="1">
                        <a:prstTxWarp prst="textNoShape">
                          <a:avLst/>
                        </a:prstTxWarp>
                        <a:no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lt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pPr algn="ctr"/>
                        <a:endParaRPr lang="en-GB"/>
                      </a:p>
                    </xdr:txBody>
                  </xdr:sp>
                  <xdr:sp macro="" textlink="">
                    <xdr:nvSpPr>
                      <xdr:cNvPr id="224" name="TextBox 20"/>
                      <xdr:cNvSpPr txBox="1"/>
                    </xdr:nvSpPr>
                    <xdr:spPr>
                      <a:xfrm>
                        <a:off x="25881541" y="3034844"/>
                        <a:ext cx="1281642" cy="593239"/>
                      </a:xfrm>
                      <a:prstGeom prst="rect">
                        <a:avLst/>
                      </a:prstGeom>
                      <a:noFill/>
                    </xdr:spPr>
                    <xdr:txBody>
                      <a:bodyPr wrap="square" rtlCol="0">
                        <a:spAutoFit/>
                      </a:bodyPr>
                      <a:lstStyle>
                        <a:defPPr>
                          <a:defRPr lang="en-US"/>
                        </a:defPPr>
                        <a:lvl1pPr marL="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1pPr>
                        <a:lvl2pPr marL="457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2pPr>
                        <a:lvl3pPr marL="914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3pPr>
                        <a:lvl4pPr marL="1371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4pPr>
                        <a:lvl5pPr marL="18288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5pPr>
                        <a:lvl6pPr marL="22860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6pPr>
                        <a:lvl7pPr marL="27432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7pPr>
                        <a:lvl8pPr marL="32004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8pPr>
                        <a:lvl9pPr marL="3657600" algn="l" defTabSz="914400" rtl="0" eaLnBrk="1" latinLnBrk="0" hangingPunct="1">
                          <a:defRPr sz="1800" kern="1200">
                            <a:solidFill>
                              <a:schemeClr val="tx1"/>
                            </a:solidFill>
                            <a:latin typeface="+mn-lt"/>
                            <a:ea typeface="+mn-ea"/>
                            <a:cs typeface="+mn-cs"/>
                          </a:defRPr>
                        </a:lvl9pPr>
                      </a:lstStyle>
                      <a:p>
                        <a:r>
                          <a:rPr lang="en-GB" sz="1600" baseline="0"/>
                          <a:t>Imports Young Cattle</a:t>
                        </a:r>
                      </a:p>
                    </xdr:txBody>
                  </xdr:sp>
                </xdr:grpSp>
                <xdr:grpSp>
                  <xdr:nvGrpSpPr>
                    <xdr:cNvPr id="122" name="Group 121"/>
                    <xdr:cNvGrpSpPr/>
                  </xdr:nvGrpSpPr>
                  <xdr:grpSpPr>
                    <a:xfrm>
                      <a:off x="5963708" y="6453454"/>
                      <a:ext cx="7559745" cy="7060406"/>
                      <a:chOff x="2445544" y="2378869"/>
                      <a:chExt cx="7301673" cy="7060406"/>
                    </a:xfrm>
                  </xdr:grpSpPr>
                  <xdr:cxnSp macro="">
                    <xdr:nvCxnSpPr>
                      <xdr:cNvPr id="132" name="Elbow Connector 131"/>
                      <xdr:cNvCxnSpPr>
                        <a:stCxn id="150" idx="2"/>
                      </xdr:cNvCxnSpPr>
                    </xdr:nvCxnSpPr>
                    <xdr:spPr>
                      <a:xfrm rot="16200000" flipH="1">
                        <a:off x="2967786" y="3706027"/>
                        <a:ext cx="856683" cy="974278"/>
                      </a:xfrm>
                      <a:prstGeom prst="bentConnector2">
                        <a:avLst/>
                      </a:prstGeom>
                      <a:ln w="31750" cmpd="sng">
                        <a:solidFill>
                          <a:schemeClr val="accent5">
                            <a:lumMod val="75000"/>
                          </a:schemeClr>
                        </a:solidFill>
                        <a:tailEnd type="triangle"/>
                      </a:ln>
                    </xdr:spPr>
                    <xdr:style>
                      <a:lnRef idx="1">
                        <a:schemeClr val="accent1"/>
                      </a:lnRef>
                      <a:fillRef idx="0">
                        <a:schemeClr val="accent1"/>
                      </a:fillRef>
                      <a:effectRef idx="0">
                        <a:schemeClr val="accent1"/>
                      </a:effectRef>
                      <a:fontRef idx="minor">
                        <a:schemeClr val="tx1"/>
                      </a:fontRef>
                    </xdr:style>
                  </xdr:cxnSp>
                  <xdr:grpSp>
                    <xdr:nvGrpSpPr>
                      <xdr:cNvPr id="133" name="Group 132"/>
                      <xdr:cNvGrpSpPr/>
                    </xdr:nvGrpSpPr>
                    <xdr:grpSpPr>
                      <a:xfrm>
                        <a:off x="2445544" y="2378869"/>
                        <a:ext cx="7301673" cy="7060406"/>
                        <a:chOff x="2278856" y="2474119"/>
                        <a:chExt cx="7301673" cy="7060406"/>
                      </a:xfrm>
                    </xdr:grpSpPr>
                    <xdr:sp macro="" textlink="">
                      <xdr:nvSpPr>
                        <xdr:cNvPr id="134" name="Rectangle 133"/>
                        <xdr:cNvSpPr/>
                      </xdr:nvSpPr>
                      <xdr:spPr>
                        <a:xfrm>
                          <a:off x="3770408" y="4751136"/>
                          <a:ext cx="2352596" cy="1214755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8100"/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5" name="Rectangle 134"/>
                        <xdr:cNvSpPr/>
                      </xdr:nvSpPr>
                      <xdr:spPr>
                        <a:xfrm>
                          <a:off x="6390251" y="6188776"/>
                          <a:ext cx="2352595" cy="1214755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8100">
                          <a:solidFill>
                            <a:srgbClr val="FFC000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6" name="Rectangle 135"/>
                        <xdr:cNvSpPr/>
                      </xdr:nvSpPr>
                      <xdr:spPr>
                        <a:xfrm>
                          <a:off x="3796270" y="6201476"/>
                          <a:ext cx="2352596" cy="1214755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8100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7" name="Rectangle 136"/>
                        <xdr:cNvSpPr/>
                      </xdr:nvSpPr>
                      <xdr:spPr>
                        <a:xfrm>
                          <a:off x="6399713" y="4757486"/>
                          <a:ext cx="2352595" cy="1214755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8100">
                          <a:solidFill>
                            <a:srgbClr val="C00000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8" name="Rectangle 137"/>
                        <xdr:cNvSpPr/>
                      </xdr:nvSpPr>
                      <xdr:spPr>
                        <a:xfrm>
                          <a:off x="4419114" y="5497261"/>
                          <a:ext cx="3706148" cy="1002030"/>
                        </a:xfrm>
                        <a:prstGeom prst="rect">
                          <a:avLst/>
                        </a:prstGeom>
                        <a:solidFill>
                          <a:schemeClr val="bg1"/>
                        </a:solidFill>
                        <a:ln w="3175">
                          <a:solidFill>
                            <a:srgbClr val="00B050"/>
                          </a:solidFill>
                        </a:ln>
                      </xdr:spPr>
                      <xdr:style>
                        <a:lnRef idx="2">
                          <a:schemeClr val="accent1">
                            <a:shade val="50000"/>
                          </a:schemeClr>
                        </a:lnRef>
                        <a:fillRef idx="1">
                          <a:schemeClr val="accent1"/>
                        </a:fillRef>
                        <a:effectRef idx="0">
                          <a:schemeClr val="accent1"/>
                        </a:effectRef>
                        <a:fontRef idx="minor">
                          <a:schemeClr val="lt1"/>
                        </a:fontRef>
                      </xdr:style>
                      <xdr:txBody>
                        <a:bodyPr rot="0" spcFirstLastPara="0" vert="horz" wrap="square" lIns="91440" tIns="45720" rIns="91440" bIns="45720" numCol="1" spcCol="0" rtlCol="0" fromWordArt="0" anchor="ctr" anchorCtr="0" forceAA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lt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endParaRPr lang="en-GB"/>
                        </a:p>
                      </xdr:txBody>
                    </xdr:sp>
                    <xdr:sp macro="" textlink="">
                      <xdr:nvSpPr>
                        <xdr:cNvPr id="139" name="TextBox 4"/>
                        <xdr:cNvSpPr txBox="1">
                          <a:spLocks noChangeArrowheads="1"/>
                        </xdr:cNvSpPr>
                      </xdr:nvSpPr>
                      <xdr:spPr bwMode="auto">
                        <a:xfrm>
                          <a:off x="5145510" y="5688839"/>
                          <a:ext cx="2508403" cy="369332"/>
                        </a:xfrm>
                        <a:prstGeom prst="rect">
                          <a:avLst/>
                        </a:prstGeom>
                        <a:noFill/>
                        <a:ln>
                          <a:noFill/>
                        </a:ln>
                        <a:extLst>
                          <a:ext uri="{909E8E84-426E-40DD-AFC4-6F175D3DCCD1}">
                            <a14:hiddenFill xmlns:a14="http://schemas.microsoft.com/office/drawing/2010/main">
                              <a:solidFill>
                                <a:srgbClr val="FFFFFF"/>
                              </a:solidFill>
                            </a14:hiddenFill>
                          </a:ext>
                          <a:ext uri="{91240B29-F687-4F45-9708-019B960494DF}">
                            <a14:hiddenLine xmlns:a14="http://schemas.microsoft.com/office/drawing/2010/main" w="9525">
                              <a:solidFill>
                                <a:srgbClr val="000000"/>
                              </a:solidFill>
                              <a:miter lim="800000"/>
                              <a:headEnd/>
                              <a:tailEnd/>
                            </a14:hiddenLine>
                          </a:ext>
                        </a:extLst>
                      </xdr:spPr>
                      <xdr:txBody>
                        <a:bodyPr vert="horz" wrap="square" lIns="91440" tIns="45720" rIns="91440" bIns="45720" numCol="1" anchor="t" anchorCtr="0" compatLnSpc="1">
                          <a:prstTxWarp prst="textNoShape">
                            <a:avLst/>
                          </a:prstTxWarp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pPr marL="0" marR="0" lvl="0" indent="0" algn="l" defTabSz="914400" rtl="0" eaLnBrk="0" fontAlgn="base" latinLnBrk="0" hangingPunct="0">
                            <a:lnSpc>
                              <a:spcPct val="100000"/>
                            </a:lnSpc>
                            <a:spcBef>
                              <a:spcPct val="0"/>
                            </a:spcBef>
                            <a:spcAft>
                              <a:spcPct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</a:pPr>
                          <a:r>
                            <a:rPr kumimoji="0" lang="en-US" altLang="en-US" sz="1800" b="0" i="0" u="none" strike="noStrike" cap="none" normalizeH="0" baseline="0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effectLst/>
                              <a:latin typeface="Calibri" panose="020F0502020204030204" pitchFamily="34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a:t>Adult Animals</a:t>
                          </a:r>
                          <a:r>
                            <a:rPr kumimoji="0" lang="en-US" altLang="en-US" sz="1800" b="0" i="0" u="none" strike="noStrike" cap="none" normalizeH="0">
                              <a:ln>
                                <a:noFill/>
                              </a:ln>
                              <a:solidFill>
                                <a:srgbClr val="000000"/>
                              </a:solidFill>
                              <a:effectLst/>
                              <a:latin typeface="Calibri" panose="020F0502020204030204" pitchFamily="34" charset="0"/>
                              <a:ea typeface="Times New Roman" panose="02020603050405020304" pitchFamily="18" charset="0"/>
                              <a:cs typeface="Times New Roman" panose="02020603050405020304" pitchFamily="18" charset="0"/>
                            </a:rPr>
                            <a:t> &gt;= 2yrs</a:t>
                          </a:r>
                          <a:endParaRPr kumimoji="0" lang="en-US" altLang="en-US" sz="1800" b="0" i="0" u="none" strike="noStrike" cap="none" normalizeH="0" baseline="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  <a:effectLst/>
                            <a:latin typeface="Arial" panose="020B0604020202020204" pitchFamily="34" charset="0"/>
                          </a:endParaRPr>
                        </a:p>
                      </xdr:txBody>
                    </xdr:sp>
                    <xdr:sp macro="" textlink="">
                      <xdr:nvSpPr>
                        <xdr:cNvPr id="140" name="TextBox 12"/>
                        <xdr:cNvSpPr txBox="1"/>
                      </xdr:nvSpPr>
                      <xdr:spPr>
                        <a:xfrm>
                          <a:off x="3506135" y="3006363"/>
                          <a:ext cx="810129" cy="342786"/>
                        </a:xfrm>
                        <a:prstGeom prst="rect">
                          <a:avLst/>
                        </a:prstGeom>
                        <a:ln>
                          <a:solidFill>
                            <a:srgbClr val="0070C0"/>
                          </a:solidFill>
                        </a:ln>
                      </xdr:spPr>
                      <xdr:style>
                        <a:lnRef idx="2">
                          <a:schemeClr val="accent1"/>
                        </a:lnRef>
                        <a:fillRef idx="1">
                          <a:schemeClr val="lt1"/>
                        </a:fillRef>
                        <a:effectRef idx="0">
                          <a:schemeClr val="accent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r>
                            <a:rPr lang="en-GB" sz="1600"/>
                            <a:t>Feed </a:t>
                          </a:r>
                        </a:p>
                      </xdr:txBody>
                    </xdr:sp>
                    <xdr:sp macro="" textlink="">
                      <xdr:nvSpPr>
                        <xdr:cNvPr id="141" name="TextBox 18"/>
                        <xdr:cNvSpPr txBox="1"/>
                      </xdr:nvSpPr>
                      <xdr:spPr>
                        <a:xfrm>
                          <a:off x="4405364" y="2788971"/>
                          <a:ext cx="792350" cy="636938"/>
                        </a:xfrm>
                        <a:prstGeom prst="rect">
                          <a:avLst/>
                        </a:prstGeom>
                        <a:ln>
                          <a:solidFill>
                            <a:srgbClr val="0070C0"/>
                          </a:solidFill>
                        </a:ln>
                      </xdr:spPr>
                      <xdr:style>
                        <a:lnRef idx="2">
                          <a:schemeClr val="accent1"/>
                        </a:lnRef>
                        <a:fillRef idx="1">
                          <a:schemeClr val="lt1"/>
                        </a:fillRef>
                        <a:effectRef idx="0">
                          <a:schemeClr val="accent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r>
                            <a:rPr lang="en-GB" sz="1400"/>
                            <a:t>Blue Water</a:t>
                          </a:r>
                        </a:p>
                        <a:p>
                          <a:r>
                            <a:rPr lang="en-GB" sz="1400"/>
                            <a:t>18.47 TL</a:t>
                          </a:r>
                        </a:p>
                      </xdr:txBody>
                    </xdr:sp>
                    <xdr:sp macro="" textlink="">
                      <xdr:nvSpPr>
                        <xdr:cNvPr id="142" name="TextBox 40"/>
                        <xdr:cNvSpPr txBox="1"/>
                      </xdr:nvSpPr>
                      <xdr:spPr>
                        <a:xfrm>
                          <a:off x="5304828" y="3000375"/>
                          <a:ext cx="1199502" cy="334068"/>
                        </a:xfrm>
                        <a:prstGeom prst="rect">
                          <a:avLst/>
                        </a:prstGeom>
                        <a:solidFill>
                          <a:sysClr val="window" lastClr="FFFFFF"/>
                        </a:solidFill>
                        <a:ln w="0" cmpd="sng">
                          <a:solidFill>
                            <a:srgbClr val="0070C0"/>
                          </a:solidFill>
                        </a:ln>
                      </xdr:spPr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tx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r>
                            <a:rPr lang="en-GB" sz="1600"/>
                            <a:t>Antibiotics</a:t>
                          </a:r>
                        </a:p>
                      </xdr:txBody>
                    </xdr:sp>
                    <xdr:sp macro="" textlink="">
                      <xdr:nvSpPr>
                        <xdr:cNvPr id="143" name="TextBox 142"/>
                        <xdr:cNvSpPr txBox="1"/>
                      </xdr:nvSpPr>
                      <xdr:spPr>
                        <a:xfrm>
                          <a:off x="8395732" y="2620054"/>
                          <a:ext cx="1184797" cy="909485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C00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pPr marL="0" marR="0" lvl="0" indent="0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r>
                            <a:rPr lang="en-GB" sz="1600"/>
                            <a:t>Land Use</a:t>
                          </a:r>
                          <a:r>
                            <a:rPr lang="en-GB" sz="1600" baseline="0"/>
                            <a:t> </a:t>
                          </a:r>
                          <a:r>
                            <a:rPr lang="en-GB" sz="1600" baseline="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rPr>
                            <a:t>105233</a:t>
                          </a:r>
                          <a:r>
                            <a:rPr lang="en-GB" sz="16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rPr>
                            <a:t> Km2</a:t>
                          </a:r>
                        </a:p>
                        <a:p>
                          <a:endParaRPr lang="en-GB" sz="1600">
                            <a:solidFill>
                              <a:schemeClr val="dk1"/>
                            </a:solidFill>
                            <a:latin typeface="+mn-lt"/>
                            <a:ea typeface="+mn-ea"/>
                            <a:cs typeface="+mn-cs"/>
                          </a:endParaRPr>
                        </a:p>
                      </xdr:txBody>
                    </xdr:sp>
                    <xdr:sp macro="" textlink="">
                      <xdr:nvSpPr>
                        <xdr:cNvPr id="144" name="TextBox 143"/>
                        <xdr:cNvSpPr txBox="1"/>
                      </xdr:nvSpPr>
                      <xdr:spPr>
                        <a:xfrm>
                          <a:off x="6580105" y="2474119"/>
                          <a:ext cx="658777" cy="878528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C00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HA</a:t>
                          </a:r>
                        </a:p>
                        <a:p>
                          <a:r>
                            <a:rPr lang="en-GB" sz="1600"/>
                            <a:t>245 G hours</a:t>
                          </a:r>
                        </a:p>
                      </xdr:txBody>
                    </xdr:sp>
                    <xdr:sp macro="" textlink="">
                      <xdr:nvSpPr>
                        <xdr:cNvPr id="145" name="TextBox 144"/>
                        <xdr:cNvSpPr txBox="1"/>
                      </xdr:nvSpPr>
                      <xdr:spPr>
                        <a:xfrm>
                          <a:off x="7308877" y="2656416"/>
                          <a:ext cx="952037" cy="857248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C00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Animal</a:t>
                          </a:r>
                          <a:r>
                            <a:rPr lang="en-GB" sz="1600" baseline="0"/>
                            <a:t> Fund </a:t>
                          </a:r>
                        </a:p>
                        <a:p>
                          <a:r>
                            <a:rPr lang="en-GB" sz="1600" baseline="0"/>
                            <a:t>1.44 Tg</a:t>
                          </a:r>
                          <a:endParaRPr lang="en-GB" sz="1600"/>
                        </a:p>
                      </xdr:txBody>
                    </xdr:sp>
                    <xdr:sp macro="" textlink="">
                      <xdr:nvSpPr>
                        <xdr:cNvPr id="146" name="TextBox 145"/>
                        <xdr:cNvSpPr txBox="1"/>
                      </xdr:nvSpPr>
                      <xdr:spPr>
                        <a:xfrm>
                          <a:off x="3512556" y="7915275"/>
                          <a:ext cx="1515177" cy="390525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chemeClr val="accent6">
                              <a:lumMod val="75000"/>
                            </a:schemeClr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Green water </a:t>
                          </a:r>
                        </a:p>
                      </xdr:txBody>
                    </xdr:sp>
                    <xdr:sp macro="" textlink="">
                      <xdr:nvSpPr>
                        <xdr:cNvPr id="147" name="TextBox 146"/>
                        <xdr:cNvSpPr txBox="1"/>
                      </xdr:nvSpPr>
                      <xdr:spPr>
                        <a:xfrm>
                          <a:off x="5932647" y="8010525"/>
                          <a:ext cx="1186389" cy="838200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FFC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GHG</a:t>
                          </a:r>
                          <a:endParaRPr lang="en-GB" sz="1600" baseline="0"/>
                        </a:p>
                        <a:p>
                          <a:r>
                            <a:rPr lang="en-GB" sz="1600" baseline="0"/>
                            <a:t>(N2O, CH4, CO2)</a:t>
                          </a:r>
                          <a:endParaRPr lang="en-GB" sz="1600"/>
                        </a:p>
                      </xdr:txBody>
                    </xdr:sp>
                    <xdr:sp macro="" textlink="">
                      <xdr:nvSpPr>
                        <xdr:cNvPr id="148" name="TextBox 147"/>
                        <xdr:cNvSpPr txBox="1"/>
                      </xdr:nvSpPr>
                      <xdr:spPr>
                        <a:xfrm>
                          <a:off x="7223118" y="8039100"/>
                          <a:ext cx="1148544" cy="600075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FFC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Antibiotics</a:t>
                          </a:r>
                        </a:p>
                      </xdr:txBody>
                    </xdr:sp>
                    <xdr:sp macro="" textlink="">
                      <xdr:nvSpPr>
                        <xdr:cNvPr id="149" name="TextBox 148"/>
                        <xdr:cNvSpPr txBox="1"/>
                      </xdr:nvSpPr>
                      <xdr:spPr>
                        <a:xfrm>
                          <a:off x="8017365" y="8934450"/>
                          <a:ext cx="1148542" cy="600075"/>
                        </a:xfrm>
                        <a:prstGeom prst="rect">
                          <a:avLst/>
                        </a:prstGeom>
                        <a:solidFill>
                          <a:schemeClr val="lt1"/>
                        </a:solidFill>
                        <a:ln w="9525" cmpd="sng">
                          <a:solidFill>
                            <a:srgbClr val="FFC000"/>
                          </a:solidFill>
                        </a:ln>
                      </xdr:spPr>
                      <xdr:style>
                        <a:lnRef idx="0">
                          <a:scrgbClr r="0" g="0" b="0"/>
                        </a:lnRef>
                        <a:fillRef idx="0">
                          <a:scrgbClr r="0" g="0" b="0"/>
                        </a:fillRef>
                        <a:effectRef idx="0">
                          <a:scrgbClr r="0" g="0" b="0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vertOverflow="clip" horzOverflow="clip" wrap="square" rtlCol="0" anchor="t"/>
                        <a:lstStyle/>
                        <a:p>
                          <a:r>
                            <a:rPr lang="en-GB" sz="1600"/>
                            <a:t>Manure</a:t>
                          </a:r>
                        </a:p>
                        <a:p>
                          <a:r>
                            <a:rPr lang="en-GB" sz="1600"/>
                            <a:t>38 Tg</a:t>
                          </a:r>
                        </a:p>
                        <a:p>
                          <a:endParaRPr lang="en-GB" sz="1600"/>
                        </a:p>
                      </xdr:txBody>
                    </xdr:sp>
                    <xdr:sp macro="" textlink="">
                      <xdr:nvSpPr>
                        <xdr:cNvPr id="150" name="TextBox 12"/>
                        <xdr:cNvSpPr txBox="1"/>
                      </xdr:nvSpPr>
                      <xdr:spPr>
                        <a:xfrm>
                          <a:off x="2278856" y="3086100"/>
                          <a:ext cx="926890" cy="773975"/>
                        </a:xfrm>
                        <a:prstGeom prst="rect">
                          <a:avLst/>
                        </a:prstGeom>
                        <a:ln>
                          <a:solidFill>
                            <a:srgbClr val="0070C0"/>
                          </a:solidFill>
                        </a:ln>
                      </xdr:spPr>
                      <xdr:style>
                        <a:lnRef idx="2">
                          <a:schemeClr val="accent1"/>
                        </a:lnRef>
                        <a:fillRef idx="1">
                          <a:schemeClr val="lt1"/>
                        </a:fillRef>
                        <a:effectRef idx="0">
                          <a:schemeClr val="accent1"/>
                        </a:effectRef>
                        <a:fontRef idx="minor">
                          <a:schemeClr val="dk1"/>
                        </a:fontRef>
                      </xdr:style>
                      <xdr:txBody>
                        <a:bodyPr wrap="square" rtlCol="0">
                          <a:noAutofit/>
                        </a:bodyPr>
                        <a:lstStyle>
                          <a:defPPr>
                            <a:defRPr lang="en-US"/>
                          </a:defPPr>
                          <a:lvl1pPr marL="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1pPr>
                          <a:lvl2pPr marL="457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2pPr>
                          <a:lvl3pPr marL="914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3pPr>
                          <a:lvl4pPr marL="1371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4pPr>
                          <a:lvl5pPr marL="18288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5pPr>
                          <a:lvl6pPr marL="22860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6pPr>
                          <a:lvl7pPr marL="27432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7pPr>
                          <a:lvl8pPr marL="32004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8pPr>
                          <a:lvl9pPr marL="3657600" algn="l" defTabSz="914400" rtl="0" eaLnBrk="1" latinLnBrk="0" hangingPunct="1">
                            <a:defRPr sz="1800" kern="1200">
                              <a:solidFill>
                                <a:schemeClr val="dk1"/>
                              </a:solidFill>
                              <a:latin typeface="+mn-lt"/>
                              <a:ea typeface="+mn-ea"/>
                              <a:cs typeface="+mn-cs"/>
                            </a:defRPr>
                          </a:lvl9pPr>
                        </a:lstStyle>
                        <a:p>
                          <a:r>
                            <a:rPr lang="en-GB" sz="1600"/>
                            <a:t>Energy Use</a:t>
                          </a:r>
                        </a:p>
                        <a:p>
                          <a:r>
                            <a:rPr lang="en-GB" sz="1600"/>
                            <a:t>34711TJ</a:t>
                          </a:r>
                        </a:p>
                      </xdr:txBody>
                    </xdr:sp>
                    <xdr:sp macro="" textlink="">
                      <xdr:nvSpPr>
                        <xdr:cNvPr id="151" name="Shape 8"/>
                        <xdr:cNvSpPr/>
                      </xdr:nvSpPr>
                      <xdr:spPr>
                        <a:xfrm rot="5400000">
                          <a:off x="3377333" y="3897386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4472C4">
                            <a:lumMod val="75000"/>
                          </a:srgbClr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2" name="Shape 8"/>
                        <xdr:cNvSpPr/>
                      </xdr:nvSpPr>
                      <xdr:spPr>
                        <a:xfrm rot="5400000">
                          <a:off x="4115520" y="3933104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4472C4">
                            <a:lumMod val="75000"/>
                          </a:srgbClr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3" name="Shape 8"/>
                        <xdr:cNvSpPr/>
                      </xdr:nvSpPr>
                      <xdr:spPr>
                        <a:xfrm rot="5400000">
                          <a:off x="5139457" y="3885480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4472C4">
                            <a:lumMod val="75000"/>
                          </a:srgbClr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4" name="Shape 8"/>
                        <xdr:cNvSpPr/>
                      </xdr:nvSpPr>
                      <xdr:spPr>
                        <a:xfrm rot="5400000">
                          <a:off x="6330083" y="3968823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C00000"/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5" name="Shape 8"/>
                        <xdr:cNvSpPr/>
                      </xdr:nvSpPr>
                      <xdr:spPr>
                        <a:xfrm rot="5400000">
                          <a:off x="7068271" y="4028355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C00000"/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6" name="Shape 8"/>
                        <xdr:cNvSpPr/>
                      </xdr:nvSpPr>
                      <xdr:spPr>
                        <a:xfrm rot="5400000">
                          <a:off x="8008864" y="3980730"/>
                          <a:ext cx="1238250" cy="301478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C00000"/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marL="0" marR="0" lvl="0" indent="0" algn="l" defTabSz="914400" eaLnBrk="1" fontAlgn="auto" latinLnBrk="0" hangingPunct="1">
                            <a:lnSpc>
                              <a:spcPct val="100000"/>
                            </a:lnSpc>
                            <a:spcBef>
                              <a:spcPts val="0"/>
                            </a:spcBef>
                            <a:spcAft>
                              <a:spcPts val="0"/>
                            </a:spcAft>
                            <a:buClrTx/>
                            <a:buSzTx/>
                            <a:buFontTx/>
                            <a:buNone/>
                            <a:tabLst/>
                            <a:defRPr/>
                          </a:pPr>
                          <a:endParaRPr kumimoji="0" sz="1100" b="0" i="0" u="none" strike="noStrike" kern="0" cap="none" spc="0" normalizeH="0" baseline="0" noProof="0">
                            <a:ln>
                              <a:noFill/>
                            </a:ln>
                            <a:solidFill>
                              <a:sysClr val="windowText" lastClr="000000"/>
                            </a:solidFill>
                            <a:effectLst/>
                            <a:uLnTx/>
                            <a:uFillTx/>
                          </a:endParaRPr>
                        </a:p>
                      </xdr:txBody>
                    </xdr:sp>
                    <xdr:sp macro="" textlink="">
                      <xdr:nvSpPr>
                        <xdr:cNvPr id="157" name="Shape 10"/>
                        <xdr:cNvSpPr/>
                      </xdr:nvSpPr>
                      <xdr:spPr>
                        <a:xfrm rot="16200000">
                          <a:off x="3655876" y="7178812"/>
                          <a:ext cx="1076325" cy="363265"/>
                        </a:xfrm>
                        <a:prstGeom prst="stripedRightArrow">
                          <a:avLst>
                            <a:gd name="adj1" fmla="val 32857"/>
                            <a:gd name="adj2" fmla="val 64286"/>
                          </a:avLst>
                        </a:prstGeom>
                        <a:solidFill>
                          <a:srgbClr val="548135"/>
                        </a:solidFill>
                        <a:ln>
                          <a:noFill/>
                        </a:ln>
                      </xdr:spPr>
                      <xdr:txBody>
                        <a:bodyPr wrap="square" lIns="91425" tIns="45700" rIns="91425" bIns="45700" anchor="t" anchorCtr="0">
                          <a:noAutofit/>
                        </a:bodyPr>
                        <a:lstStyle/>
                        <a:p>
                          <a:pPr lvl="0" indent="0" algn="l">
                            <a:spcBef>
                              <a:spcPts val="0"/>
                            </a:spcBef>
                            <a:buNone/>
                          </a:pPr>
                          <a:endParaRPr sz="1100"/>
                        </a:p>
                      </xdr:txBody>
                    </xdr:sp>
                    <xdr:pic>
                      <xdr:nvPicPr>
                        <xdr:cNvPr id="158" name="Picture 157"/>
                        <xdr:cNvPicPr>
                          <a:picLocks noChangeAspect="1"/>
                        </xdr:cNvPicPr>
                      </xdr:nvPicPr>
                      <xdr:blipFill>
                        <a:blip xmlns:r="http://schemas.openxmlformats.org/officeDocument/2006/relationships" r:embed="rId1"/>
                        <a:stretch>
                          <a:fillRect/>
                        </a:stretch>
                      </xdr:blipFill>
                      <xdr:spPr>
                        <a:xfrm>
                          <a:off x="6512719" y="6881812"/>
                          <a:ext cx="298730" cy="1079086"/>
                        </a:xfrm>
                        <a:prstGeom prst="rect">
                          <a:avLst/>
                        </a:prstGeom>
                      </xdr:spPr>
                    </xdr:pic>
                    <xdr:pic>
                      <xdr:nvPicPr>
                        <xdr:cNvPr id="159" name="Picture 158"/>
                        <xdr:cNvPicPr>
                          <a:picLocks noChangeAspect="1"/>
                        </xdr:cNvPicPr>
                      </xdr:nvPicPr>
                      <xdr:blipFill>
                        <a:blip xmlns:r="http://schemas.openxmlformats.org/officeDocument/2006/relationships" r:embed="rId1"/>
                        <a:stretch>
                          <a:fillRect/>
                        </a:stretch>
                      </xdr:blipFill>
                      <xdr:spPr>
                        <a:xfrm>
                          <a:off x="8498682" y="7141367"/>
                          <a:ext cx="298730" cy="1764507"/>
                        </a:xfrm>
                        <a:prstGeom prst="rect">
                          <a:avLst/>
                        </a:prstGeom>
                      </xdr:spPr>
                    </xdr:pic>
                    <xdr:pic>
                      <xdr:nvPicPr>
                        <xdr:cNvPr id="160" name="Picture 159"/>
                        <xdr:cNvPicPr>
                          <a:picLocks noChangeAspect="1"/>
                        </xdr:cNvPicPr>
                      </xdr:nvPicPr>
                      <xdr:blipFill>
                        <a:blip xmlns:r="http://schemas.openxmlformats.org/officeDocument/2006/relationships" r:embed="rId1"/>
                        <a:stretch>
                          <a:fillRect/>
                        </a:stretch>
                      </xdr:blipFill>
                      <xdr:spPr>
                        <a:xfrm>
                          <a:off x="7686675" y="6972299"/>
                          <a:ext cx="298730" cy="1079086"/>
                        </a:xfrm>
                        <a:prstGeom prst="rect">
                          <a:avLst/>
                        </a:prstGeom>
                      </xdr:spPr>
                    </xdr:pic>
                  </xdr:grpSp>
                </xdr:grpSp>
                <xdr:sp macro="" textlink="">
                  <xdr:nvSpPr>
                    <xdr:cNvPr id="123" name="TextBox 12"/>
                    <xdr:cNvSpPr txBox="1"/>
                  </xdr:nvSpPr>
                  <xdr:spPr>
                    <a:xfrm>
                      <a:off x="3688292" y="9398000"/>
                      <a:ext cx="1296457" cy="635000"/>
                    </a:xfrm>
                    <a:prstGeom prst="rect">
                      <a:avLst/>
                    </a:prstGeom>
                    <a:ln>
                      <a:noFill/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r>
                        <a:rPr lang="en-GB" sz="1600"/>
                        <a:t>Import</a:t>
                      </a:r>
                      <a:r>
                        <a:rPr lang="en-GB" sz="1600" baseline="0"/>
                        <a:t>s Adult </a:t>
                      </a:r>
                      <a:r>
                        <a:rPr lang="en-GB" sz="1600"/>
                        <a:t>12.8 Gg</a:t>
                      </a:r>
                      <a:endParaRPr lang="en-GB" sz="1600"/>
                    </a:p>
                  </xdr:txBody>
                </xdr:sp>
                <xdr:sp macro="" textlink="">
                  <xdr:nvSpPr>
                    <xdr:cNvPr id="124" name="TextBox 12"/>
                    <xdr:cNvSpPr txBox="1"/>
                  </xdr:nvSpPr>
                  <xdr:spPr>
                    <a:xfrm>
                      <a:off x="13133916" y="9567333"/>
                      <a:ext cx="1333500" cy="857250"/>
                    </a:xfrm>
                    <a:prstGeom prst="rect">
                      <a:avLst/>
                    </a:prstGeom>
                    <a:noFill/>
                    <a:ln>
                      <a:noFill/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wrap="square" rtlCol="0"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dk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r>
                        <a:rPr lang="en-GB" sz="1600"/>
                        <a:t>Exports Adult Animals</a:t>
                      </a:r>
                    </a:p>
                    <a:p>
                      <a:r>
                        <a:rPr lang="en-GB" sz="1600"/>
                        <a:t>536 Gg</a:t>
                      </a:r>
                    </a:p>
                  </xdr:txBody>
                </xdr:sp>
                <xdr:sp macro="" textlink="">
                  <xdr:nvSpPr>
                    <xdr:cNvPr id="125" name="Right Arrow Callout 124"/>
                    <xdr:cNvSpPr/>
                  </xdr:nvSpPr>
                  <xdr:spPr>
                    <a:xfrm>
                      <a:off x="12906375" y="10747375"/>
                      <a:ext cx="2254249" cy="1026583"/>
                    </a:xfrm>
                    <a:prstGeom prst="rightArrowCallout">
                      <a:avLst/>
                    </a:prstGeom>
                    <a:solidFill>
                      <a:schemeClr val="bg1"/>
                    </a:solidFill>
                    <a:ln w="19050">
                      <a:solidFill>
                        <a:schemeClr val="tx1"/>
                      </a:solidFill>
                    </a:ln>
                  </xdr:spPr>
                  <xdr:style>
                    <a:lnRef idx="2">
                      <a:schemeClr val="accent1">
                        <a:shade val="50000"/>
                      </a:schemeClr>
                    </a:lnRef>
                    <a:fillRef idx="1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lt1"/>
                    </a:fontRef>
                  </xdr:style>
                  <xdr:txBody>
                    <a:bodyPr rot="0" spcFirstLastPara="0" vert="horz" wrap="square" lIns="91440" tIns="45720" rIns="91440" bIns="45720" numCol="1" spcCol="0" rtlCol="0" fromWordArt="0" anchor="ctr" anchorCtr="0" forceAA="0" compatLnSpc="1">
                      <a:prstTxWarp prst="textNoShape">
                        <a:avLst/>
                      </a:prstTxWarp>
                      <a:noAutofit/>
                    </a:bodyPr>
                    <a:lstStyle>
                      <a:defPPr>
                        <a:defRPr lang="en-US"/>
                      </a:defPPr>
                      <a:lvl1pPr marL="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1pPr>
                      <a:lvl2pPr marL="457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2pPr>
                      <a:lvl3pPr marL="914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3pPr>
                      <a:lvl4pPr marL="1371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4pPr>
                      <a:lvl5pPr marL="18288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5pPr>
                      <a:lvl6pPr marL="22860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6pPr>
                      <a:lvl7pPr marL="27432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7pPr>
                      <a:lvl8pPr marL="32004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8pPr>
                      <a:lvl9pPr marL="3657600" algn="l" defTabSz="914400" rtl="0" eaLnBrk="1" latinLnBrk="0" hangingPunct="1">
                        <a:defRPr sz="1800" kern="120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lvl9pPr>
                    </a:lstStyle>
                    <a:p>
                      <a:pPr algn="ctr"/>
                      <a:r>
                        <a:rPr lang="en-GB" sz="1600">
                          <a:solidFill>
                            <a:sysClr val="windowText" lastClr="000000"/>
                          </a:solidFill>
                        </a:rPr>
                        <a:t>Slaughtered</a:t>
                      </a:r>
                      <a:r>
                        <a:rPr lang="en-GB" sz="1600" baseline="0">
                          <a:solidFill>
                            <a:sysClr val="windowText" lastClr="000000"/>
                          </a:solidFill>
                        </a:rPr>
                        <a:t>  Adult Animals</a:t>
                      </a:r>
                    </a:p>
                    <a:p>
                      <a:pPr algn="ctr"/>
                      <a:r>
                        <a:rPr lang="en-GB" sz="1600" baseline="0">
                          <a:solidFill>
                            <a:sysClr val="windowText" lastClr="000000"/>
                          </a:solidFill>
                        </a:rPr>
                        <a:t>1240 Gg</a:t>
                      </a:r>
                    </a:p>
                  </xdr:txBody>
                </xdr:sp>
                <xdr:sp macro="" textlink="">
                  <xdr:nvSpPr>
                    <xdr:cNvPr id="126" name="Rectángulo 762"/>
                    <xdr:cNvSpPr/>
                  </xdr:nvSpPr>
                  <xdr:spPr>
                    <a:xfrm>
                      <a:off x="7782377" y="5619750"/>
                      <a:ext cx="930260" cy="443982"/>
                    </a:xfrm>
                    <a:prstGeom prst="rect">
                      <a:avLst/>
                    </a:prstGeom>
                    <a:noFill/>
                    <a:ln w="28575">
                      <a:solidFill>
                        <a:srgbClr val="0070C0"/>
                      </a:solidFill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 anchorCtr="0"/>
                    <a:lstStyle/>
                    <a:p>
                      <a:pPr algn="ctr"/>
                      <a:r>
                        <a:rPr lang="en-GB" sz="1100"/>
                        <a:t>Roughages</a:t>
                      </a:r>
                    </a:p>
                    <a:p>
                      <a:pPr algn="ctr"/>
                      <a:r>
                        <a:rPr lang="en-GB" sz="1100" baseline="0"/>
                        <a:t>16 Tg</a:t>
                      </a:r>
                      <a:endParaRPr lang="en-GB" sz="1100"/>
                    </a:p>
                  </xdr:txBody>
                </xdr:sp>
                <xdr:sp macro="" textlink="">
                  <xdr:nvSpPr>
                    <xdr:cNvPr id="127" name="Rectángulo 762"/>
                    <xdr:cNvSpPr/>
                  </xdr:nvSpPr>
                  <xdr:spPr>
                    <a:xfrm>
                      <a:off x="6468987" y="5604955"/>
                      <a:ext cx="1145028" cy="473585"/>
                    </a:xfrm>
                    <a:prstGeom prst="rect">
                      <a:avLst/>
                    </a:prstGeom>
                    <a:noFill/>
                    <a:ln w="28575">
                      <a:solidFill>
                        <a:srgbClr val="0070C0"/>
                      </a:solidFill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 anchorCtr="0"/>
                    <a:lstStyle/>
                    <a:p>
                      <a:pPr algn="ctr"/>
                      <a:r>
                        <a:rPr lang="en-GB" sz="1100"/>
                        <a:t>Grains</a:t>
                      </a:r>
                    </a:p>
                    <a:p>
                      <a:pPr algn="ctr"/>
                      <a:r>
                        <a:rPr lang="en-GB" sz="1100"/>
                        <a:t>0 Tg</a:t>
                      </a:r>
                    </a:p>
                  </xdr:txBody>
                </xdr:sp>
                <xdr:cxnSp macro="">
                  <xdr:nvCxnSpPr>
                    <xdr:cNvPr id="128" name="Straight Arrow Connector 91"/>
                    <xdr:cNvCxnSpPr>
                      <a:stCxn id="126" idx="2"/>
                    </xdr:cNvCxnSpPr>
                  </xdr:nvCxnSpPr>
                  <xdr:spPr>
                    <a:xfrm flipH="1">
                      <a:off x="7754857" y="6063732"/>
                      <a:ext cx="493400" cy="854101"/>
                    </a:xfrm>
                    <a:prstGeom prst="straightConnector1">
                      <a:avLst/>
                    </a:prstGeom>
                    <a:ln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sp macro="" textlink="">
                  <xdr:nvSpPr>
                    <xdr:cNvPr id="129" name="Rectángulo 762"/>
                    <xdr:cNvSpPr/>
                  </xdr:nvSpPr>
                  <xdr:spPr>
                    <a:xfrm>
                      <a:off x="5873750" y="6253272"/>
                      <a:ext cx="1053681" cy="629674"/>
                    </a:xfrm>
                    <a:prstGeom prst="rect">
                      <a:avLst/>
                    </a:prstGeom>
                    <a:noFill/>
                    <a:ln w="28575">
                      <a:solidFill>
                        <a:srgbClr val="0070C0"/>
                      </a:solidFill>
                    </a:ln>
                  </xdr:spPr>
                  <xdr:style>
                    <a:lnRef idx="2">
                      <a:schemeClr val="accent1"/>
                    </a:lnRef>
                    <a:fillRef idx="1">
                      <a:schemeClr val="lt1"/>
                    </a:fillRef>
                    <a:effectRef idx="0">
                      <a:schemeClr val="accent1"/>
                    </a:effectRef>
                    <a:fontRef idx="minor">
                      <a:schemeClr val="dk1"/>
                    </a:fontRef>
                  </xdr:style>
                  <xdr:txBody>
                    <a:bodyPr vertOverflow="clip" horzOverflow="clip" rtlCol="0" anchor="t" anchorCtr="0"/>
                    <a:lstStyle/>
                    <a:p>
                      <a:pPr algn="ctr"/>
                      <a:r>
                        <a:rPr lang="en-GB" sz="1100"/>
                        <a:t>Industrial By-products</a:t>
                      </a:r>
                    </a:p>
                    <a:p>
                      <a:pPr algn="ctr"/>
                      <a:r>
                        <a:rPr lang="en-GB" sz="1100"/>
                        <a:t>0.41 Tg</a:t>
                      </a:r>
                    </a:p>
                    <a:p>
                      <a:pPr algn="ctr"/>
                      <a:endParaRPr lang="en-GB" sz="1100"/>
                    </a:p>
                  </xdr:txBody>
                </xdr:sp>
                <xdr:cxnSp macro="">
                  <xdr:nvCxnSpPr>
                    <xdr:cNvPr id="130" name="Rechte verbindingslijn met pijl 70"/>
                    <xdr:cNvCxnSpPr>
                      <a:stCxn id="129" idx="3"/>
                    </xdr:cNvCxnSpPr>
                  </xdr:nvCxnSpPr>
                  <xdr:spPr>
                    <a:xfrm>
                      <a:off x="6927432" y="6568109"/>
                      <a:ext cx="432993" cy="357211"/>
                    </a:xfrm>
                    <a:prstGeom prst="straightConnector1">
                      <a:avLst/>
                    </a:prstGeom>
                    <a:ln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31" name="Straight Arrow Connector 90"/>
                    <xdr:cNvCxnSpPr/>
                  </xdr:nvCxnSpPr>
                  <xdr:spPr>
                    <a:xfrm>
                      <a:off x="7254875" y="6127750"/>
                      <a:ext cx="334049" cy="846780"/>
                    </a:xfrm>
                    <a:prstGeom prst="straightConnector1">
                      <a:avLst/>
                    </a:prstGeom>
                    <a:ln>
                      <a:tailEnd type="triangle"/>
                    </a:ln>
                  </xdr:spPr>
                  <xdr:style>
                    <a:lnRef idx="1">
                      <a:schemeClr val="accent1"/>
                    </a:lnRef>
                    <a:fillRef idx="0">
                      <a:schemeClr val="accent1"/>
                    </a:fillRef>
                    <a:effectRef idx="0">
                      <a:schemeClr val="accent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  <xdr:cxnSp macro="">
              <xdr:nvCxnSpPr>
                <xdr:cNvPr id="106" name="Straight Arrow Connector 90"/>
                <xdr:cNvCxnSpPr/>
              </xdr:nvCxnSpPr>
              <xdr:spPr>
                <a:xfrm>
                  <a:off x="30241976" y="6004435"/>
                  <a:ext cx="334049" cy="846780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07" name="Rectángulo 762"/>
                <xdr:cNvSpPr/>
              </xdr:nvSpPr>
              <xdr:spPr>
                <a:xfrm>
                  <a:off x="30817002" y="5523420"/>
                  <a:ext cx="930260" cy="443982"/>
                </a:xfrm>
                <a:prstGeom prst="rect">
                  <a:avLst/>
                </a:prstGeom>
                <a:noFill/>
                <a:ln w="28575">
                  <a:solidFill>
                    <a:srgbClr val="0070C0"/>
                  </a:solidFill>
                </a:ln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 anchorCtr="0"/>
                <a:lstStyle/>
                <a:p>
                  <a:pPr algn="ctr"/>
                  <a:r>
                    <a:rPr lang="en-GB" sz="1100"/>
                    <a:t>Roughages</a:t>
                  </a:r>
                </a:p>
                <a:p>
                  <a:pPr algn="ctr"/>
                  <a:r>
                    <a:rPr lang="en-GB" sz="1100"/>
                    <a:t>0.011Tg</a:t>
                  </a:r>
                </a:p>
              </xdr:txBody>
            </xdr:sp>
            <xdr:sp macro="" textlink="">
              <xdr:nvSpPr>
                <xdr:cNvPr id="108" name="Rectángulo 762"/>
                <xdr:cNvSpPr/>
              </xdr:nvSpPr>
              <xdr:spPr>
                <a:xfrm>
                  <a:off x="29503612" y="5508625"/>
                  <a:ext cx="1145028" cy="473585"/>
                </a:xfrm>
                <a:prstGeom prst="rect">
                  <a:avLst/>
                </a:prstGeom>
                <a:noFill/>
                <a:ln w="28575">
                  <a:solidFill>
                    <a:srgbClr val="0070C0"/>
                  </a:solidFill>
                </a:ln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 anchorCtr="0"/>
                <a:lstStyle/>
                <a:p>
                  <a:pPr algn="ctr"/>
                  <a:r>
                    <a:rPr lang="en-GB" sz="1100"/>
                    <a:t>Grains</a:t>
                  </a:r>
                </a:p>
                <a:p>
                  <a:pPr algn="ctr"/>
                  <a:r>
                    <a:rPr lang="en-GB" sz="1100"/>
                    <a:t>0Tg</a:t>
                  </a:r>
                </a:p>
              </xdr:txBody>
            </xdr:sp>
            <xdr:cxnSp macro="">
              <xdr:nvCxnSpPr>
                <xdr:cNvPr id="109" name="Straight Arrow Connector 91"/>
                <xdr:cNvCxnSpPr>
                  <a:stCxn id="107" idx="2"/>
                </xdr:cNvCxnSpPr>
              </xdr:nvCxnSpPr>
              <xdr:spPr>
                <a:xfrm flipH="1">
                  <a:off x="30789482" y="5967402"/>
                  <a:ext cx="493400" cy="854101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sp macro="" textlink="">
              <xdr:nvSpPr>
                <xdr:cNvPr id="110" name="Rectángulo 762"/>
                <xdr:cNvSpPr/>
              </xdr:nvSpPr>
              <xdr:spPr>
                <a:xfrm>
                  <a:off x="28908374" y="6156942"/>
                  <a:ext cx="1152532" cy="753219"/>
                </a:xfrm>
                <a:prstGeom prst="rect">
                  <a:avLst/>
                </a:prstGeom>
                <a:noFill/>
                <a:ln w="28575">
                  <a:solidFill>
                    <a:srgbClr val="0070C0"/>
                  </a:solidFill>
                </a:ln>
              </xdr:spPr>
              <xdr:style>
                <a:lnRef idx="2">
                  <a:schemeClr val="accent1"/>
                </a:lnRef>
                <a:fillRef idx="1">
                  <a:schemeClr val="lt1"/>
                </a:fillRef>
                <a:effectRef idx="0">
                  <a:schemeClr val="accent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 anchorCtr="0"/>
                <a:lstStyle/>
                <a:p>
                  <a:pPr algn="ctr"/>
                  <a:r>
                    <a:rPr lang="en-GB" sz="1100"/>
                    <a:t>Industrial By-products</a:t>
                  </a:r>
                </a:p>
                <a:p>
                  <a:pPr algn="ctr"/>
                  <a:r>
                    <a:rPr lang="en-GB" sz="1100"/>
                    <a:t>0.0003</a:t>
                  </a:r>
                  <a:r>
                    <a:rPr lang="en-GB" sz="1100" baseline="0"/>
                    <a:t> </a:t>
                  </a:r>
                  <a:r>
                    <a:rPr lang="en-GB" sz="1100"/>
                    <a:t>Tg</a:t>
                  </a:r>
                </a:p>
              </xdr:txBody>
            </xdr:sp>
            <xdr:cxnSp macro="">
              <xdr:nvCxnSpPr>
                <xdr:cNvPr id="111" name="Rechte verbindingslijn met pijl 70"/>
                <xdr:cNvCxnSpPr>
                  <a:stCxn id="110" idx="3"/>
                </xdr:cNvCxnSpPr>
              </xdr:nvCxnSpPr>
              <xdr:spPr>
                <a:xfrm>
                  <a:off x="30060906" y="6533552"/>
                  <a:ext cx="350019" cy="295438"/>
                </a:xfrm>
                <a:prstGeom prst="straightConnector1">
                  <a:avLst/>
                </a:prstGeom>
                <a:ln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</xdr:grpSp>
      </xdr:grpSp>
      <xdr:sp macro="" textlink="">
        <xdr:nvSpPr>
          <xdr:cNvPr id="99" name="Rectángulo 762"/>
          <xdr:cNvSpPr/>
        </xdr:nvSpPr>
        <xdr:spPr>
          <a:xfrm>
            <a:off x="20383500" y="4235450"/>
            <a:ext cx="898007" cy="443982"/>
          </a:xfrm>
          <a:prstGeom prst="rect">
            <a:avLst/>
          </a:prstGeom>
          <a:noFill/>
          <a:ln w="28575"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 anchorCtr="0"/>
          <a:lstStyle/>
          <a:p>
            <a:pPr algn="ctr"/>
            <a:r>
              <a:rPr lang="en-GB" sz="1100"/>
              <a:t>Milk</a:t>
            </a:r>
            <a:r>
              <a:rPr lang="en-GB" sz="1100" baseline="0"/>
              <a:t> Powder</a:t>
            </a:r>
          </a:p>
          <a:p>
            <a:pPr algn="ctr"/>
            <a:r>
              <a:rPr lang="en-GB" sz="1100" baseline="0"/>
              <a:t>0.055 Tg</a:t>
            </a:r>
          </a:p>
        </xdr:txBody>
      </xdr:sp>
      <xdr:cxnSp macro="">
        <xdr:nvCxnSpPr>
          <xdr:cNvPr id="100" name="Straight Arrow Connector 91"/>
          <xdr:cNvCxnSpPr>
            <a:stCxn id="99" idx="2"/>
          </xdr:cNvCxnSpPr>
        </xdr:nvCxnSpPr>
        <xdr:spPr>
          <a:xfrm flipH="1">
            <a:off x="19532602" y="4679432"/>
            <a:ext cx="1296727" cy="467269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33</xdr:col>
      <xdr:colOff>521180</xdr:colOff>
      <xdr:row>120</xdr:row>
      <xdr:rowOff>89858</xdr:rowOff>
    </xdr:from>
    <xdr:to>
      <xdr:col>40</xdr:col>
      <xdr:colOff>449293</xdr:colOff>
      <xdr:row>122</xdr:row>
      <xdr:rowOff>125802</xdr:rowOff>
    </xdr:to>
    <xdr:sp macro="" textlink="">
      <xdr:nvSpPr>
        <xdr:cNvPr id="225" name="TextBox 224"/>
        <xdr:cNvSpPr txBox="1"/>
      </xdr:nvSpPr>
      <xdr:spPr>
        <a:xfrm>
          <a:off x="20685425" y="23812500"/>
          <a:ext cx="4205377" cy="4313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0" lang="en-GB" sz="1800" b="0" i="0" u="none" strike="noStrike" kern="1200" cap="none" normalizeH="0" baseline="0">
              <a:ln>
                <a:noFill/>
              </a:ln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Times New Roman" panose="02020603050405020304" pitchFamily="18" charset="0"/>
              <a:cs typeface="Times New Roman" panose="02020603050405020304" pitchFamily="18" charset="0"/>
            </a:rPr>
            <a:t>Replacement 125 Gg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207961</xdr:colOff>
      <xdr:row>33</xdr:row>
      <xdr:rowOff>0</xdr:rowOff>
    </xdr:from>
    <xdr:to>
      <xdr:col>58</xdr:col>
      <xdr:colOff>94735</xdr:colOff>
      <xdr:row>68</xdr:row>
      <xdr:rowOff>176041</xdr:rowOff>
    </xdr:to>
    <xdr:grpSp>
      <xdr:nvGrpSpPr>
        <xdr:cNvPr id="2" name="Group 1"/>
        <xdr:cNvGrpSpPr/>
      </xdr:nvGrpSpPr>
      <xdr:grpSpPr>
        <a:xfrm>
          <a:off x="13209586" y="6286500"/>
          <a:ext cx="22794399" cy="6843541"/>
          <a:chOff x="13532442" y="433916"/>
          <a:chExt cx="21869867" cy="6843541"/>
        </a:xfrm>
      </xdr:grpSpPr>
      <xdr:sp macro="" textlink="">
        <xdr:nvSpPr>
          <xdr:cNvPr id="3" name="Rectangle 2"/>
          <xdr:cNvSpPr/>
        </xdr:nvSpPr>
        <xdr:spPr>
          <a:xfrm>
            <a:off x="28025725" y="2314504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4F81BD">
                <a:shade val="50000"/>
              </a:srgbClr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4" name="Rectangle 3"/>
          <xdr:cNvSpPr/>
        </xdr:nvSpPr>
        <xdr:spPr>
          <a:xfrm>
            <a:off x="30635575" y="3790244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FFC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5" name="Rectangle 4"/>
          <xdr:cNvSpPr/>
        </xdr:nvSpPr>
        <xdr:spPr>
          <a:xfrm>
            <a:off x="28051760" y="3793419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00B05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6" name="Rectangle 5"/>
          <xdr:cNvSpPr/>
        </xdr:nvSpPr>
        <xdr:spPr>
          <a:xfrm>
            <a:off x="30635575" y="2320854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C00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GB"/>
          </a:p>
        </xdr:txBody>
      </xdr:sp>
      <xdr:sp macro="" textlink="">
        <xdr:nvSpPr>
          <xdr:cNvPr id="7" name="Rectangle 6"/>
          <xdr:cNvSpPr>
            <a:spLocks noChangeArrowheads="1"/>
          </xdr:cNvSpPr>
        </xdr:nvSpPr>
        <xdr:spPr bwMode="auto">
          <a:xfrm>
            <a:off x="28794075" y="3001890"/>
            <a:ext cx="3683000" cy="1001713"/>
          </a:xfrm>
          <a:prstGeom prst="rect">
            <a:avLst/>
          </a:prstGeom>
          <a:solidFill>
            <a:srgbClr val="FFFFFF"/>
          </a:solidFill>
          <a:ln w="3175">
            <a:solidFill>
              <a:srgbClr val="00B050"/>
            </a:solidFill>
            <a:miter lim="800000"/>
            <a:headEnd/>
            <a:tailEnd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n-GB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Calibri" panose="020F0502020204030204" pitchFamily="34" charset="0"/>
                <a:cs typeface="Times New Roman" panose="02020603050405020304" pitchFamily="18" charset="0"/>
              </a:rPr>
              <a:t> Young Cattle</a:t>
            </a:r>
          </a:p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n-GB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Calibri" panose="020F0502020204030204" pitchFamily="34" charset="0"/>
                <a:cs typeface="Times New Roman" panose="02020603050405020304" pitchFamily="18" charset="0"/>
              </a:rPr>
              <a:t>1-2yrs</a:t>
            </a:r>
            <a:endParaRPr kumimoji="0" lang="en-GB" altLang="en-U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8" name="TextBox 7"/>
          <xdr:cNvSpPr txBox="1"/>
        </xdr:nvSpPr>
        <xdr:spPr>
          <a:xfrm>
            <a:off x="19174734" y="513964"/>
            <a:ext cx="764388" cy="905261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HA</a:t>
            </a:r>
          </a:p>
          <a:p>
            <a:r>
              <a:rPr lang="en-GB" sz="1300" b="1" i="0" u="none" strike="noStrike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</a:t>
            </a:r>
            <a:r>
              <a:rPr lang="en-GB" sz="1300"/>
              <a:t> </a:t>
            </a:r>
          </a:p>
        </xdr:txBody>
      </xdr:sp>
      <xdr:sp macro="" textlink="">
        <xdr:nvSpPr>
          <xdr:cNvPr id="9" name="TextBox 8"/>
          <xdr:cNvSpPr txBox="1"/>
        </xdr:nvSpPr>
        <xdr:spPr>
          <a:xfrm>
            <a:off x="19916776" y="522815"/>
            <a:ext cx="920750" cy="65888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Power</a:t>
            </a:r>
            <a:r>
              <a:rPr lang="en-GB" sz="1600" baseline="0"/>
              <a:t> Capacity</a:t>
            </a:r>
            <a:endParaRPr lang="en-GB" sz="1600"/>
          </a:p>
        </xdr:txBody>
      </xdr:sp>
      <xdr:sp macro="" textlink="">
        <xdr:nvSpPr>
          <xdr:cNvPr id="10" name="TextBox 9"/>
          <xdr:cNvSpPr txBox="1"/>
        </xdr:nvSpPr>
        <xdr:spPr>
          <a:xfrm>
            <a:off x="21013208" y="534458"/>
            <a:ext cx="716492" cy="619546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Land Use</a:t>
            </a:r>
            <a:r>
              <a:rPr lang="en-GB" sz="1600" baseline="0"/>
              <a:t> </a:t>
            </a:r>
            <a:endParaRPr lang="en-GB" sz="1600"/>
          </a:p>
        </xdr:txBody>
      </xdr:sp>
      <xdr:sp macro="" textlink="">
        <xdr:nvSpPr>
          <xdr:cNvPr id="11" name="Shape 9"/>
          <xdr:cNvSpPr/>
        </xdr:nvSpPr>
        <xdr:spPr>
          <a:xfrm rot="5400000">
            <a:off x="18871139" y="1565275"/>
            <a:ext cx="1195919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12" name="Shape 9"/>
          <xdr:cNvSpPr/>
        </xdr:nvSpPr>
        <xdr:spPr>
          <a:xfrm rot="5400000">
            <a:off x="19802473" y="1628774"/>
            <a:ext cx="1111250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13" name="Rectangle 12"/>
          <xdr:cNvSpPr/>
        </xdr:nvSpPr>
        <xdr:spPr>
          <a:xfrm>
            <a:off x="16357600" y="2337200"/>
            <a:ext cx="2346113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4F81BD">
                <a:shade val="50000"/>
              </a:srgbClr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4" name="Rectangle 13"/>
          <xdr:cNvSpPr/>
        </xdr:nvSpPr>
        <xdr:spPr>
          <a:xfrm>
            <a:off x="18967450" y="3812940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FFC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5" name="Rectangle 14"/>
          <xdr:cNvSpPr/>
        </xdr:nvSpPr>
        <xdr:spPr>
          <a:xfrm>
            <a:off x="16383635" y="3816115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00B05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6" name="Rectangle 15"/>
          <xdr:cNvSpPr/>
        </xdr:nvSpPr>
        <xdr:spPr>
          <a:xfrm>
            <a:off x="18967450" y="2343550"/>
            <a:ext cx="2335530" cy="1214755"/>
          </a:xfrm>
          <a:prstGeom prst="rect">
            <a:avLst/>
          </a:prstGeom>
          <a:solidFill>
            <a:sysClr val="window" lastClr="FFFFFF"/>
          </a:solidFill>
          <a:ln w="38100" cap="flat" cmpd="sng" algn="ctr">
            <a:solidFill>
              <a:srgbClr val="C00000"/>
            </a:solidFill>
            <a:prstDash val="solid"/>
          </a:ln>
          <a:effectLst/>
        </xdr:spPr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endParaRPr lang="en-GB"/>
          </a:p>
        </xdr:txBody>
      </xdr:sp>
      <xdr:sp macro="" textlink="">
        <xdr:nvSpPr>
          <xdr:cNvPr id="17" name="Rectangle 16"/>
          <xdr:cNvSpPr>
            <a:spLocks noChangeArrowheads="1"/>
          </xdr:cNvSpPr>
        </xdr:nvSpPr>
        <xdr:spPr bwMode="auto">
          <a:xfrm>
            <a:off x="17059275" y="3072211"/>
            <a:ext cx="3683000" cy="1001713"/>
          </a:xfrm>
          <a:prstGeom prst="rect">
            <a:avLst/>
          </a:prstGeom>
          <a:solidFill>
            <a:srgbClr val="FFFFFF"/>
          </a:solidFill>
          <a:ln w="3175">
            <a:solidFill>
              <a:srgbClr val="00B050"/>
            </a:solidFill>
            <a:miter lim="800000"/>
            <a:headEnd/>
            <a:tailEnd/>
          </a:ln>
        </xdr:spPr>
        <xdr:txBody>
          <a:bodyPr vert="horz" wrap="square" lIns="91440" tIns="45720" rIns="91440" bIns="45720" numCol="1" anchor="ctr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1pPr>
            <a:lvl2pPr marL="457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2pPr>
            <a:lvl3pPr marL="914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3pPr>
            <a:lvl4pPr marL="1371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4pPr>
            <a:lvl5pPr marL="18288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5pPr>
            <a:lvl6pPr marL="22860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6pPr>
            <a:lvl7pPr marL="27432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7pPr>
            <a:lvl8pPr marL="32004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8pPr>
            <a:lvl9pPr marL="3657600" algn="l" defTabSz="914400" rtl="0" eaLnBrk="1" latinLnBrk="0" hangingPunct="1">
              <a:defRPr sz="1800" kern="1200">
                <a:solidFill>
                  <a:sysClr val="windowText" lastClr="000000"/>
                </a:solidFill>
                <a:latin typeface="Calibri" panose="020F0502020204030204"/>
              </a:defRPr>
            </a:lvl9pPr>
          </a:lstStyle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n-GB" altLang="en-US" sz="1800" b="0" i="0" u="none" strike="noStrike" cap="none" normalizeH="0" baseline="0">
                <a:ln>
                  <a:noFill/>
                </a:ln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Calves &lt; 1yrs</a:t>
            </a:r>
          </a:p>
          <a:p>
            <a:pPr marL="0" marR="0" lvl="0" indent="0" algn="ctr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endParaRPr kumimoji="0" lang="en-GB" altLang="en-US" sz="1800" b="0" i="0" u="none" strike="noStrike" cap="none" normalizeH="0" baseline="0">
              <a:ln>
                <a:noFill/>
              </a:ln>
              <a:solidFill>
                <a:sysClr val="windowText" lastClr="000000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18" name="Shape 9"/>
          <xdr:cNvSpPr/>
        </xdr:nvSpPr>
        <xdr:spPr>
          <a:xfrm rot="5400000">
            <a:off x="20776141" y="1628774"/>
            <a:ext cx="1111250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19" name="TextBox 12"/>
          <xdr:cNvSpPr txBox="1"/>
        </xdr:nvSpPr>
        <xdr:spPr>
          <a:xfrm>
            <a:off x="16131001" y="546796"/>
            <a:ext cx="799157" cy="342786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Feed </a:t>
            </a:r>
          </a:p>
        </xdr:txBody>
      </xdr:sp>
      <xdr:sp macro="" textlink="">
        <xdr:nvSpPr>
          <xdr:cNvPr id="20" name="TextBox 18"/>
          <xdr:cNvSpPr txBox="1"/>
        </xdr:nvSpPr>
        <xdr:spPr>
          <a:xfrm>
            <a:off x="17019852" y="455083"/>
            <a:ext cx="808747" cy="530658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400"/>
              <a:t>Blue Water</a:t>
            </a:r>
          </a:p>
        </xdr:txBody>
      </xdr:sp>
      <xdr:sp macro="" textlink="">
        <xdr:nvSpPr>
          <xdr:cNvPr id="21" name="TextBox 40"/>
          <xdr:cNvSpPr txBox="1"/>
        </xdr:nvSpPr>
        <xdr:spPr>
          <a:xfrm>
            <a:off x="17917123" y="540808"/>
            <a:ext cx="1191124" cy="334068"/>
          </a:xfrm>
          <a:prstGeom prst="rect">
            <a:avLst/>
          </a:prstGeom>
          <a:solidFill>
            <a:sysClr val="window" lastClr="FFFFFF"/>
          </a:solidFill>
          <a:ln w="0" cmpd="sng">
            <a:solidFill>
              <a:srgbClr val="0070C0"/>
            </a:solidFill>
          </a:ln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Antibiotics</a:t>
            </a:r>
          </a:p>
        </xdr:txBody>
      </xdr:sp>
      <xdr:sp macro="" textlink="">
        <xdr:nvSpPr>
          <xdr:cNvPr id="22" name="Shape 8"/>
          <xdr:cNvSpPr/>
        </xdr:nvSpPr>
        <xdr:spPr>
          <a:xfrm rot="5400000">
            <a:off x="15905161" y="1429279"/>
            <a:ext cx="1238250" cy="29950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23" name="Shape 8"/>
          <xdr:cNvSpPr/>
        </xdr:nvSpPr>
        <xdr:spPr>
          <a:xfrm rot="5400000">
            <a:off x="16814798" y="1470025"/>
            <a:ext cx="1190625" cy="284691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24" name="Shape 8"/>
          <xdr:cNvSpPr/>
        </xdr:nvSpPr>
        <xdr:spPr>
          <a:xfrm rot="5400000">
            <a:off x="17772061" y="1429279"/>
            <a:ext cx="1314450" cy="29950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25" name="TextBox 12"/>
          <xdr:cNvSpPr txBox="1"/>
        </xdr:nvSpPr>
        <xdr:spPr>
          <a:xfrm>
            <a:off x="14911916" y="626533"/>
            <a:ext cx="799155" cy="593239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Energy</a:t>
            </a:r>
            <a:r>
              <a:rPr lang="en-GB" sz="1600" baseline="0"/>
              <a:t> Use</a:t>
            </a:r>
            <a:endParaRPr lang="en-GB" sz="1600"/>
          </a:p>
        </xdr:txBody>
      </xdr:sp>
      <xdr:cxnSp macro="">
        <xdr:nvCxnSpPr>
          <xdr:cNvPr id="26" name="Elbow Connector 25"/>
          <xdr:cNvCxnSpPr>
            <a:stCxn id="25" idx="2"/>
          </xdr:cNvCxnSpPr>
        </xdr:nvCxnSpPr>
        <xdr:spPr>
          <a:xfrm rot="16200000" flipH="1">
            <a:off x="15287146" y="1244118"/>
            <a:ext cx="1054583" cy="1005888"/>
          </a:xfrm>
          <a:prstGeom prst="bentConnector3">
            <a:avLst/>
          </a:prstGeom>
          <a:ln w="31750" cmpd="sng">
            <a:solidFill>
              <a:schemeClr val="accent5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7" name="TextBox 12"/>
          <xdr:cNvSpPr txBox="1"/>
        </xdr:nvSpPr>
        <xdr:spPr>
          <a:xfrm>
            <a:off x="27836169" y="525629"/>
            <a:ext cx="809739" cy="342786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Feed </a:t>
            </a:r>
          </a:p>
        </xdr:txBody>
      </xdr:sp>
      <xdr:sp macro="" textlink="">
        <xdr:nvSpPr>
          <xdr:cNvPr id="28" name="TextBox 18"/>
          <xdr:cNvSpPr txBox="1"/>
        </xdr:nvSpPr>
        <xdr:spPr>
          <a:xfrm>
            <a:off x="28735602" y="433916"/>
            <a:ext cx="808748" cy="530658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400"/>
              <a:t>Blue Water</a:t>
            </a:r>
          </a:p>
        </xdr:txBody>
      </xdr:sp>
      <xdr:sp macro="" textlink="">
        <xdr:nvSpPr>
          <xdr:cNvPr id="29" name="TextBox 40"/>
          <xdr:cNvSpPr txBox="1"/>
        </xdr:nvSpPr>
        <xdr:spPr>
          <a:xfrm>
            <a:off x="29622291" y="519641"/>
            <a:ext cx="1191123" cy="334068"/>
          </a:xfrm>
          <a:prstGeom prst="rect">
            <a:avLst/>
          </a:prstGeom>
          <a:solidFill>
            <a:sysClr val="window" lastClr="FFFFFF"/>
          </a:solidFill>
          <a:ln w="0" cmpd="sng">
            <a:solidFill>
              <a:srgbClr val="0070C0"/>
            </a:solidFill>
          </a:ln>
        </xdr:spPr>
        <xdr:txBody>
          <a:bodyPr wrap="square" rtlCol="0"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Antibiotics</a:t>
            </a:r>
          </a:p>
        </xdr:txBody>
      </xdr:sp>
      <xdr:sp macro="" textlink="">
        <xdr:nvSpPr>
          <xdr:cNvPr id="30" name="Shape 8"/>
          <xdr:cNvSpPr/>
        </xdr:nvSpPr>
        <xdr:spPr>
          <a:xfrm rot="5400000">
            <a:off x="27615620" y="1413404"/>
            <a:ext cx="1238250" cy="28892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1" name="Shape 8"/>
          <xdr:cNvSpPr/>
        </xdr:nvSpPr>
        <xdr:spPr>
          <a:xfrm rot="5400000">
            <a:off x="28525257" y="1443566"/>
            <a:ext cx="1190625" cy="2952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2" name="Shape 8"/>
          <xdr:cNvSpPr/>
        </xdr:nvSpPr>
        <xdr:spPr>
          <a:xfrm rot="5400000">
            <a:off x="29482520" y="1413404"/>
            <a:ext cx="1314450" cy="28892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chemeClr val="accent5">
              <a:lumMod val="75000"/>
            </a:schemeClr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3" name="TextBox 12"/>
          <xdr:cNvSpPr txBox="1"/>
        </xdr:nvSpPr>
        <xdr:spPr>
          <a:xfrm>
            <a:off x="26617083" y="605366"/>
            <a:ext cx="809739" cy="593239"/>
          </a:xfrm>
          <a:prstGeom prst="rect">
            <a:avLst/>
          </a:prstGeom>
          <a:ln>
            <a:solidFill>
              <a:srgbClr val="0070C0"/>
            </a:solidFill>
          </a:ln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Energy Use</a:t>
            </a:r>
          </a:p>
        </xdr:txBody>
      </xdr:sp>
      <xdr:cxnSp macro="">
        <xdr:nvCxnSpPr>
          <xdr:cNvPr id="34" name="Elbow Connector 33"/>
          <xdr:cNvCxnSpPr>
            <a:stCxn id="33" idx="2"/>
          </xdr:cNvCxnSpPr>
        </xdr:nvCxnSpPr>
        <xdr:spPr>
          <a:xfrm rot="16200000" flipH="1">
            <a:off x="27000250" y="1220307"/>
            <a:ext cx="1054585" cy="1011180"/>
          </a:xfrm>
          <a:prstGeom prst="bentConnector3">
            <a:avLst/>
          </a:prstGeom>
          <a:ln w="31750" cmpd="sng">
            <a:solidFill>
              <a:schemeClr val="accent5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5" name="TextBox 34"/>
          <xdr:cNvSpPr txBox="1"/>
        </xdr:nvSpPr>
        <xdr:spPr>
          <a:xfrm>
            <a:off x="30903333" y="558801"/>
            <a:ext cx="641351" cy="44253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HA</a:t>
            </a:r>
          </a:p>
        </xdr:txBody>
      </xdr:sp>
      <xdr:sp macro="" textlink="">
        <xdr:nvSpPr>
          <xdr:cNvPr id="36" name="TextBox 35"/>
          <xdr:cNvSpPr txBox="1"/>
        </xdr:nvSpPr>
        <xdr:spPr>
          <a:xfrm>
            <a:off x="31636758" y="455084"/>
            <a:ext cx="931332" cy="658883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Power</a:t>
            </a:r>
            <a:r>
              <a:rPr lang="en-GB" sz="1600" baseline="0"/>
              <a:t> Capacity</a:t>
            </a:r>
            <a:endParaRPr lang="en-GB" sz="1600"/>
          </a:p>
        </xdr:txBody>
      </xdr:sp>
      <xdr:sp macro="" textlink="">
        <xdr:nvSpPr>
          <xdr:cNvPr id="37" name="TextBox 36"/>
          <xdr:cNvSpPr txBox="1"/>
        </xdr:nvSpPr>
        <xdr:spPr>
          <a:xfrm>
            <a:off x="32733189" y="466727"/>
            <a:ext cx="727076" cy="619546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C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Land Use</a:t>
            </a:r>
            <a:r>
              <a:rPr lang="en-GB" sz="1600" baseline="0"/>
              <a:t> </a:t>
            </a:r>
            <a:endParaRPr lang="en-GB" sz="1600"/>
          </a:p>
        </xdr:txBody>
      </xdr:sp>
      <xdr:sp macro="" textlink="">
        <xdr:nvSpPr>
          <xdr:cNvPr id="38" name="Shape 9"/>
          <xdr:cNvSpPr/>
        </xdr:nvSpPr>
        <xdr:spPr>
          <a:xfrm rot="5400000">
            <a:off x="30601704" y="1497544"/>
            <a:ext cx="1195919" cy="309033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39" name="Shape 9"/>
          <xdr:cNvSpPr/>
        </xdr:nvSpPr>
        <xdr:spPr>
          <a:xfrm rot="5400000">
            <a:off x="31527746" y="1566335"/>
            <a:ext cx="1111250" cy="29844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0" name="Shape 9"/>
          <xdr:cNvSpPr/>
        </xdr:nvSpPr>
        <xdr:spPr>
          <a:xfrm rot="5400000">
            <a:off x="32501414" y="1566335"/>
            <a:ext cx="1111250" cy="298450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C00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1" name="TextBox 40"/>
          <xdr:cNvSpPr txBox="1"/>
        </xdr:nvSpPr>
        <xdr:spPr>
          <a:xfrm>
            <a:off x="16255999" y="5792258"/>
            <a:ext cx="1500717" cy="3905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accent6">
                <a:lumMod val="7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Green water </a:t>
            </a:r>
          </a:p>
        </xdr:txBody>
      </xdr:sp>
      <xdr:sp macro="" textlink="">
        <xdr:nvSpPr>
          <xdr:cNvPr id="42" name="Shape 10"/>
          <xdr:cNvSpPr/>
        </xdr:nvSpPr>
        <xdr:spPr>
          <a:xfrm rot="-5400000">
            <a:off x="16349133" y="5035550"/>
            <a:ext cx="1076325" cy="360892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548135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3" name="Shape 11"/>
          <xdr:cNvSpPr/>
        </xdr:nvSpPr>
        <xdr:spPr>
          <a:xfrm rot="5400000">
            <a:off x="18619818" y="4888442"/>
            <a:ext cx="1076325" cy="2952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4" name="Shape 11"/>
          <xdr:cNvSpPr/>
        </xdr:nvSpPr>
        <xdr:spPr>
          <a:xfrm rot="5400000">
            <a:off x="19671801" y="4886325"/>
            <a:ext cx="1076325" cy="299509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5" name="TextBox 44"/>
          <xdr:cNvSpPr txBox="1"/>
        </xdr:nvSpPr>
        <xdr:spPr>
          <a:xfrm>
            <a:off x="18510250" y="5700541"/>
            <a:ext cx="1177924" cy="838200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GHG</a:t>
            </a:r>
            <a:endParaRPr lang="en-GB" sz="1600" baseline="0"/>
          </a:p>
          <a:p>
            <a:r>
              <a:rPr lang="en-GB" sz="1600" baseline="0"/>
              <a:t>(N2O, CH4, CO2)</a:t>
            </a:r>
            <a:endParaRPr lang="en-GB" sz="1600"/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19792950" y="5729116"/>
            <a:ext cx="1139826" cy="600075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Antibiotics</a:t>
            </a:r>
          </a:p>
        </xdr:txBody>
      </xdr:sp>
      <xdr:sp macro="" textlink="">
        <xdr:nvSpPr>
          <xdr:cNvPr id="47" name="Shape 11"/>
          <xdr:cNvSpPr/>
        </xdr:nvSpPr>
        <xdr:spPr>
          <a:xfrm rot="5400000">
            <a:off x="20065471" y="5424845"/>
            <a:ext cx="2057400" cy="284691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lvl="0" indent="0" algn="l">
              <a:spcBef>
                <a:spcPts val="0"/>
              </a:spcBef>
              <a:buNone/>
            </a:pPr>
            <a:endParaRPr sz="1100"/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20576118" y="6624466"/>
            <a:ext cx="1150407" cy="600075"/>
          </a:xfrm>
          <a:prstGeom prst="rect">
            <a:avLst/>
          </a:prstGeom>
          <a:solidFill>
            <a:schemeClr val="lt1"/>
          </a:solidFill>
          <a:ln w="9525" cmpd="sng">
            <a:solidFill>
              <a:srgbClr val="FFC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Manure?</a:t>
            </a:r>
          </a:p>
        </xdr:txBody>
      </xdr:sp>
      <xdr:sp macro="" textlink="">
        <xdr:nvSpPr>
          <xdr:cNvPr id="49" name="TextBox 48"/>
          <xdr:cNvSpPr txBox="1"/>
        </xdr:nvSpPr>
        <xdr:spPr>
          <a:xfrm>
            <a:off x="27929417" y="5845174"/>
            <a:ext cx="1511300" cy="39052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70AD47">
                <a:lumMod val="75000"/>
              </a:srgbClr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Green water </a:t>
            </a:r>
          </a:p>
        </xdr:txBody>
      </xdr:sp>
      <xdr:sp macro="" textlink="">
        <xdr:nvSpPr>
          <xdr:cNvPr id="50" name="Shape 10"/>
          <xdr:cNvSpPr/>
        </xdr:nvSpPr>
        <xdr:spPr>
          <a:xfrm rot="-5400000">
            <a:off x="28027842" y="5083174"/>
            <a:ext cx="1076325" cy="3714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548135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1" name="Shape 11"/>
          <xdr:cNvSpPr/>
        </xdr:nvSpPr>
        <xdr:spPr>
          <a:xfrm rot="5400000">
            <a:off x="30298526" y="4946650"/>
            <a:ext cx="1076325" cy="284692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2" name="Shape 11"/>
          <xdr:cNvSpPr/>
        </xdr:nvSpPr>
        <xdr:spPr>
          <a:xfrm rot="5400000">
            <a:off x="31350510" y="4944533"/>
            <a:ext cx="1076325" cy="28892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3" name="TextBox 52"/>
          <xdr:cNvSpPr txBox="1"/>
        </xdr:nvSpPr>
        <xdr:spPr>
          <a:xfrm>
            <a:off x="30183667" y="5753457"/>
            <a:ext cx="1188508" cy="83820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FFC000"/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GHG</a:t>
            </a:r>
          </a:p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(N2O, CH4, CO2)</a:t>
            </a:r>
          </a:p>
        </xdr:txBody>
      </xdr:sp>
      <xdr:sp macro="" textlink="">
        <xdr:nvSpPr>
          <xdr:cNvPr id="54" name="TextBox 53"/>
          <xdr:cNvSpPr txBox="1"/>
        </xdr:nvSpPr>
        <xdr:spPr>
          <a:xfrm>
            <a:off x="31466368" y="5782032"/>
            <a:ext cx="1139825" cy="60007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FFC000"/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Antibiotics</a:t>
            </a:r>
          </a:p>
        </xdr:txBody>
      </xdr:sp>
      <xdr:sp macro="" textlink="">
        <xdr:nvSpPr>
          <xdr:cNvPr id="55" name="Shape 11"/>
          <xdr:cNvSpPr/>
        </xdr:nvSpPr>
        <xdr:spPr>
          <a:xfrm rot="5400000">
            <a:off x="31744180" y="5472469"/>
            <a:ext cx="2057400" cy="295275"/>
          </a:xfrm>
          <a:prstGeom prst="stripedRightArrow">
            <a:avLst>
              <a:gd name="adj1" fmla="val 32857"/>
              <a:gd name="adj2" fmla="val 64286"/>
            </a:avLst>
          </a:prstGeom>
          <a:solidFill>
            <a:srgbClr val="FFC000"/>
          </a:solidFill>
          <a:ln>
            <a:noFill/>
          </a:ln>
        </xdr:spPr>
        <xdr:txBody>
          <a:bodyPr wrap="square" lIns="91425" tIns="45700" rIns="91425" bIns="45700" anchor="t" anchorCtr="0">
            <a:noAutofit/>
          </a:bodyPr>
          <a:lstStyle/>
          <a:p>
            <a:pPr marL="0" marR="0" lvl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endParaRPr kumimoji="0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endParaRPr>
          </a:p>
        </xdr:txBody>
      </xdr:sp>
      <xdr:sp macro="" textlink="">
        <xdr:nvSpPr>
          <xdr:cNvPr id="56" name="TextBox 55"/>
          <xdr:cNvSpPr txBox="1"/>
        </xdr:nvSpPr>
        <xdr:spPr>
          <a:xfrm>
            <a:off x="32260118" y="6677382"/>
            <a:ext cx="1139825" cy="60007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rgbClr val="FFC000"/>
            </a:solidFill>
          </a:ln>
          <a:effectLst/>
        </xdr:spPr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GB" sz="1600" b="0" i="0" u="none" strike="noStrike" kern="0" cap="none" spc="0" normalizeH="0" baseline="0" noProof="0" smtClean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  <a:latin typeface="Calibri" panose="020F0502020204030204"/>
                <a:ea typeface="+mn-ea"/>
                <a:cs typeface="+mn-cs"/>
              </a:rPr>
              <a:t>Manure?</a:t>
            </a:r>
          </a:p>
        </xdr:txBody>
      </xdr:sp>
      <xdr:sp macro="" textlink="">
        <xdr:nvSpPr>
          <xdr:cNvPr id="57" name="Right Arrow Callout 56"/>
          <xdr:cNvSpPr/>
        </xdr:nvSpPr>
        <xdr:spPr>
          <a:xfrm>
            <a:off x="13532442" y="3362326"/>
            <a:ext cx="2315705" cy="1004974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58" name="TextBox 57"/>
          <xdr:cNvSpPr txBox="1"/>
        </xdr:nvSpPr>
        <xdr:spPr>
          <a:xfrm>
            <a:off x="13718314" y="3488267"/>
            <a:ext cx="1206500" cy="84560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600"/>
              <a:t>Import calves</a:t>
            </a:r>
          </a:p>
          <a:p>
            <a:endParaRPr lang="en-GB" sz="1600"/>
          </a:p>
        </xdr:txBody>
      </xdr:sp>
      <xdr:sp macro="" textlink="">
        <xdr:nvSpPr>
          <xdr:cNvPr id="59" name="Right Arrow Callout 58"/>
          <xdr:cNvSpPr/>
        </xdr:nvSpPr>
        <xdr:spPr>
          <a:xfrm>
            <a:off x="21616988" y="3000375"/>
            <a:ext cx="2677043" cy="1059147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0" name="TextBox 27"/>
          <xdr:cNvSpPr txBox="1"/>
        </xdr:nvSpPr>
        <xdr:spPr>
          <a:xfrm>
            <a:off x="21795128" y="2990850"/>
            <a:ext cx="1462020" cy="134459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Slaughtered calves</a:t>
            </a:r>
          </a:p>
          <a:p>
            <a:endParaRPr lang="en-GB" sz="1600"/>
          </a:p>
          <a:p>
            <a:endParaRPr lang="en-GB" sz="1600"/>
          </a:p>
          <a:p>
            <a:endParaRPr lang="en-GB" sz="1600"/>
          </a:p>
        </xdr:txBody>
      </xdr:sp>
      <xdr:sp macro="" textlink="">
        <xdr:nvSpPr>
          <xdr:cNvPr id="61" name="Right Arrow Callout 60"/>
          <xdr:cNvSpPr/>
        </xdr:nvSpPr>
        <xdr:spPr>
          <a:xfrm>
            <a:off x="21717000" y="4381500"/>
            <a:ext cx="2223559" cy="630521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2" name="TextBox 27"/>
          <xdr:cNvSpPr txBox="1"/>
        </xdr:nvSpPr>
        <xdr:spPr>
          <a:xfrm>
            <a:off x="21927095" y="4471591"/>
            <a:ext cx="1300711" cy="59323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Calf</a:t>
            </a:r>
            <a:r>
              <a:rPr lang="en-GB" sz="1600" baseline="0"/>
              <a:t> export</a:t>
            </a:r>
          </a:p>
          <a:p>
            <a:endParaRPr lang="en-GB" sz="1600"/>
          </a:p>
        </xdr:txBody>
      </xdr:sp>
      <xdr:sp macro="" textlink="">
        <xdr:nvSpPr>
          <xdr:cNvPr id="63" name="Right Arrow Callout 62"/>
          <xdr:cNvSpPr/>
        </xdr:nvSpPr>
        <xdr:spPr>
          <a:xfrm>
            <a:off x="33178750" y="3429000"/>
            <a:ext cx="2223559" cy="630521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4" name="TextBox 27"/>
          <xdr:cNvSpPr txBox="1"/>
        </xdr:nvSpPr>
        <xdr:spPr>
          <a:xfrm>
            <a:off x="33351139" y="3461941"/>
            <a:ext cx="1300711" cy="593239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Slaughtered</a:t>
            </a:r>
            <a:r>
              <a:rPr lang="en-GB" sz="1600" baseline="0"/>
              <a:t> young cattle</a:t>
            </a:r>
            <a:endParaRPr lang="en-GB" sz="1600"/>
          </a:p>
        </xdr:txBody>
      </xdr:sp>
      <xdr:sp macro="" textlink="">
        <xdr:nvSpPr>
          <xdr:cNvPr id="65" name="Right Arrow Callout 64"/>
          <xdr:cNvSpPr/>
        </xdr:nvSpPr>
        <xdr:spPr>
          <a:xfrm>
            <a:off x="25791583" y="2984500"/>
            <a:ext cx="2222500" cy="904433"/>
          </a:xfrm>
          <a:prstGeom prst="rightArrowCallout">
            <a:avLst/>
          </a:prstGeom>
          <a:solidFill>
            <a:schemeClr val="bg1"/>
          </a:solidFill>
          <a:ln w="1905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n-GB"/>
          </a:p>
        </xdr:txBody>
      </xdr:sp>
      <xdr:sp macro="" textlink="">
        <xdr:nvSpPr>
          <xdr:cNvPr id="66" name="TextBox 20"/>
          <xdr:cNvSpPr txBox="1"/>
        </xdr:nvSpPr>
        <xdr:spPr>
          <a:xfrm>
            <a:off x="25881541" y="3034844"/>
            <a:ext cx="1281642" cy="34278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GB" sz="1600"/>
              <a:t>Dairy</a:t>
            </a:r>
            <a:r>
              <a:rPr lang="en-GB" sz="1600" baseline="0"/>
              <a:t> heifers</a:t>
            </a:r>
          </a:p>
        </xdr:txBody>
      </xdr:sp>
    </xdr:grpSp>
    <xdr:clientData/>
  </xdr:twoCellAnchor>
  <xdr:twoCellAnchor>
    <xdr:from>
      <xdr:col>6</xdr:col>
      <xdr:colOff>0</xdr:colOff>
      <xdr:row>33</xdr:row>
      <xdr:rowOff>8997</xdr:rowOff>
    </xdr:from>
    <xdr:to>
      <xdr:col>17</xdr:col>
      <xdr:colOff>314801</xdr:colOff>
      <xdr:row>68</xdr:row>
      <xdr:rowOff>51860</xdr:rowOff>
    </xdr:to>
    <xdr:grpSp>
      <xdr:nvGrpSpPr>
        <xdr:cNvPr id="67" name="Group 66"/>
        <xdr:cNvGrpSpPr/>
      </xdr:nvGrpSpPr>
      <xdr:grpSpPr>
        <a:xfrm>
          <a:off x="3714750" y="6295497"/>
          <a:ext cx="7125176" cy="6710363"/>
          <a:chOff x="2445544" y="2728912"/>
          <a:chExt cx="6887051" cy="6710363"/>
        </a:xfrm>
      </xdr:grpSpPr>
      <xdr:cxnSp macro="">
        <xdr:nvCxnSpPr>
          <xdr:cNvPr id="68" name="Elbow Connector 67"/>
          <xdr:cNvCxnSpPr>
            <a:stCxn id="86" idx="2"/>
          </xdr:cNvCxnSpPr>
        </xdr:nvCxnSpPr>
        <xdr:spPr>
          <a:xfrm rot="16200000" flipH="1">
            <a:off x="2848228" y="3586469"/>
            <a:ext cx="1020255" cy="1049823"/>
          </a:xfrm>
          <a:prstGeom prst="bentConnector3">
            <a:avLst/>
          </a:prstGeom>
          <a:ln w="31750" cmpd="sng">
            <a:solidFill>
              <a:schemeClr val="accent5">
                <a:lumMod val="75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69" name="Group 68"/>
          <xdr:cNvGrpSpPr/>
        </xdr:nvGrpSpPr>
        <xdr:grpSpPr>
          <a:xfrm>
            <a:off x="2445544" y="2728912"/>
            <a:ext cx="6887051" cy="6710363"/>
            <a:chOff x="2278856" y="2824162"/>
            <a:chExt cx="6887051" cy="6710363"/>
          </a:xfrm>
        </xdr:grpSpPr>
        <xdr:sp macro="" textlink="">
          <xdr:nvSpPr>
            <xdr:cNvPr id="70" name="Rectangle 69"/>
            <xdr:cNvSpPr/>
          </xdr:nvSpPr>
          <xdr:spPr>
            <a:xfrm>
              <a:off x="3770408" y="4751136"/>
              <a:ext cx="2352596" cy="1214755"/>
            </a:xfrm>
            <a:prstGeom prst="rect">
              <a:avLst/>
            </a:prstGeom>
            <a:solidFill>
              <a:schemeClr val="bg1"/>
            </a:solidFill>
            <a:ln w="38100"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1" name="Rectangle 70"/>
            <xdr:cNvSpPr/>
          </xdr:nvSpPr>
          <xdr:spPr>
            <a:xfrm>
              <a:off x="6390251" y="6188776"/>
              <a:ext cx="2352595" cy="1214755"/>
            </a:xfrm>
            <a:prstGeom prst="rect">
              <a:avLst/>
            </a:prstGeom>
            <a:solidFill>
              <a:schemeClr val="bg1"/>
            </a:solidFill>
            <a:ln w="38100">
              <a:solidFill>
                <a:srgbClr val="FFC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2" name="Rectangle 71"/>
            <xdr:cNvSpPr/>
          </xdr:nvSpPr>
          <xdr:spPr>
            <a:xfrm>
              <a:off x="3796270" y="6201476"/>
              <a:ext cx="2352596" cy="1214755"/>
            </a:xfrm>
            <a:prstGeom prst="rect">
              <a:avLst/>
            </a:prstGeom>
            <a:solidFill>
              <a:schemeClr val="bg1"/>
            </a:solidFill>
            <a:ln w="38100"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3" name="Rectangle 72"/>
            <xdr:cNvSpPr/>
          </xdr:nvSpPr>
          <xdr:spPr>
            <a:xfrm>
              <a:off x="6399713" y="4757486"/>
              <a:ext cx="2352595" cy="1214755"/>
            </a:xfrm>
            <a:prstGeom prst="rect">
              <a:avLst/>
            </a:prstGeom>
            <a:solidFill>
              <a:schemeClr val="bg1"/>
            </a:solidFill>
            <a:ln w="38100">
              <a:solidFill>
                <a:srgbClr val="C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4" name="Rectangle 73"/>
            <xdr:cNvSpPr/>
          </xdr:nvSpPr>
          <xdr:spPr>
            <a:xfrm>
              <a:off x="4419114" y="5497261"/>
              <a:ext cx="3706148" cy="1002030"/>
            </a:xfrm>
            <a:prstGeom prst="rect">
              <a:avLst/>
            </a:prstGeom>
            <a:solidFill>
              <a:schemeClr val="bg1"/>
            </a:solidFill>
            <a:ln w="3175">
              <a:solidFill>
                <a:srgbClr val="00B05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ot="0" spcFirstLastPara="0" vert="horz" wrap="square" lIns="91440" tIns="45720" rIns="91440" bIns="45720" numCol="1" spcCol="0" rtlCol="0" fromWordArt="0" anchor="ctr" anchorCtr="0" forceAA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en-GB"/>
            </a:p>
          </xdr:txBody>
        </xdr:sp>
        <xdr:sp macro="" textlink="">
          <xdr:nvSpPr>
            <xdr:cNvPr id="75" name="TextBox 4"/>
            <xdr:cNvSpPr txBox="1">
              <a:spLocks noChangeArrowheads="1"/>
            </xdr:cNvSpPr>
          </xdr:nvSpPr>
          <xdr:spPr bwMode="auto">
            <a:xfrm>
              <a:off x="5145510" y="5688839"/>
              <a:ext cx="2508403" cy="36933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="horz" wrap="square" lIns="91440" tIns="45720" rIns="91440" bIns="45720" numCol="1" anchor="t" anchorCtr="0" compatLnSpc="1">
              <a:prstTxWarp prst="textNoShape">
                <a:avLst/>
              </a:prstTxWarp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914400" rtl="0" eaLnBrk="0" fontAlgn="base" latinLnBrk="0" hangingPunct="0">
                <a:lnSpc>
                  <a:spcPct val="100000"/>
                </a:lnSpc>
                <a:spcBef>
                  <a:spcPct val="0"/>
                </a:spcBef>
                <a:spcAft>
                  <a:spcPct val="0"/>
                </a:spcAft>
                <a:buClrTx/>
                <a:buSzTx/>
                <a:buFontTx/>
                <a:buNone/>
                <a:tabLst/>
              </a:pPr>
              <a:r>
                <a:rPr kumimoji="0" lang="en-US" altLang="en-US" sz="1800" b="0" i="0" u="none" strike="noStrike" cap="none" normalizeH="0" baseline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Adult Animals</a:t>
              </a:r>
              <a:r>
                <a:rPr kumimoji="0" lang="en-US" altLang="en-US" sz="1800" b="0" i="0" u="none" strike="noStrike" cap="none" normalizeH="0">
                  <a:ln>
                    <a:noFill/>
                  </a:ln>
                  <a:solidFill>
                    <a:srgbClr val="000000"/>
                  </a:solidFill>
                  <a:effectLst/>
                  <a:latin typeface="Calibri" panose="020F0502020204030204" pitchFamily="34" charset="0"/>
                  <a:ea typeface="Times New Roman" panose="02020603050405020304" pitchFamily="18" charset="0"/>
                  <a:cs typeface="Times New Roman" panose="02020603050405020304" pitchFamily="18" charset="0"/>
                </a:rPr>
                <a:t> &gt;= 2yrs</a:t>
              </a:r>
              <a:endParaRPr kumimoji="0" lang="en-US" altLang="en-US" sz="1800" b="0" i="0" u="none" strike="noStrike" cap="none" normalizeH="0" baseline="0">
                <a:ln>
                  <a:noFill/>
                </a:ln>
                <a:solidFill>
                  <a:schemeClr val="tx1"/>
                </a:solidFill>
                <a:effectLst/>
                <a:latin typeface="Arial" panose="020B0604020202020204" pitchFamily="34" charset="0"/>
              </a:endParaRPr>
            </a:p>
          </xdr:txBody>
        </xdr:sp>
        <xdr:sp macro="" textlink="">
          <xdr:nvSpPr>
            <xdr:cNvPr id="76" name="TextBox 12"/>
            <xdr:cNvSpPr txBox="1"/>
          </xdr:nvSpPr>
          <xdr:spPr>
            <a:xfrm>
              <a:off x="3506135" y="3006363"/>
              <a:ext cx="810129" cy="342786"/>
            </a:xfrm>
            <a:prstGeom prst="rect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/>
                <a:t>Feed </a:t>
              </a:r>
            </a:p>
          </xdr:txBody>
        </xdr:sp>
        <xdr:sp macro="" textlink="">
          <xdr:nvSpPr>
            <xdr:cNvPr id="77" name="TextBox 18"/>
            <xdr:cNvSpPr txBox="1"/>
          </xdr:nvSpPr>
          <xdr:spPr>
            <a:xfrm>
              <a:off x="4405364" y="2914650"/>
              <a:ext cx="811526" cy="530658"/>
            </a:xfrm>
            <a:prstGeom prst="rect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400"/>
                <a:t>Blue Water</a:t>
              </a:r>
            </a:p>
          </xdr:txBody>
        </xdr:sp>
        <xdr:sp macro="" textlink="">
          <xdr:nvSpPr>
            <xdr:cNvPr id="78" name="TextBox 40"/>
            <xdr:cNvSpPr txBox="1"/>
          </xdr:nvSpPr>
          <xdr:spPr>
            <a:xfrm>
              <a:off x="5304828" y="3000375"/>
              <a:ext cx="1199502" cy="334068"/>
            </a:xfrm>
            <a:prstGeom prst="rect">
              <a:avLst/>
            </a:prstGeom>
            <a:solidFill>
              <a:sysClr val="window" lastClr="FFFFFF"/>
            </a:solidFill>
            <a:ln w="0" cmpd="sng">
              <a:solidFill>
                <a:srgbClr val="0070C0"/>
              </a:solidFill>
            </a:ln>
          </xdr:spPr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/>
                <a:t>Antibiotics</a:t>
              </a:r>
            </a:p>
          </xdr:txBody>
        </xdr:sp>
        <xdr:sp macro="" textlink="">
          <xdr:nvSpPr>
            <xdr:cNvPr id="79" name="TextBox 78"/>
            <xdr:cNvSpPr txBox="1"/>
          </xdr:nvSpPr>
          <xdr:spPr>
            <a:xfrm>
              <a:off x="8291077" y="2824162"/>
              <a:ext cx="730393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Land Use</a:t>
              </a:r>
              <a:r>
                <a:rPr lang="en-GB" sz="1600" baseline="0"/>
                <a:t> </a:t>
              </a:r>
              <a:endParaRPr lang="en-GB" sz="1600"/>
            </a:p>
          </xdr:txBody>
        </xdr:sp>
        <xdr:sp macro="" textlink="">
          <xdr:nvSpPr>
            <xdr:cNvPr id="80" name="TextBox 79"/>
            <xdr:cNvSpPr txBox="1"/>
          </xdr:nvSpPr>
          <xdr:spPr>
            <a:xfrm>
              <a:off x="6606269" y="2855119"/>
              <a:ext cx="645235" cy="457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HA</a:t>
              </a:r>
            </a:p>
          </xdr:txBody>
        </xdr:sp>
        <xdr:sp macro="" textlink="">
          <xdr:nvSpPr>
            <xdr:cNvPr id="81" name="TextBox 80"/>
            <xdr:cNvSpPr txBox="1"/>
          </xdr:nvSpPr>
          <xdr:spPr>
            <a:xfrm>
              <a:off x="7298563" y="2857500"/>
              <a:ext cx="933300" cy="692943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C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Power</a:t>
              </a:r>
              <a:r>
                <a:rPr lang="en-GB" sz="1600" baseline="0"/>
                <a:t> Capacity</a:t>
              </a:r>
              <a:endParaRPr lang="en-GB" sz="1600"/>
            </a:p>
          </xdr:txBody>
        </xdr:sp>
        <xdr:sp macro="" textlink="">
          <xdr:nvSpPr>
            <xdr:cNvPr id="82" name="TextBox 81"/>
            <xdr:cNvSpPr txBox="1"/>
          </xdr:nvSpPr>
          <xdr:spPr>
            <a:xfrm>
              <a:off x="3512556" y="7915275"/>
              <a:ext cx="1515177" cy="39052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accent6">
                  <a:lumMod val="75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Green water </a:t>
              </a:r>
            </a:p>
          </xdr:txBody>
        </xdr:sp>
        <xdr:sp macro="" textlink="">
          <xdr:nvSpPr>
            <xdr:cNvPr id="83" name="TextBox 82"/>
            <xdr:cNvSpPr txBox="1"/>
          </xdr:nvSpPr>
          <xdr:spPr>
            <a:xfrm>
              <a:off x="5932647" y="8010525"/>
              <a:ext cx="1186389" cy="8382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GHG</a:t>
              </a:r>
              <a:endParaRPr lang="en-GB" sz="1600" baseline="0"/>
            </a:p>
            <a:p>
              <a:r>
                <a:rPr lang="en-GB" sz="1600" baseline="0"/>
                <a:t>(N2O, CH4, CO2)</a:t>
              </a:r>
              <a:endParaRPr lang="en-GB" sz="1600"/>
            </a:p>
          </xdr:txBody>
        </xdr:sp>
        <xdr:sp macro="" textlink="">
          <xdr:nvSpPr>
            <xdr:cNvPr id="84" name="TextBox 83"/>
            <xdr:cNvSpPr txBox="1"/>
          </xdr:nvSpPr>
          <xdr:spPr>
            <a:xfrm>
              <a:off x="7223118" y="8039100"/>
              <a:ext cx="1148544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Antibiotics</a:t>
              </a:r>
            </a:p>
          </xdr:txBody>
        </xdr:sp>
        <xdr:sp macro="" textlink="">
          <xdr:nvSpPr>
            <xdr:cNvPr id="85" name="TextBox 84"/>
            <xdr:cNvSpPr txBox="1"/>
          </xdr:nvSpPr>
          <xdr:spPr>
            <a:xfrm>
              <a:off x="8017365" y="8934450"/>
              <a:ext cx="1148542" cy="60007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rgbClr val="FFC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600"/>
                <a:t>Manure?</a:t>
              </a:r>
            </a:p>
          </xdr:txBody>
        </xdr:sp>
        <xdr:sp macro="" textlink="">
          <xdr:nvSpPr>
            <xdr:cNvPr id="86" name="TextBox 12"/>
            <xdr:cNvSpPr txBox="1"/>
          </xdr:nvSpPr>
          <xdr:spPr>
            <a:xfrm>
              <a:off x="2278856" y="3086100"/>
              <a:ext cx="810129" cy="593239"/>
            </a:xfrm>
            <a:prstGeom prst="rect">
              <a:avLst/>
            </a:prstGeom>
            <a:ln>
              <a:solidFill>
                <a:srgbClr val="0070C0"/>
              </a:solidFill>
            </a:ln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wrap="square" rtlCol="0">
              <a:no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en-GB" sz="1600"/>
                <a:t>Energy Use</a:t>
              </a:r>
            </a:p>
          </xdr:txBody>
        </xdr:sp>
        <xdr:sp macro="" textlink="">
          <xdr:nvSpPr>
            <xdr:cNvPr id="87" name="Shape 8"/>
            <xdr:cNvSpPr/>
          </xdr:nvSpPr>
          <xdr:spPr>
            <a:xfrm rot="5400000">
              <a:off x="3377333" y="3897386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4472C4">
                <a:lumMod val="75000"/>
              </a:srgbClr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88" name="Shape 8"/>
            <xdr:cNvSpPr/>
          </xdr:nvSpPr>
          <xdr:spPr>
            <a:xfrm rot="5400000">
              <a:off x="4115520" y="3933104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4472C4">
                <a:lumMod val="75000"/>
              </a:srgbClr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89" name="Shape 8"/>
            <xdr:cNvSpPr/>
          </xdr:nvSpPr>
          <xdr:spPr>
            <a:xfrm rot="5400000">
              <a:off x="5139457" y="3885480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4472C4">
                <a:lumMod val="75000"/>
              </a:srgbClr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0" name="Shape 8"/>
            <xdr:cNvSpPr/>
          </xdr:nvSpPr>
          <xdr:spPr>
            <a:xfrm rot="5400000">
              <a:off x="6330083" y="3968823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C00000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1" name="Shape 8"/>
            <xdr:cNvSpPr/>
          </xdr:nvSpPr>
          <xdr:spPr>
            <a:xfrm rot="5400000">
              <a:off x="7068271" y="4028355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C00000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2" name="Shape 8"/>
            <xdr:cNvSpPr/>
          </xdr:nvSpPr>
          <xdr:spPr>
            <a:xfrm rot="5400000">
              <a:off x="8008864" y="3980730"/>
              <a:ext cx="1238250" cy="301478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C00000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kumimoji="0" sz="11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/>
                </a:solidFill>
                <a:effectLst/>
                <a:uLnTx/>
                <a:uFillTx/>
              </a:endParaRPr>
            </a:p>
          </xdr:txBody>
        </xdr:sp>
        <xdr:sp macro="" textlink="">
          <xdr:nvSpPr>
            <xdr:cNvPr id="93" name="Shape 10"/>
            <xdr:cNvSpPr/>
          </xdr:nvSpPr>
          <xdr:spPr>
            <a:xfrm rot="16200000">
              <a:off x="3655876" y="7178812"/>
              <a:ext cx="1076325" cy="363265"/>
            </a:xfrm>
            <a:prstGeom prst="stripedRightArrow">
              <a:avLst>
                <a:gd name="adj1" fmla="val 32857"/>
                <a:gd name="adj2" fmla="val 64286"/>
              </a:avLst>
            </a:prstGeom>
            <a:solidFill>
              <a:srgbClr val="548135"/>
            </a:solidFill>
            <a:ln>
              <a:noFill/>
            </a:ln>
          </xdr:spPr>
          <xdr:txBody>
            <a:bodyPr wrap="square" lIns="91425" tIns="45700" rIns="91425" bIns="45700" anchor="t" anchorCtr="0">
              <a:noAutofit/>
            </a:bodyPr>
            <a:lstStyle/>
            <a:p>
              <a:pPr lvl="0" indent="0" algn="l">
                <a:spcBef>
                  <a:spcPts val="0"/>
                </a:spcBef>
                <a:buNone/>
              </a:pPr>
              <a:endParaRPr sz="1100"/>
            </a:p>
          </xdr:txBody>
        </xdr:sp>
        <xdr:pic>
          <xdr:nvPicPr>
            <xdr:cNvPr id="94" name="Picture 93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6512719" y="6881812"/>
              <a:ext cx="298730" cy="1079086"/>
            </a:xfrm>
            <a:prstGeom prst="rect">
              <a:avLst/>
            </a:prstGeom>
          </xdr:spPr>
        </xdr:pic>
        <xdr:pic>
          <xdr:nvPicPr>
            <xdr:cNvPr id="95" name="Picture 94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8498682" y="7141367"/>
              <a:ext cx="298730" cy="1764507"/>
            </a:xfrm>
            <a:prstGeom prst="rect">
              <a:avLst/>
            </a:prstGeom>
          </xdr:spPr>
        </xdr:pic>
        <xdr:pic>
          <xdr:nvPicPr>
            <xdr:cNvPr id="96" name="Picture 95"/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7686675" y="6972299"/>
              <a:ext cx="298730" cy="1079086"/>
            </a:xfrm>
            <a:prstGeom prst="rect">
              <a:avLst/>
            </a:prstGeom>
          </xdr:spPr>
        </xdr:pic>
      </xdr:grp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usca002/My%20Documents/MAGIC/WP4%20Case%20study/UK/Copy%20of%20Beef%20Production_UK_%20my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Data herd"/>
      <sheetName val="Input"/>
      <sheetName val="Output"/>
      <sheetName val="Import &amp; Export"/>
      <sheetName val="Coefficients"/>
      <sheetName val="SEM per week"/>
      <sheetName val="SEM per year (Statistics)"/>
      <sheetName val="SEM per year (Potential)"/>
      <sheetName val="SEM Total"/>
      <sheetName val="Database Box 1 Adult Cattle"/>
      <sheetName val="Database box 2 Calves"/>
      <sheetName val="Database box 3 Young Cattle"/>
      <sheetName val="Database Country Level"/>
      <sheetName val="Database"/>
    </sheetNames>
    <sheetDataSet>
      <sheetData sheetId="0"/>
      <sheetData sheetId="1">
        <row r="12">
          <cell r="K12" t="str">
            <v>Kg/year</v>
          </cell>
        </row>
        <row r="25">
          <cell r="K25" t="str">
            <v>Kg/year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6"/>
  <sheetViews>
    <sheetView zoomScale="70" zoomScaleNormal="70" workbookViewId="0">
      <selection activeCell="K49" sqref="K49"/>
    </sheetView>
  </sheetViews>
  <sheetFormatPr defaultRowHeight="15" x14ac:dyDescent="0.25"/>
  <cols>
    <col min="1" max="1" width="31.5703125" customWidth="1"/>
    <col min="2" max="2" width="53.28515625" customWidth="1"/>
    <col min="4" max="4" width="20.140625" customWidth="1"/>
    <col min="5" max="5" width="13.28515625" customWidth="1"/>
    <col min="10" max="10" width="30" style="14" customWidth="1"/>
    <col min="11" max="11" width="18.85546875" customWidth="1"/>
    <col min="12" max="12" width="11.42578125" customWidth="1"/>
    <col min="13" max="13" width="13.5703125" bestFit="1" customWidth="1"/>
  </cols>
  <sheetData>
    <row r="1" spans="1:15" x14ac:dyDescent="0.25">
      <c r="A1" s="3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J1" s="13" t="s">
        <v>116</v>
      </c>
      <c r="K1" s="12"/>
      <c r="L1" t="s">
        <v>117</v>
      </c>
      <c r="M1" t="s">
        <v>9</v>
      </c>
      <c r="N1" t="s">
        <v>10</v>
      </c>
      <c r="O1" t="s">
        <v>118</v>
      </c>
    </row>
    <row r="2" spans="1:15" x14ac:dyDescent="0.25">
      <c r="A2" t="s">
        <v>44</v>
      </c>
      <c r="C2">
        <v>2013</v>
      </c>
      <c r="D2" t="s">
        <v>45</v>
      </c>
      <c r="E2">
        <v>48860</v>
      </c>
      <c r="G2" t="s">
        <v>46</v>
      </c>
      <c r="K2" t="s">
        <v>119</v>
      </c>
      <c r="L2" t="s">
        <v>120</v>
      </c>
      <c r="M2">
        <f>M14+M25+M38</f>
        <v>1460769448.5632</v>
      </c>
    </row>
    <row r="3" spans="1:15" x14ac:dyDescent="0.25">
      <c r="A3" t="s">
        <v>43</v>
      </c>
      <c r="C3">
        <v>2013</v>
      </c>
      <c r="D3" t="s">
        <v>45</v>
      </c>
      <c r="E3">
        <v>15310</v>
      </c>
      <c r="G3" t="s">
        <v>46</v>
      </c>
    </row>
    <row r="4" spans="1:15" x14ac:dyDescent="0.25">
      <c r="A4" s="3" t="s">
        <v>1</v>
      </c>
      <c r="B4" s="2" t="s">
        <v>2</v>
      </c>
    </row>
    <row r="5" spans="1:15" x14ac:dyDescent="0.25">
      <c r="B5" t="s">
        <v>47</v>
      </c>
      <c r="D5" t="s">
        <v>48</v>
      </c>
      <c r="E5" s="5">
        <f>379761+2053391</f>
        <v>2433152</v>
      </c>
      <c r="F5" t="s">
        <v>49</v>
      </c>
      <c r="G5" t="s">
        <v>50</v>
      </c>
    </row>
    <row r="6" spans="1:15" x14ac:dyDescent="0.25">
      <c r="B6" t="s">
        <v>51</v>
      </c>
      <c r="D6" t="s">
        <v>52</v>
      </c>
      <c r="E6" s="5">
        <f>15190+82136</f>
        <v>97326</v>
      </c>
      <c r="F6" t="s">
        <v>53</v>
      </c>
      <c r="G6" t="s">
        <v>50</v>
      </c>
      <c r="J6" s="13" t="s">
        <v>116</v>
      </c>
      <c r="K6" s="2" t="s">
        <v>2</v>
      </c>
    </row>
    <row r="7" spans="1:15" x14ac:dyDescent="0.25">
      <c r="B7" t="s">
        <v>25</v>
      </c>
      <c r="D7" t="s">
        <v>52</v>
      </c>
      <c r="E7" s="5">
        <f>SUM(E5:E6)</f>
        <v>2530478</v>
      </c>
      <c r="F7" t="s">
        <v>54</v>
      </c>
      <c r="G7" t="s">
        <v>50</v>
      </c>
    </row>
    <row r="8" spans="1:15" x14ac:dyDescent="0.25">
      <c r="E8" s="5"/>
    </row>
    <row r="9" spans="1:15" x14ac:dyDescent="0.25">
      <c r="B9" t="s">
        <v>55</v>
      </c>
      <c r="C9">
        <v>2010</v>
      </c>
      <c r="D9" t="s">
        <v>56</v>
      </c>
      <c r="E9" s="5">
        <v>562</v>
      </c>
      <c r="F9" t="s">
        <v>57</v>
      </c>
      <c r="G9" t="s">
        <v>50</v>
      </c>
    </row>
    <row r="10" spans="1:15" x14ac:dyDescent="0.25">
      <c r="B10" t="s">
        <v>58</v>
      </c>
      <c r="C10">
        <v>2010</v>
      </c>
      <c r="D10" t="s">
        <v>56</v>
      </c>
      <c r="E10" s="5">
        <v>731</v>
      </c>
      <c r="F10" t="s">
        <v>59</v>
      </c>
      <c r="G10" t="s">
        <v>50</v>
      </c>
    </row>
    <row r="11" spans="1:15" x14ac:dyDescent="0.25">
      <c r="B11" t="s">
        <v>60</v>
      </c>
      <c r="C11">
        <v>2010</v>
      </c>
      <c r="D11" t="s">
        <v>61</v>
      </c>
      <c r="E11" s="6">
        <v>0.03</v>
      </c>
      <c r="F11" t="s">
        <v>62</v>
      </c>
      <c r="G11" t="s">
        <v>50</v>
      </c>
    </row>
    <row r="12" spans="1:15" x14ac:dyDescent="0.25">
      <c r="B12" t="s">
        <v>63</v>
      </c>
      <c r="C12">
        <v>2010</v>
      </c>
      <c r="D12" t="s">
        <v>64</v>
      </c>
      <c r="E12" s="5">
        <v>32</v>
      </c>
      <c r="F12" t="s">
        <v>65</v>
      </c>
      <c r="G12" t="s">
        <v>50</v>
      </c>
      <c r="J12" s="15"/>
      <c r="K12" t="s">
        <v>121</v>
      </c>
      <c r="L12" t="s">
        <v>120</v>
      </c>
      <c r="M12">
        <f>E6*E10</f>
        <v>71145306</v>
      </c>
    </row>
    <row r="13" spans="1:15" x14ac:dyDescent="0.25">
      <c r="B13" t="s">
        <v>66</v>
      </c>
      <c r="C13">
        <v>2010</v>
      </c>
      <c r="D13" t="s">
        <v>61</v>
      </c>
      <c r="E13" s="6">
        <v>0.15</v>
      </c>
      <c r="F13" t="s">
        <v>67</v>
      </c>
      <c r="G13" t="s">
        <v>50</v>
      </c>
      <c r="K13" t="s">
        <v>122</v>
      </c>
      <c r="L13" t="s">
        <v>120</v>
      </c>
      <c r="M13">
        <f>E5*E9</f>
        <v>1367431424</v>
      </c>
    </row>
    <row r="14" spans="1:15" x14ac:dyDescent="0.25">
      <c r="B14" s="7" t="s">
        <v>68</v>
      </c>
      <c r="C14">
        <v>2010</v>
      </c>
      <c r="D14" t="s">
        <v>61</v>
      </c>
      <c r="E14" s="6">
        <v>0.93</v>
      </c>
      <c r="F14" t="s">
        <v>69</v>
      </c>
      <c r="G14" t="s">
        <v>50</v>
      </c>
      <c r="J14" s="16" t="s">
        <v>123</v>
      </c>
      <c r="K14" t="s">
        <v>124</v>
      </c>
      <c r="L14" t="s">
        <v>120</v>
      </c>
      <c r="M14">
        <f>SUM(M12:M13)</f>
        <v>1438576730</v>
      </c>
    </row>
    <row r="15" spans="1:15" x14ac:dyDescent="0.25">
      <c r="B15" s="8" t="s">
        <v>70</v>
      </c>
      <c r="C15" s="9"/>
      <c r="D15" s="9" t="s">
        <v>61</v>
      </c>
      <c r="E15" s="6">
        <v>0.93</v>
      </c>
      <c r="F15" s="9"/>
      <c r="G15" s="9" t="s">
        <v>71</v>
      </c>
    </row>
    <row r="16" spans="1:15" x14ac:dyDescent="0.25">
      <c r="B16" s="8" t="s">
        <v>230</v>
      </c>
      <c r="C16" s="9"/>
      <c r="D16" s="9" t="s">
        <v>61</v>
      </c>
      <c r="E16" s="6">
        <v>7.0000000000000007E-2</v>
      </c>
      <c r="F16" s="9"/>
      <c r="G16" s="9" t="s">
        <v>71</v>
      </c>
    </row>
    <row r="17" spans="1:15" x14ac:dyDescent="0.25">
      <c r="B17" s="7" t="s">
        <v>72</v>
      </c>
      <c r="D17" t="s">
        <v>48</v>
      </c>
      <c r="E17">
        <f>(E5*E15)/100%</f>
        <v>2262831.3600000003</v>
      </c>
      <c r="L17" t="s">
        <v>125</v>
      </c>
      <c r="M17">
        <f>M14/1000000000</f>
        <v>1.4385767300000001</v>
      </c>
    </row>
    <row r="18" spans="1:15" x14ac:dyDescent="0.25">
      <c r="B18" s="7" t="s">
        <v>73</v>
      </c>
      <c r="D18" t="s">
        <v>48</v>
      </c>
      <c r="E18" s="5">
        <f>(E5*E16)*100%</f>
        <v>170320.64000000001</v>
      </c>
    </row>
    <row r="19" spans="1:15" x14ac:dyDescent="0.25">
      <c r="B19" s="2" t="s">
        <v>3</v>
      </c>
      <c r="E19">
        <f>SUM(E17:E18)</f>
        <v>2433152.0000000005</v>
      </c>
    </row>
    <row r="20" spans="1:15" x14ac:dyDescent="0.25">
      <c r="E20" s="5"/>
      <c r="J20" s="13" t="s">
        <v>116</v>
      </c>
      <c r="K20" s="2" t="s">
        <v>3</v>
      </c>
    </row>
    <row r="21" spans="1:15" x14ac:dyDescent="0.25">
      <c r="E21" s="5"/>
    </row>
    <row r="22" spans="1:15" x14ac:dyDescent="0.25">
      <c r="B22" t="s">
        <v>3</v>
      </c>
      <c r="D22" t="s">
        <v>52</v>
      </c>
      <c r="E22" s="5">
        <f>E5*E14*M30</f>
        <v>113141.56800000003</v>
      </c>
      <c r="G22" t="s">
        <v>50</v>
      </c>
    </row>
    <row r="23" spans="1:15" x14ac:dyDescent="0.25">
      <c r="B23" t="s">
        <v>74</v>
      </c>
      <c r="D23" t="s">
        <v>56</v>
      </c>
      <c r="E23">
        <v>40</v>
      </c>
      <c r="G23" t="s">
        <v>75</v>
      </c>
      <c r="K23" s="9" t="s">
        <v>126</v>
      </c>
      <c r="L23" t="s">
        <v>120</v>
      </c>
      <c r="M23">
        <f>E22*E25</f>
        <v>20252340.672000006</v>
      </c>
    </row>
    <row r="24" spans="1:15" x14ac:dyDescent="0.25">
      <c r="A24" s="10"/>
      <c r="B24" t="s">
        <v>76</v>
      </c>
      <c r="D24" t="s">
        <v>56</v>
      </c>
      <c r="E24" s="9">
        <v>277</v>
      </c>
      <c r="G24" t="s">
        <v>75</v>
      </c>
      <c r="J24" s="17"/>
      <c r="K24" s="9"/>
      <c r="M24" s="9"/>
      <c r="N24" s="10"/>
      <c r="O24" s="10"/>
    </row>
    <row r="25" spans="1:15" x14ac:dyDescent="0.25">
      <c r="A25" s="10"/>
      <c r="B25" t="s">
        <v>77</v>
      </c>
      <c r="D25" t="s">
        <v>56</v>
      </c>
      <c r="E25" s="9">
        <v>179</v>
      </c>
      <c r="G25" t="s">
        <v>75</v>
      </c>
      <c r="J25" s="18" t="s">
        <v>127</v>
      </c>
      <c r="K25" s="9" t="s">
        <v>128</v>
      </c>
      <c r="L25" t="s">
        <v>120</v>
      </c>
      <c r="M25" s="9">
        <f>SUM(M23:M24)</f>
        <v>20252340.672000006</v>
      </c>
      <c r="N25" s="10"/>
      <c r="O25" s="10"/>
    </row>
    <row r="26" spans="1:15" x14ac:dyDescent="0.25">
      <c r="A26" s="10"/>
      <c r="E26" s="9"/>
      <c r="J26" s="18"/>
      <c r="K26" s="9"/>
      <c r="M26" s="9"/>
      <c r="N26" s="10"/>
      <c r="O26" s="10"/>
    </row>
    <row r="27" spans="1:15" x14ac:dyDescent="0.25">
      <c r="A27" s="10"/>
      <c r="E27" s="9"/>
      <c r="J27" s="18"/>
      <c r="K27" s="9"/>
      <c r="L27" t="s">
        <v>129</v>
      </c>
      <c r="M27" s="9">
        <f>M25/1000000</f>
        <v>20.252340672000006</v>
      </c>
      <c r="N27" s="10"/>
      <c r="O27" s="10"/>
    </row>
    <row r="28" spans="1:15" x14ac:dyDescent="0.25">
      <c r="A28" s="10"/>
      <c r="E28" s="9"/>
      <c r="J28" s="17"/>
      <c r="K28" s="9"/>
      <c r="M28" s="9"/>
      <c r="N28" s="10"/>
      <c r="O28" s="10"/>
    </row>
    <row r="29" spans="1:15" x14ac:dyDescent="0.25">
      <c r="A29" s="10"/>
      <c r="B29" s="9" t="s">
        <v>78</v>
      </c>
      <c r="C29" s="9">
        <v>2010</v>
      </c>
      <c r="D29" s="9" t="s">
        <v>61</v>
      </c>
      <c r="E29" s="6">
        <v>0.1</v>
      </c>
      <c r="F29" s="9"/>
      <c r="G29" s="9" t="s">
        <v>50</v>
      </c>
      <c r="J29" s="17"/>
      <c r="K29" s="9" t="s">
        <v>130</v>
      </c>
      <c r="L29" s="9" t="s">
        <v>131</v>
      </c>
      <c r="M29" s="9">
        <f>(E24-E23)/365</f>
        <v>0.64931506849315068</v>
      </c>
      <c r="N29" s="10"/>
      <c r="O29" s="10"/>
    </row>
    <row r="30" spans="1:15" x14ac:dyDescent="0.25">
      <c r="A30" s="10"/>
      <c r="B30" s="9" t="s">
        <v>79</v>
      </c>
      <c r="C30" s="9">
        <v>2010</v>
      </c>
      <c r="D30" s="9" t="s">
        <v>61</v>
      </c>
      <c r="E30" s="6">
        <v>0.1</v>
      </c>
      <c r="F30" s="9"/>
      <c r="G30" s="9" t="s">
        <v>50</v>
      </c>
      <c r="J30" s="17"/>
      <c r="K30" s="9" t="s">
        <v>132</v>
      </c>
      <c r="L30" s="9" t="s">
        <v>61</v>
      </c>
      <c r="M30" s="9">
        <f>E30/2</f>
        <v>0.05</v>
      </c>
      <c r="N30" s="10"/>
      <c r="O30" s="10"/>
    </row>
    <row r="31" spans="1:15" x14ac:dyDescent="0.25">
      <c r="A31" s="10"/>
      <c r="B31" s="10"/>
      <c r="C31" s="10"/>
      <c r="D31" s="10"/>
      <c r="E31" s="11"/>
      <c r="F31" s="10"/>
      <c r="G31" s="10"/>
      <c r="J31" s="17"/>
      <c r="K31" s="10"/>
      <c r="L31" s="10"/>
      <c r="M31" s="10"/>
      <c r="N31" s="10"/>
      <c r="O31" s="10"/>
    </row>
    <row r="32" spans="1:15" x14ac:dyDescent="0.25">
      <c r="A32" s="9"/>
      <c r="B32" s="9"/>
      <c r="C32" s="9"/>
      <c r="D32" s="9"/>
      <c r="E32" s="9"/>
      <c r="F32" s="9"/>
      <c r="G32" s="9"/>
      <c r="J32" s="18"/>
      <c r="K32" s="9"/>
      <c r="L32" s="9"/>
      <c r="M32" s="9"/>
      <c r="N32" s="9"/>
      <c r="O32" s="9"/>
    </row>
    <row r="33" spans="1:15" x14ac:dyDescent="0.25">
      <c r="A33" s="9"/>
      <c r="B33" s="9"/>
      <c r="C33" s="9"/>
      <c r="D33" s="9"/>
      <c r="E33" s="9"/>
      <c r="F33" s="9"/>
      <c r="G33" s="9"/>
      <c r="J33" s="18"/>
      <c r="K33" s="9"/>
      <c r="L33" s="9"/>
      <c r="M33" s="9"/>
      <c r="N33" s="9"/>
      <c r="O33" s="9"/>
    </row>
    <row r="34" spans="1:15" x14ac:dyDescent="0.25">
      <c r="B34" s="2" t="s">
        <v>4</v>
      </c>
      <c r="J34" s="13" t="s">
        <v>116</v>
      </c>
      <c r="K34" s="2" t="s">
        <v>4</v>
      </c>
    </row>
    <row r="35" spans="1:15" x14ac:dyDescent="0.25">
      <c r="B35" t="s">
        <v>4</v>
      </c>
      <c r="D35" t="s">
        <v>48</v>
      </c>
      <c r="E35" s="5">
        <f>E22*M43</f>
        <v>5657.0784000000021</v>
      </c>
      <c r="G35" t="s">
        <v>50</v>
      </c>
    </row>
    <row r="36" spans="1:15" x14ac:dyDescent="0.25">
      <c r="B36" s="7"/>
      <c r="E36" s="5"/>
      <c r="K36" t="s">
        <v>133</v>
      </c>
      <c r="M36">
        <f>E35*E39</f>
        <v>1940377.8912000007</v>
      </c>
    </row>
    <row r="37" spans="1:15" x14ac:dyDescent="0.25">
      <c r="B37" t="s">
        <v>80</v>
      </c>
      <c r="D37" t="s">
        <v>56</v>
      </c>
      <c r="E37" s="9">
        <v>277</v>
      </c>
      <c r="G37" t="s">
        <v>75</v>
      </c>
    </row>
    <row r="38" spans="1:15" x14ac:dyDescent="0.25">
      <c r="A38" s="10"/>
      <c r="B38" t="s">
        <v>81</v>
      </c>
      <c r="D38" t="s">
        <v>56</v>
      </c>
      <c r="E38" s="9">
        <v>388</v>
      </c>
      <c r="G38" t="s">
        <v>75</v>
      </c>
      <c r="J38" s="18" t="s">
        <v>127</v>
      </c>
      <c r="K38" s="9" t="s">
        <v>134</v>
      </c>
      <c r="L38" s="9" t="s">
        <v>135</v>
      </c>
      <c r="M38" s="9">
        <f>SUM(M36:M37)</f>
        <v>1940377.8912000007</v>
      </c>
      <c r="N38" s="10"/>
      <c r="O38" s="10"/>
    </row>
    <row r="39" spans="1:15" x14ac:dyDescent="0.25">
      <c r="A39" s="10"/>
      <c r="B39" t="s">
        <v>82</v>
      </c>
      <c r="D39" t="s">
        <v>56</v>
      </c>
      <c r="E39" s="9">
        <v>343</v>
      </c>
      <c r="G39" t="s">
        <v>75</v>
      </c>
      <c r="J39" s="17"/>
      <c r="K39" s="10"/>
      <c r="L39" s="10"/>
      <c r="M39" s="10"/>
      <c r="N39" s="10"/>
      <c r="O39" s="10"/>
    </row>
    <row r="40" spans="1:15" x14ac:dyDescent="0.25">
      <c r="A40" s="10"/>
      <c r="E40" s="9"/>
      <c r="J40" s="17"/>
      <c r="K40" s="10"/>
      <c r="L40" s="9" t="s">
        <v>129</v>
      </c>
      <c r="M40" s="9">
        <f>M38/1000000</f>
        <v>1.9403778912000007</v>
      </c>
      <c r="N40" s="10"/>
      <c r="O40" s="10"/>
    </row>
    <row r="41" spans="1:15" x14ac:dyDescent="0.25">
      <c r="A41" s="10"/>
      <c r="E41" s="9"/>
      <c r="J41" s="17"/>
      <c r="K41" s="10"/>
      <c r="L41" s="10"/>
      <c r="M41" s="10"/>
      <c r="N41" s="10"/>
      <c r="O41" s="10"/>
    </row>
    <row r="42" spans="1:15" x14ac:dyDescent="0.25">
      <c r="A42" s="10"/>
      <c r="J42" s="17"/>
      <c r="K42" s="9" t="s">
        <v>136</v>
      </c>
      <c r="L42" s="9" t="s">
        <v>131</v>
      </c>
      <c r="M42" s="9">
        <f>(E38-E37)/365</f>
        <v>0.30410958904109592</v>
      </c>
      <c r="N42" s="10"/>
      <c r="O42" s="10"/>
    </row>
    <row r="43" spans="1:15" x14ac:dyDescent="0.25">
      <c r="A43" s="10"/>
      <c r="B43" s="8" t="s">
        <v>78</v>
      </c>
      <c r="C43" s="9">
        <v>2010</v>
      </c>
      <c r="D43" s="9" t="s">
        <v>61</v>
      </c>
      <c r="E43" s="6">
        <v>0.1</v>
      </c>
      <c r="F43" s="9"/>
      <c r="G43" s="9" t="s">
        <v>50</v>
      </c>
      <c r="J43" s="17"/>
      <c r="K43" s="9" t="s">
        <v>137</v>
      </c>
      <c r="L43" s="9" t="s">
        <v>61</v>
      </c>
      <c r="M43" s="9">
        <f>E44/2</f>
        <v>0.05</v>
      </c>
      <c r="N43" s="10"/>
      <c r="O43" s="10"/>
    </row>
    <row r="44" spans="1:15" x14ac:dyDescent="0.25">
      <c r="A44" s="10"/>
      <c r="B44" s="9" t="s">
        <v>83</v>
      </c>
      <c r="C44" s="9">
        <v>2010</v>
      </c>
      <c r="D44" s="9" t="s">
        <v>61</v>
      </c>
      <c r="E44" s="6">
        <v>0.1</v>
      </c>
      <c r="F44" s="9"/>
      <c r="G44" s="9" t="s">
        <v>50</v>
      </c>
      <c r="J44" s="17"/>
      <c r="K44" s="9"/>
      <c r="L44" s="9"/>
      <c r="M44" s="9"/>
      <c r="N44" s="10"/>
      <c r="O44" s="10"/>
    </row>
    <row r="45" spans="1:15" x14ac:dyDescent="0.25">
      <c r="A45" s="3" t="s">
        <v>5</v>
      </c>
      <c r="K45" t="s">
        <v>138</v>
      </c>
      <c r="L45" s="9" t="s">
        <v>42</v>
      </c>
      <c r="M45">
        <f>E5*E13</f>
        <v>364972.79999999999</v>
      </c>
    </row>
    <row r="46" spans="1:15" x14ac:dyDescent="0.25">
      <c r="A46" s="3"/>
      <c r="L46" s="9" t="s">
        <v>135</v>
      </c>
      <c r="M46">
        <f>M45*E39</f>
        <v>125185670.39999999</v>
      </c>
    </row>
    <row r="47" spans="1:15" x14ac:dyDescent="0.25">
      <c r="B47" t="s">
        <v>84</v>
      </c>
      <c r="C47" t="s">
        <v>85</v>
      </c>
      <c r="D47" t="s">
        <v>86</v>
      </c>
      <c r="E47">
        <f>'Variables calculations'!D3*('Data herd'!E9)^0.75</f>
        <v>44.554291440263697</v>
      </c>
      <c r="G47" t="s">
        <v>87</v>
      </c>
      <c r="L47" s="9" t="s">
        <v>129</v>
      </c>
      <c r="M47">
        <f>M46/1000000</f>
        <v>125.18567039999999</v>
      </c>
    </row>
    <row r="48" spans="1:15" x14ac:dyDescent="0.25">
      <c r="B48" t="s">
        <v>88</v>
      </c>
      <c r="C48" t="s">
        <v>85</v>
      </c>
      <c r="D48" t="s">
        <v>86</v>
      </c>
      <c r="E48">
        <f>'Variables calculations'!D2*('Data herd'!E9)^0.75</f>
        <v>37.167051408717384</v>
      </c>
      <c r="G48" t="s">
        <v>87</v>
      </c>
    </row>
    <row r="49" spans="2:7" x14ac:dyDescent="0.25">
      <c r="B49" t="s">
        <v>89</v>
      </c>
      <c r="C49" t="s">
        <v>85</v>
      </c>
      <c r="D49" t="s">
        <v>86</v>
      </c>
      <c r="E49">
        <f>'Variables calculations'!D4*('Data herd'!E10)^0.75</f>
        <v>52.01633591557087</v>
      </c>
      <c r="G49" t="s">
        <v>87</v>
      </c>
    </row>
    <row r="50" spans="2:7" x14ac:dyDescent="0.25">
      <c r="B50" t="s">
        <v>90</v>
      </c>
      <c r="C50" t="s">
        <v>85</v>
      </c>
      <c r="D50" t="s">
        <v>86</v>
      </c>
      <c r="E50">
        <f>'Variables calculations'!D2*('Data herd'!E25)^0.75</f>
        <v>15.757802208705906</v>
      </c>
      <c r="G50" t="s">
        <v>87</v>
      </c>
    </row>
    <row r="51" spans="2:7" x14ac:dyDescent="0.25">
      <c r="B51" t="s">
        <v>91</v>
      </c>
      <c r="C51" t="s">
        <v>85</v>
      </c>
      <c r="D51" t="s">
        <v>86</v>
      </c>
      <c r="E51">
        <f>'Variables calculations'!D2*('Data herd'!E39)^0.75</f>
        <v>25.664124990467663</v>
      </c>
      <c r="G51" t="s">
        <v>87</v>
      </c>
    </row>
    <row r="52" spans="2:7" x14ac:dyDescent="0.25">
      <c r="B52" t="s">
        <v>92</v>
      </c>
      <c r="C52" t="s">
        <v>85</v>
      </c>
      <c r="D52" t="s">
        <v>86</v>
      </c>
      <c r="E52">
        <f>'Variables calculations'!D4*('Data herd'!E39)^0.75</f>
        <v>29.489833063580853</v>
      </c>
      <c r="G52" t="s">
        <v>87</v>
      </c>
    </row>
    <row r="54" spans="2:7" x14ac:dyDescent="0.25">
      <c r="B54" t="s">
        <v>93</v>
      </c>
      <c r="D54" t="s">
        <v>86</v>
      </c>
      <c r="E54">
        <f>'Variables calculations'!$D$6*('Data herd'!E47)</f>
        <v>7.5742295448448287</v>
      </c>
      <c r="G54" t="s">
        <v>87</v>
      </c>
    </row>
    <row r="55" spans="2:7" x14ac:dyDescent="0.25">
      <c r="B55" t="s">
        <v>94</v>
      </c>
      <c r="D55" t="s">
        <v>86</v>
      </c>
      <c r="E55">
        <f>'Variables calculations'!$D$6*('Data herd'!E48)</f>
        <v>6.3183987394819559</v>
      </c>
    </row>
    <row r="56" spans="2:7" x14ac:dyDescent="0.25">
      <c r="B56" t="s">
        <v>95</v>
      </c>
      <c r="D56" t="s">
        <v>86</v>
      </c>
      <c r="E56">
        <f>'Variables calculations'!$D$6*('Data herd'!E49)</f>
        <v>8.8427771056470483</v>
      </c>
      <c r="G56" t="s">
        <v>87</v>
      </c>
    </row>
    <row r="57" spans="2:7" x14ac:dyDescent="0.25">
      <c r="B57" t="s">
        <v>96</v>
      </c>
      <c r="D57" t="s">
        <v>86</v>
      </c>
      <c r="E57">
        <f>'Variables calculations'!$D$6*('Data herd'!E50)</f>
        <v>2.6788263754800044</v>
      </c>
      <c r="G57" t="s">
        <v>87</v>
      </c>
    </row>
    <row r="58" spans="2:7" x14ac:dyDescent="0.25">
      <c r="B58" t="s">
        <v>97</v>
      </c>
      <c r="D58" t="s">
        <v>86</v>
      </c>
      <c r="E58">
        <f>'Variables calculations'!$D$6*('Data herd'!E51)</f>
        <v>4.3629012483795027</v>
      </c>
      <c r="G58" t="s">
        <v>87</v>
      </c>
    </row>
    <row r="59" spans="2:7" x14ac:dyDescent="0.25">
      <c r="B59" t="s">
        <v>98</v>
      </c>
      <c r="D59" t="s">
        <v>86</v>
      </c>
      <c r="E59">
        <f>'Variables calculations'!$D$6*('Data herd'!E52)</f>
        <v>5.0132716208087453</v>
      </c>
    </row>
    <row r="61" spans="2:7" x14ac:dyDescent="0.25">
      <c r="B61" t="s">
        <v>99</v>
      </c>
      <c r="D61" t="s">
        <v>86</v>
      </c>
      <c r="E61">
        <f>22.02*((E39/('Variables calculations'!D9*E9))^0.75)*(M29^1.097)</f>
        <v>11.192622105766826</v>
      </c>
      <c r="G61" t="s">
        <v>87</v>
      </c>
    </row>
    <row r="62" spans="2:7" x14ac:dyDescent="0.25">
      <c r="B62" t="s">
        <v>100</v>
      </c>
      <c r="D62" t="s">
        <v>86</v>
      </c>
      <c r="E62">
        <f>22.02*((E39/('Variables calculations'!D9*E9))^0.75)*(M42^1.097)</f>
        <v>4.8702607448296718</v>
      </c>
      <c r="G62" t="s">
        <v>87</v>
      </c>
    </row>
    <row r="63" spans="2:7" x14ac:dyDescent="0.25">
      <c r="B63" t="s">
        <v>101</v>
      </c>
      <c r="D63" t="s">
        <v>86</v>
      </c>
      <c r="E63">
        <f>22.02*((E39/('Variables calculations'!D10*E9))^0.75)*(M42^1.097)</f>
        <v>3.5932196736861464</v>
      </c>
      <c r="G63" t="s">
        <v>87</v>
      </c>
    </row>
    <row r="66" spans="2:7" x14ac:dyDescent="0.25">
      <c r="B66" t="s">
        <v>102</v>
      </c>
      <c r="D66" t="s">
        <v>86</v>
      </c>
      <c r="E66">
        <f>'Variables calculations'!D18*(1.47+0.4*'Variables calculations'!D17)</f>
        <v>64.050038356164379</v>
      </c>
      <c r="G66" t="s">
        <v>87</v>
      </c>
    </row>
    <row r="69" spans="2:7" x14ac:dyDescent="0.25">
      <c r="B69" t="s">
        <v>103</v>
      </c>
      <c r="D69" t="s">
        <v>86</v>
      </c>
      <c r="E69">
        <f>'Variables calculations'!D20*E47</f>
        <v>4.45542914402637</v>
      </c>
      <c r="G69" t="s">
        <v>87</v>
      </c>
    </row>
    <row r="72" spans="2:7" x14ac:dyDescent="0.25">
      <c r="B72" t="s">
        <v>104</v>
      </c>
      <c r="D72" t="s">
        <v>86</v>
      </c>
      <c r="E72">
        <f>(1.123-(4.092*10^-3*'Variables calculations'!D12)+(1.126*10^-5*('Variables calculations'!D12)^2)-(25.4/'Variables calculations'!D12))</f>
        <v>0.51382426923076929</v>
      </c>
      <c r="G72" t="s">
        <v>87</v>
      </c>
    </row>
    <row r="73" spans="2:7" x14ac:dyDescent="0.25">
      <c r="B73" t="s">
        <v>105</v>
      </c>
      <c r="D73" t="s">
        <v>86</v>
      </c>
      <c r="E73">
        <f>(1.123-(4.092*10^-3*'Variables calculations'!D13)+(1.126*10^-5*('Variables calculations'!D13)^2)-(25.4/'Variables calculations'!D13))</f>
        <v>0.54077083333333342</v>
      </c>
      <c r="G73" t="s">
        <v>87</v>
      </c>
    </row>
    <row r="74" spans="2:7" x14ac:dyDescent="0.25">
      <c r="B74" t="s">
        <v>106</v>
      </c>
      <c r="D74" t="s">
        <v>86</v>
      </c>
      <c r="E74">
        <f>(1.123-(4.092*10^-3*'Variables calculations'!D14)+(1.126*10^-5*('Variables calculations'!D14)^2)-(25.4/'Variables calculations'!D14))</f>
        <v>0.52887685714285726</v>
      </c>
      <c r="G74" t="s">
        <v>87</v>
      </c>
    </row>
    <row r="76" spans="2:7" x14ac:dyDescent="0.25">
      <c r="B76" t="s">
        <v>107</v>
      </c>
      <c r="D76" t="s">
        <v>86</v>
      </c>
      <c r="E76">
        <f>(1.1164-(5.16*10^-3*'Variables calculations'!D12)+(1.308*10^-5*('Variables calculations'!D12)^2)-37.4/'Variables calculations'!D12)</f>
        <v>0.2608783846153846</v>
      </c>
      <c r="G76" t="s">
        <v>87</v>
      </c>
    </row>
    <row r="77" spans="2:7" x14ac:dyDescent="0.25">
      <c r="B77" t="s">
        <v>108</v>
      </c>
      <c r="D77" t="s">
        <v>86</v>
      </c>
      <c r="E77">
        <f>(1.1164-(5.16*10^-3*'Variables calculations'!D13)+(1.308*10^-5*('Variables calculations'!D13)^2)-37.4/'Variables calculations'!D13)</f>
        <v>0.30430833333333346</v>
      </c>
      <c r="G77" t="s">
        <v>87</v>
      </c>
    </row>
    <row r="78" spans="2:7" x14ac:dyDescent="0.25">
      <c r="B78" t="s">
        <v>109</v>
      </c>
      <c r="D78" t="s">
        <v>86</v>
      </c>
      <c r="E78">
        <f>(1.1164-(5.16*10^-3*'Variables calculations'!D14)+(1.308*10^-5*('Variables calculations'!D14)^2)-37.4/'Variables calculations'!D14)</f>
        <v>0.28500628571428588</v>
      </c>
      <c r="G78" t="s">
        <v>87</v>
      </c>
    </row>
    <row r="81" spans="2:7" x14ac:dyDescent="0.25">
      <c r="B81" t="s">
        <v>110</v>
      </c>
      <c r="D81" t="s">
        <v>86</v>
      </c>
      <c r="E81">
        <f>(((E47+E54+E66+E69)/E72)/('Variables calculations'!D12/100))</f>
        <v>361.19498947312729</v>
      </c>
      <c r="G81" t="s">
        <v>87</v>
      </c>
    </row>
    <row r="82" spans="2:7" x14ac:dyDescent="0.25">
      <c r="B82" t="s">
        <v>111</v>
      </c>
      <c r="D82" t="s">
        <v>86</v>
      </c>
      <c r="E82" s="8">
        <f>(((E48+E54)/E72)/('Variables calculations'!D12/100))</f>
        <v>133.96163640071859</v>
      </c>
      <c r="G82" t="s">
        <v>87</v>
      </c>
    </row>
    <row r="83" spans="2:7" x14ac:dyDescent="0.25">
      <c r="B83" t="s">
        <v>112</v>
      </c>
      <c r="D83" t="s">
        <v>86</v>
      </c>
      <c r="E83">
        <f>(((E49+E56)/E72)/('Variables calculations'!D12/100))</f>
        <v>182.22067398295007</v>
      </c>
      <c r="G83" t="s">
        <v>87</v>
      </c>
    </row>
    <row r="84" spans="2:7" x14ac:dyDescent="0.25">
      <c r="B84" t="s">
        <v>113</v>
      </c>
      <c r="D84" t="s">
        <v>86</v>
      </c>
      <c r="E84" s="8">
        <f>(((E50+E57)/E73)+(E61/E77))/('Variables calculations'!D13/100)</f>
        <v>94.498358400270263</v>
      </c>
      <c r="G84" t="s">
        <v>87</v>
      </c>
    </row>
    <row r="85" spans="2:7" x14ac:dyDescent="0.25">
      <c r="B85" t="s">
        <v>114</v>
      </c>
      <c r="D85" t="s">
        <v>86</v>
      </c>
      <c r="E85" s="8">
        <f>(((E51+E58)/E74)+(E62/E78))/('Variables calculations'!D14/100)</f>
        <v>105.51905428220851</v>
      </c>
      <c r="G85" t="s">
        <v>87</v>
      </c>
    </row>
    <row r="86" spans="2:7" x14ac:dyDescent="0.25">
      <c r="B86" t="s">
        <v>115</v>
      </c>
      <c r="D86" t="s">
        <v>86</v>
      </c>
      <c r="E86">
        <f>(((E52+E58)/E74)+(E63/E78))/('Variables calculations'!D14/100)</f>
        <v>109.4517673816582</v>
      </c>
      <c r="G86" t="s">
        <v>87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5" sqref="G35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32" sqref="M32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3" sqref="Q33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zoomScaleNormal="100" workbookViewId="0">
      <selection activeCell="W63" sqref="W6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4"/>
  <sheetViews>
    <sheetView topLeftCell="A138" zoomScale="90" zoomScaleNormal="90" workbookViewId="0">
      <selection activeCell="N157" sqref="N157"/>
    </sheetView>
  </sheetViews>
  <sheetFormatPr defaultRowHeight="15" x14ac:dyDescent="0.25"/>
  <cols>
    <col min="1" max="1" width="23.140625" customWidth="1"/>
    <col min="4" max="4" width="26.28515625" customWidth="1"/>
    <col min="6" max="6" width="15.140625" customWidth="1"/>
    <col min="10" max="10" width="30.7109375" style="32" customWidth="1"/>
    <col min="11" max="11" width="24.85546875" customWidth="1"/>
    <col min="13" max="13" width="26.85546875" customWidth="1"/>
    <col min="14" max="14" width="12" bestFit="1" customWidth="1"/>
  </cols>
  <sheetData>
    <row r="1" spans="1:16" x14ac:dyDescent="0.25">
      <c r="A1" s="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s="35"/>
      <c r="J1" s="13" t="s">
        <v>116</v>
      </c>
      <c r="K1" s="4" t="s">
        <v>218</v>
      </c>
      <c r="L1" s="4" t="s">
        <v>7</v>
      </c>
      <c r="M1" s="4" t="s">
        <v>8</v>
      </c>
      <c r="N1" s="4" t="s">
        <v>9</v>
      </c>
      <c r="O1" s="29" t="s">
        <v>219</v>
      </c>
      <c r="P1" s="4" t="s">
        <v>118</v>
      </c>
    </row>
    <row r="2" spans="1:16" x14ac:dyDescent="0.25">
      <c r="A2" t="s">
        <v>13</v>
      </c>
      <c r="C2">
        <v>2015</v>
      </c>
      <c r="D2" t="s">
        <v>15</v>
      </c>
      <c r="E2">
        <v>761600</v>
      </c>
      <c r="G2" t="s">
        <v>14</v>
      </c>
      <c r="I2" s="35"/>
      <c r="J2" s="14"/>
    </row>
    <row r="3" spans="1:16" x14ac:dyDescent="0.25">
      <c r="I3" s="35"/>
      <c r="J3" s="14"/>
      <c r="K3" t="s">
        <v>231</v>
      </c>
      <c r="M3" t="s">
        <v>232</v>
      </c>
      <c r="N3">
        <f>E8*'Data herd'!E2</f>
        <v>248892840</v>
      </c>
    </row>
    <row r="4" spans="1:16" x14ac:dyDescent="0.25">
      <c r="A4" s="4" t="s">
        <v>27</v>
      </c>
      <c r="B4" t="s">
        <v>28</v>
      </c>
      <c r="C4">
        <v>2013</v>
      </c>
      <c r="D4" t="s">
        <v>34</v>
      </c>
      <c r="E4">
        <v>1.37</v>
      </c>
      <c r="G4" t="s">
        <v>29</v>
      </c>
      <c r="I4" s="35"/>
      <c r="J4" s="14"/>
      <c r="M4" t="s">
        <v>233</v>
      </c>
      <c r="N4">
        <f>N3/1000000</f>
        <v>248.89284000000001</v>
      </c>
    </row>
    <row r="5" spans="1:16" x14ac:dyDescent="0.25">
      <c r="A5" s="4"/>
      <c r="B5" t="s">
        <v>30</v>
      </c>
      <c r="C5">
        <v>2013</v>
      </c>
      <c r="D5" t="s">
        <v>34</v>
      </c>
      <c r="E5">
        <v>1.46</v>
      </c>
      <c r="G5" t="s">
        <v>29</v>
      </c>
      <c r="I5" s="35"/>
      <c r="J5" s="36" t="s">
        <v>2</v>
      </c>
    </row>
    <row r="6" spans="1:16" x14ac:dyDescent="0.25">
      <c r="A6" s="4"/>
      <c r="B6" t="s">
        <v>31</v>
      </c>
      <c r="C6">
        <v>2013</v>
      </c>
      <c r="D6" t="s">
        <v>34</v>
      </c>
      <c r="E6">
        <v>0</v>
      </c>
      <c r="G6" t="s">
        <v>29</v>
      </c>
      <c r="I6" s="35"/>
      <c r="J6" s="14"/>
    </row>
    <row r="7" spans="1:16" x14ac:dyDescent="0.25">
      <c r="A7" s="4"/>
      <c r="B7" t="s">
        <v>25</v>
      </c>
      <c r="C7">
        <v>2013</v>
      </c>
      <c r="D7" t="s">
        <v>34</v>
      </c>
      <c r="E7">
        <f>SUM(E4:E6)</f>
        <v>2.83</v>
      </c>
      <c r="G7" t="s">
        <v>32</v>
      </c>
      <c r="I7" s="35"/>
      <c r="J7" s="14" t="s">
        <v>127</v>
      </c>
      <c r="K7" t="s">
        <v>234</v>
      </c>
      <c r="M7" t="s">
        <v>135</v>
      </c>
      <c r="N7">
        <f>'Data herd'!M14</f>
        <v>1438576730</v>
      </c>
    </row>
    <row r="8" spans="1:16" x14ac:dyDescent="0.25">
      <c r="A8" s="4"/>
      <c r="B8" t="s">
        <v>25</v>
      </c>
      <c r="C8">
        <v>2013</v>
      </c>
      <c r="D8" t="s">
        <v>35</v>
      </c>
      <c r="E8">
        <f>E7*1800</f>
        <v>5094</v>
      </c>
      <c r="G8" s="37" t="s">
        <v>33</v>
      </c>
      <c r="I8" s="35"/>
      <c r="J8" s="14"/>
    </row>
    <row r="9" spans="1:16" x14ac:dyDescent="0.25">
      <c r="I9" s="35"/>
      <c r="J9" s="14"/>
      <c r="K9" t="s">
        <v>235</v>
      </c>
      <c r="M9" t="s">
        <v>236</v>
      </c>
      <c r="N9">
        <f>N7/(SUM(N7,N16,N24))</f>
        <v>0.98480751457046933</v>
      </c>
    </row>
    <row r="10" spans="1:16" x14ac:dyDescent="0.25">
      <c r="J10" s="14"/>
    </row>
    <row r="11" spans="1:16" x14ac:dyDescent="0.25">
      <c r="J11" s="14"/>
      <c r="K11" t="s">
        <v>237</v>
      </c>
      <c r="M11" t="s">
        <v>232</v>
      </c>
      <c r="N11">
        <f>N3*N9</f>
        <v>245111539.15478548</v>
      </c>
    </row>
    <row r="12" spans="1:16" x14ac:dyDescent="0.25">
      <c r="J12" s="14"/>
      <c r="M12" t="s">
        <v>233</v>
      </c>
      <c r="N12">
        <f>N11/1000000</f>
        <v>245.11153915478548</v>
      </c>
    </row>
    <row r="13" spans="1:16" x14ac:dyDescent="0.25">
      <c r="J13" s="14"/>
    </row>
    <row r="14" spans="1:16" x14ac:dyDescent="0.25">
      <c r="J14" s="36" t="s">
        <v>3</v>
      </c>
    </row>
    <row r="15" spans="1:16" x14ac:dyDescent="0.25">
      <c r="J15" s="14"/>
    </row>
    <row r="16" spans="1:16" x14ac:dyDescent="0.25">
      <c r="J16" s="14" t="s">
        <v>127</v>
      </c>
      <c r="K16" t="s">
        <v>238</v>
      </c>
      <c r="M16" t="s">
        <v>135</v>
      </c>
      <c r="N16">
        <f>'Data herd'!M25</f>
        <v>20252340.672000006</v>
      </c>
    </row>
    <row r="17" spans="1:14" x14ac:dyDescent="0.25">
      <c r="J17" s="14"/>
    </row>
    <row r="18" spans="1:14" x14ac:dyDescent="0.25">
      <c r="J18" s="14"/>
      <c r="K18" t="s">
        <v>235</v>
      </c>
      <c r="M18" t="s">
        <v>236</v>
      </c>
      <c r="N18">
        <f>N16/(SUM(N7,N16,N24))</f>
        <v>1.3864159530389981E-2</v>
      </c>
    </row>
    <row r="19" spans="1:14" x14ac:dyDescent="0.25">
      <c r="J19" s="14"/>
    </row>
    <row r="20" spans="1:14" x14ac:dyDescent="0.25">
      <c r="J20" s="14"/>
      <c r="K20" t="s">
        <v>239</v>
      </c>
      <c r="M20" t="s">
        <v>232</v>
      </c>
      <c r="N20">
        <f>N3*N18</f>
        <v>3450690.0397318285</v>
      </c>
    </row>
    <row r="21" spans="1:14" x14ac:dyDescent="0.25">
      <c r="J21" s="14"/>
      <c r="M21" t="s">
        <v>233</v>
      </c>
      <c r="N21">
        <f>N20/1000000</f>
        <v>3.4506900397318283</v>
      </c>
    </row>
    <row r="22" spans="1:14" x14ac:dyDescent="0.25">
      <c r="J22" s="36" t="s">
        <v>4</v>
      </c>
    </row>
    <row r="23" spans="1:14" x14ac:dyDescent="0.25">
      <c r="J23" s="14"/>
    </row>
    <row r="24" spans="1:14" x14ac:dyDescent="0.25">
      <c r="J24" s="14" t="s">
        <v>127</v>
      </c>
      <c r="K24" t="s">
        <v>240</v>
      </c>
      <c r="M24" t="s">
        <v>135</v>
      </c>
      <c r="N24">
        <f>'Data herd'!M38</f>
        <v>1940377.8912000007</v>
      </c>
    </row>
    <row r="25" spans="1:14" x14ac:dyDescent="0.25">
      <c r="J25" s="14"/>
    </row>
    <row r="26" spans="1:14" x14ac:dyDescent="0.25">
      <c r="J26" s="14"/>
      <c r="K26" t="s">
        <v>235</v>
      </c>
      <c r="M26" t="s">
        <v>236</v>
      </c>
      <c r="N26">
        <f>N24/(SUM(N7,N16,N24))</f>
        <v>1.3283258991407161E-3</v>
      </c>
    </row>
    <row r="27" spans="1:14" x14ac:dyDescent="0.25">
      <c r="J27" s="14"/>
    </row>
    <row r="28" spans="1:14" x14ac:dyDescent="0.25">
      <c r="J28" s="14"/>
      <c r="K28" t="s">
        <v>241</v>
      </c>
      <c r="M28" t="s">
        <v>232</v>
      </c>
      <c r="N28">
        <f>N3*N26</f>
        <v>330610.80548268638</v>
      </c>
    </row>
    <row r="29" spans="1:14" x14ac:dyDescent="0.25">
      <c r="J29" s="14"/>
      <c r="M29" t="s">
        <v>233</v>
      </c>
      <c r="N29">
        <f>N28/1000000</f>
        <v>0.3306108054826864</v>
      </c>
    </row>
    <row r="30" spans="1:14" x14ac:dyDescent="0.25">
      <c r="A30" s="3" t="s">
        <v>36</v>
      </c>
      <c r="I30" s="35"/>
      <c r="J30" s="13" t="s">
        <v>116</v>
      </c>
    </row>
    <row r="31" spans="1:14" x14ac:dyDescent="0.25">
      <c r="I31" s="35"/>
      <c r="J31" s="14"/>
    </row>
    <row r="32" spans="1:14" x14ac:dyDescent="0.25">
      <c r="A32" t="s">
        <v>37</v>
      </c>
      <c r="B32" t="s">
        <v>28</v>
      </c>
      <c r="C32">
        <v>2013</v>
      </c>
      <c r="D32" t="s">
        <v>38</v>
      </c>
      <c r="E32">
        <v>106.9</v>
      </c>
      <c r="G32" t="s">
        <v>39</v>
      </c>
      <c r="I32" s="35"/>
      <c r="J32" s="14"/>
    </row>
    <row r="33" spans="1:14" x14ac:dyDescent="0.25">
      <c r="B33" t="s">
        <v>40</v>
      </c>
      <c r="C33">
        <v>2013</v>
      </c>
      <c r="D33" t="s">
        <v>38</v>
      </c>
      <c r="E33">
        <v>111.8</v>
      </c>
      <c r="G33" t="s">
        <v>39</v>
      </c>
      <c r="I33" s="35"/>
      <c r="J33" s="14"/>
      <c r="K33" t="s">
        <v>242</v>
      </c>
      <c r="L33">
        <v>2013</v>
      </c>
      <c r="M33" t="s">
        <v>243</v>
      </c>
      <c r="N33" s="38">
        <f>E35*'Data herd'!E2</f>
        <v>10685682</v>
      </c>
    </row>
    <row r="34" spans="1:14" x14ac:dyDescent="0.25">
      <c r="B34" t="s">
        <v>31</v>
      </c>
      <c r="C34">
        <v>2013</v>
      </c>
      <c r="D34" t="s">
        <v>38</v>
      </c>
      <c r="E34">
        <v>0</v>
      </c>
      <c r="G34" t="s">
        <v>39</v>
      </c>
      <c r="I34" s="35"/>
      <c r="J34" s="14"/>
    </row>
    <row r="35" spans="1:14" x14ac:dyDescent="0.25">
      <c r="B35" t="s">
        <v>25</v>
      </c>
      <c r="C35">
        <v>2013</v>
      </c>
      <c r="D35" t="s">
        <v>38</v>
      </c>
      <c r="E35">
        <f>SUM(E32:E34)</f>
        <v>218.7</v>
      </c>
      <c r="I35" s="35"/>
      <c r="J35" s="36" t="s">
        <v>2</v>
      </c>
    </row>
    <row r="36" spans="1:14" x14ac:dyDescent="0.25">
      <c r="A36" t="s">
        <v>41</v>
      </c>
      <c r="B36" t="s">
        <v>28</v>
      </c>
      <c r="C36">
        <v>2013</v>
      </c>
      <c r="D36" t="s">
        <v>38</v>
      </c>
      <c r="E36">
        <v>94.8</v>
      </c>
      <c r="G36" t="s">
        <v>39</v>
      </c>
      <c r="I36" s="35"/>
      <c r="J36" s="14"/>
    </row>
    <row r="37" spans="1:14" x14ac:dyDescent="0.25">
      <c r="B37" t="s">
        <v>30</v>
      </c>
      <c r="C37">
        <v>2013</v>
      </c>
      <c r="D37" t="s">
        <v>38</v>
      </c>
      <c r="E37">
        <v>98.1</v>
      </c>
      <c r="G37" t="s">
        <v>39</v>
      </c>
      <c r="I37" s="35"/>
      <c r="J37" s="14" t="s">
        <v>127</v>
      </c>
      <c r="K37" t="s">
        <v>234</v>
      </c>
      <c r="M37" t="s">
        <v>135</v>
      </c>
      <c r="N37">
        <f>'Data herd'!M14</f>
        <v>1438576730</v>
      </c>
    </row>
    <row r="38" spans="1:14" x14ac:dyDescent="0.25">
      <c r="B38" t="s">
        <v>31</v>
      </c>
      <c r="C38">
        <v>2013</v>
      </c>
      <c r="D38" t="s">
        <v>38</v>
      </c>
      <c r="E38">
        <v>0</v>
      </c>
      <c r="G38" t="s">
        <v>39</v>
      </c>
      <c r="I38" s="35"/>
      <c r="J38" s="14"/>
    </row>
    <row r="39" spans="1:14" x14ac:dyDescent="0.25">
      <c r="I39" s="35"/>
      <c r="J39" s="14"/>
      <c r="K39" t="s">
        <v>235</v>
      </c>
      <c r="M39" t="s">
        <v>236</v>
      </c>
      <c r="N39">
        <f>N37/(SUM(N43,N50,N37))</f>
        <v>0.98480751457046933</v>
      </c>
    </row>
    <row r="40" spans="1:14" x14ac:dyDescent="0.25">
      <c r="I40" s="35"/>
      <c r="J40" s="14"/>
      <c r="K40" t="s">
        <v>244</v>
      </c>
      <c r="M40" t="s">
        <v>243</v>
      </c>
      <c r="N40">
        <f>N33*N39</f>
        <v>10523339.931910401</v>
      </c>
    </row>
    <row r="41" spans="1:14" x14ac:dyDescent="0.25">
      <c r="J41" s="14"/>
      <c r="K41" t="s">
        <v>244</v>
      </c>
      <c r="M41" t="s">
        <v>245</v>
      </c>
      <c r="N41">
        <f>N40*0.01</f>
        <v>105233.39931910402</v>
      </c>
    </row>
    <row r="42" spans="1:14" x14ac:dyDescent="0.25">
      <c r="J42" s="36" t="s">
        <v>3</v>
      </c>
    </row>
    <row r="43" spans="1:14" x14ac:dyDescent="0.25">
      <c r="J43" s="14" t="s">
        <v>127</v>
      </c>
      <c r="K43" t="s">
        <v>238</v>
      </c>
      <c r="M43" t="s">
        <v>135</v>
      </c>
      <c r="N43">
        <f>'Data herd'!M25</f>
        <v>20252340.672000006</v>
      </c>
    </row>
    <row r="44" spans="1:14" x14ac:dyDescent="0.25">
      <c r="J44" s="14"/>
    </row>
    <row r="45" spans="1:14" x14ac:dyDescent="0.25">
      <c r="J45" s="14"/>
      <c r="K45" t="s">
        <v>235</v>
      </c>
      <c r="M45" t="s">
        <v>236</v>
      </c>
      <c r="N45">
        <f>N43/(SUM(N43,N37,N50))</f>
        <v>1.3864159530389981E-2</v>
      </c>
    </row>
    <row r="46" spans="1:14" x14ac:dyDescent="0.25">
      <c r="J46" s="14"/>
      <c r="K46" t="s">
        <v>246</v>
      </c>
      <c r="M46" t="s">
        <v>243</v>
      </c>
      <c r="N46">
        <f>N33*N45</f>
        <v>148147.99993901668</v>
      </c>
    </row>
    <row r="47" spans="1:14" x14ac:dyDescent="0.25">
      <c r="J47" s="14"/>
      <c r="K47" t="s">
        <v>246</v>
      </c>
      <c r="M47" t="s">
        <v>245</v>
      </c>
      <c r="N47">
        <f>N46*0.01</f>
        <v>1481.4799993901668</v>
      </c>
    </row>
    <row r="48" spans="1:14" x14ac:dyDescent="0.25">
      <c r="J48" s="14"/>
    </row>
    <row r="49" spans="1:16" x14ac:dyDescent="0.25">
      <c r="J49" s="36" t="s">
        <v>4</v>
      </c>
    </row>
    <row r="50" spans="1:16" x14ac:dyDescent="0.25">
      <c r="J50" s="14" t="s">
        <v>127</v>
      </c>
      <c r="K50" t="s">
        <v>240</v>
      </c>
      <c r="M50" t="s">
        <v>135</v>
      </c>
      <c r="N50">
        <f>'Data herd'!M38</f>
        <v>1940377.8912000007</v>
      </c>
    </row>
    <row r="51" spans="1:16" x14ac:dyDescent="0.25">
      <c r="J51" s="14"/>
    </row>
    <row r="52" spans="1:16" x14ac:dyDescent="0.25">
      <c r="J52" s="14"/>
      <c r="K52" t="s">
        <v>235</v>
      </c>
      <c r="M52" t="s">
        <v>236</v>
      </c>
      <c r="N52">
        <f>N50/(SUM(N37,N43,N50))</f>
        <v>1.3283258991407161E-3</v>
      </c>
    </row>
    <row r="53" spans="1:16" x14ac:dyDescent="0.25">
      <c r="J53" s="14"/>
      <c r="K53" t="s">
        <v>247</v>
      </c>
      <c r="M53" t="s">
        <v>243</v>
      </c>
      <c r="N53">
        <f>N33*N52</f>
        <v>14194.068150581765</v>
      </c>
    </row>
    <row r="54" spans="1:16" x14ac:dyDescent="0.25">
      <c r="J54" s="14"/>
      <c r="K54" t="s">
        <v>247</v>
      </c>
      <c r="M54" t="s">
        <v>245</v>
      </c>
      <c r="N54">
        <f>N53*0.01</f>
        <v>141.94068150581765</v>
      </c>
    </row>
    <row r="63" spans="1:16" ht="15.75" thickBot="1" x14ac:dyDescent="0.3"/>
    <row r="64" spans="1:16" ht="15.75" thickTop="1" x14ac:dyDescent="0.25">
      <c r="A64" s="3" t="s">
        <v>216</v>
      </c>
      <c r="I64" s="35"/>
      <c r="J64" s="28" t="s">
        <v>217</v>
      </c>
      <c r="K64" s="4" t="s">
        <v>218</v>
      </c>
      <c r="L64" s="4" t="s">
        <v>7</v>
      </c>
      <c r="M64" s="4" t="s">
        <v>8</v>
      </c>
      <c r="N64" s="4" t="s">
        <v>9</v>
      </c>
      <c r="O64" s="29" t="s">
        <v>219</v>
      </c>
      <c r="P64" s="4" t="s">
        <v>118</v>
      </c>
    </row>
    <row r="65" spans="9:16" x14ac:dyDescent="0.25">
      <c r="I65" s="35"/>
      <c r="J65" s="33" t="s">
        <v>2</v>
      </c>
    </row>
    <row r="66" spans="9:16" x14ac:dyDescent="0.25">
      <c r="I66" s="35"/>
      <c r="J66" s="30" t="s">
        <v>187</v>
      </c>
      <c r="K66" t="s">
        <v>190</v>
      </c>
      <c r="M66" t="s">
        <v>220</v>
      </c>
      <c r="N66">
        <f>'Variables calculations'!D45</f>
        <v>18.842502506759033</v>
      </c>
      <c r="P66" t="s">
        <v>221</v>
      </c>
    </row>
    <row r="67" spans="9:16" x14ac:dyDescent="0.25">
      <c r="I67" s="35"/>
      <c r="J67" s="30"/>
      <c r="K67" t="s">
        <v>191</v>
      </c>
      <c r="M67" t="s">
        <v>220</v>
      </c>
      <c r="N67">
        <f>'Variables calculations'!D46</f>
        <v>0</v>
      </c>
      <c r="P67" t="s">
        <v>221</v>
      </c>
    </row>
    <row r="68" spans="9:16" x14ac:dyDescent="0.25">
      <c r="I68" s="35"/>
      <c r="J68" s="30"/>
      <c r="K68" t="s">
        <v>222</v>
      </c>
      <c r="M68" t="s">
        <v>220</v>
      </c>
      <c r="N68">
        <f>'Variables calculations'!D47</f>
        <v>0.48039895724909365</v>
      </c>
      <c r="P68" t="s">
        <v>221</v>
      </c>
    </row>
    <row r="69" spans="9:16" x14ac:dyDescent="0.25">
      <c r="I69" s="35"/>
      <c r="J69" s="34"/>
      <c r="K69" s="31"/>
      <c r="L69" s="31"/>
      <c r="M69" s="31"/>
      <c r="N69" s="31"/>
      <c r="O69" s="31"/>
      <c r="P69" s="31"/>
    </row>
    <row r="70" spans="9:16" x14ac:dyDescent="0.25">
      <c r="I70" s="35"/>
      <c r="J70" s="30" t="s">
        <v>193</v>
      </c>
      <c r="K70" t="s">
        <v>190</v>
      </c>
      <c r="M70" t="s">
        <v>220</v>
      </c>
      <c r="N70">
        <f>'Variables calculations'!D51</f>
        <v>6.988392816223933</v>
      </c>
      <c r="P70" t="s">
        <v>221</v>
      </c>
    </row>
    <row r="71" spans="9:16" x14ac:dyDescent="0.25">
      <c r="I71" s="35"/>
      <c r="J71" s="30"/>
      <c r="K71" t="s">
        <v>191</v>
      </c>
      <c r="M71" t="s">
        <v>220</v>
      </c>
      <c r="N71">
        <f>'Variables calculations'!D52</f>
        <v>0</v>
      </c>
      <c r="P71" t="s">
        <v>221</v>
      </c>
    </row>
    <row r="72" spans="9:16" x14ac:dyDescent="0.25">
      <c r="I72" s="35"/>
      <c r="J72" s="30"/>
      <c r="K72" t="s">
        <v>222</v>
      </c>
      <c r="M72" t="s">
        <v>220</v>
      </c>
      <c r="N72">
        <f>'Variables calculations'!D53</f>
        <v>0.17817254478574493</v>
      </c>
      <c r="P72" t="s">
        <v>221</v>
      </c>
    </row>
    <row r="73" spans="9:16" x14ac:dyDescent="0.25">
      <c r="I73" s="35"/>
      <c r="J73" s="30"/>
    </row>
    <row r="74" spans="9:16" x14ac:dyDescent="0.25">
      <c r="I74" s="35"/>
      <c r="J74" s="30" t="s">
        <v>194</v>
      </c>
      <c r="K74" t="s">
        <v>190</v>
      </c>
      <c r="M74" t="s">
        <v>220</v>
      </c>
      <c r="N74">
        <f>'Variables calculations'!D77</f>
        <v>9.5059278405701892</v>
      </c>
      <c r="P74" t="s">
        <v>221</v>
      </c>
    </row>
    <row r="75" spans="9:16" x14ac:dyDescent="0.25">
      <c r="I75" s="35"/>
      <c r="J75" s="30"/>
      <c r="K75" t="s">
        <v>191</v>
      </c>
      <c r="M75" t="s">
        <v>220</v>
      </c>
      <c r="N75">
        <f>'Variables calculations'!D78</f>
        <v>0</v>
      </c>
      <c r="P75" t="s">
        <v>221</v>
      </c>
    </row>
    <row r="76" spans="9:16" x14ac:dyDescent="0.25">
      <c r="I76" s="35"/>
      <c r="J76" s="30"/>
      <c r="K76" t="s">
        <v>222</v>
      </c>
      <c r="M76" t="s">
        <v>220</v>
      </c>
      <c r="N76">
        <f>'Variables calculations'!D79</f>
        <v>0.24235835025931085</v>
      </c>
      <c r="P76" t="s">
        <v>221</v>
      </c>
    </row>
    <row r="77" spans="9:16" x14ac:dyDescent="0.25">
      <c r="I77" s="35"/>
      <c r="J77" s="30"/>
    </row>
    <row r="78" spans="9:16" x14ac:dyDescent="0.25">
      <c r="I78" s="35"/>
      <c r="J78" s="30" t="s">
        <v>187</v>
      </c>
      <c r="K78" t="s">
        <v>190</v>
      </c>
      <c r="M78" t="s">
        <v>135</v>
      </c>
      <c r="N78">
        <f>N66*365*'Data herd'!$E$17</f>
        <v>15562653034.208128</v>
      </c>
    </row>
    <row r="79" spans="9:16" x14ac:dyDescent="0.25">
      <c r="I79" s="35"/>
      <c r="J79" s="30"/>
      <c r="K79" t="s">
        <v>191</v>
      </c>
      <c r="M79" t="s">
        <v>135</v>
      </c>
      <c r="N79">
        <f>N67*365*'Data herd'!$E$17</f>
        <v>0</v>
      </c>
    </row>
    <row r="80" spans="9:16" x14ac:dyDescent="0.25">
      <c r="I80" s="35"/>
      <c r="J80" s="30"/>
      <c r="K80" t="s">
        <v>223</v>
      </c>
      <c r="M80" t="s">
        <v>135</v>
      </c>
      <c r="N80">
        <f>N68*365*'Data herd'!$E$17</f>
        <v>396777566.40771025</v>
      </c>
    </row>
    <row r="81" spans="9:14" x14ac:dyDescent="0.25">
      <c r="I81" s="35"/>
      <c r="J81" s="30"/>
    </row>
    <row r="82" spans="9:14" x14ac:dyDescent="0.25">
      <c r="I82" s="35"/>
      <c r="J82" s="30" t="s">
        <v>193</v>
      </c>
      <c r="K82" t="s">
        <v>190</v>
      </c>
      <c r="M82" t="s">
        <v>135</v>
      </c>
      <c r="N82">
        <f>N70*365*'Data herd'!$E$18</f>
        <v>434447651.0161919</v>
      </c>
    </row>
    <row r="83" spans="9:14" x14ac:dyDescent="0.25">
      <c r="I83" s="35"/>
      <c r="J83" s="30"/>
      <c r="K83" t="s">
        <v>191</v>
      </c>
      <c r="M83" t="s">
        <v>135</v>
      </c>
      <c r="N83">
        <f>N71*365*'Data herd'!$E$18</f>
        <v>0</v>
      </c>
    </row>
    <row r="84" spans="9:14" x14ac:dyDescent="0.25">
      <c r="I84" s="35"/>
      <c r="J84" s="30"/>
      <c r="K84" t="s">
        <v>222</v>
      </c>
      <c r="M84" t="s">
        <v>135</v>
      </c>
      <c r="N84">
        <f>N72*365*'Data herd'!$E$18</f>
        <v>11076458.57829291</v>
      </c>
    </row>
    <row r="85" spans="9:14" x14ac:dyDescent="0.25">
      <c r="I85" s="35"/>
      <c r="J85" s="30"/>
    </row>
    <row r="86" spans="9:14" x14ac:dyDescent="0.25">
      <c r="I86" s="35"/>
      <c r="J86" s="30" t="s">
        <v>194</v>
      </c>
      <c r="K86" t="s">
        <v>190</v>
      </c>
      <c r="M86" t="s">
        <v>135</v>
      </c>
      <c r="N86">
        <f>N74*365*'Data herd'!$E$6</f>
        <v>337688485.549137</v>
      </c>
    </row>
    <row r="87" spans="9:14" x14ac:dyDescent="0.25">
      <c r="I87" s="35"/>
      <c r="J87" s="30"/>
      <c r="K87" t="s">
        <v>191</v>
      </c>
      <c r="M87" t="s">
        <v>135</v>
      </c>
      <c r="N87">
        <f>N75*365*'Data herd'!$E$6</f>
        <v>0</v>
      </c>
    </row>
    <row r="88" spans="9:14" x14ac:dyDescent="0.25">
      <c r="I88" s="35"/>
      <c r="J88" s="30"/>
      <c r="K88" t="s">
        <v>222</v>
      </c>
      <c r="M88" t="s">
        <v>135</v>
      </c>
      <c r="N88">
        <f>N76*365*'Data herd'!$E$6</f>
        <v>8609535.6110282559</v>
      </c>
    </row>
    <row r="89" spans="9:14" x14ac:dyDescent="0.25">
      <c r="I89" s="35"/>
      <c r="J89" s="30"/>
    </row>
    <row r="90" spans="9:14" x14ac:dyDescent="0.25">
      <c r="I90" s="35"/>
      <c r="J90" s="30" t="s">
        <v>224</v>
      </c>
      <c r="K90" t="s">
        <v>190</v>
      </c>
      <c r="M90" t="s">
        <v>135</v>
      </c>
      <c r="N90">
        <f>N78+N82+N86</f>
        <v>16334789170.773457</v>
      </c>
    </row>
    <row r="91" spans="9:14" x14ac:dyDescent="0.25">
      <c r="I91" s="35"/>
      <c r="J91" s="30"/>
      <c r="K91" t="s">
        <v>191</v>
      </c>
      <c r="M91" t="s">
        <v>135</v>
      </c>
      <c r="N91">
        <f>N79+N83+N87</f>
        <v>0</v>
      </c>
    </row>
    <row r="92" spans="9:14" x14ac:dyDescent="0.25">
      <c r="I92" s="35"/>
      <c r="J92" s="30"/>
      <c r="K92" t="s">
        <v>222</v>
      </c>
      <c r="M92" t="s">
        <v>135</v>
      </c>
      <c r="N92">
        <f>N80+N84+N88</f>
        <v>416463560.59703141</v>
      </c>
    </row>
    <row r="93" spans="9:14" x14ac:dyDescent="0.25">
      <c r="I93" s="35"/>
      <c r="J93" s="30"/>
      <c r="K93" t="s">
        <v>225</v>
      </c>
      <c r="M93" t="s">
        <v>135</v>
      </c>
      <c r="N93">
        <f>SUM(N90:N92)</f>
        <v>16751252731.370487</v>
      </c>
    </row>
    <row r="94" spans="9:14" x14ac:dyDescent="0.25">
      <c r="I94" s="35"/>
      <c r="J94" s="30"/>
    </row>
    <row r="95" spans="9:14" x14ac:dyDescent="0.25">
      <c r="I95" s="35"/>
      <c r="J95" s="30" t="s">
        <v>224</v>
      </c>
      <c r="K95" t="s">
        <v>190</v>
      </c>
      <c r="M95" t="s">
        <v>125</v>
      </c>
      <c r="N95">
        <f>N90/1000000000</f>
        <v>16.334789170773458</v>
      </c>
    </row>
    <row r="96" spans="9:14" x14ac:dyDescent="0.25">
      <c r="I96" s="35"/>
      <c r="J96" s="30"/>
      <c r="K96" t="s">
        <v>191</v>
      </c>
      <c r="M96" t="s">
        <v>125</v>
      </c>
      <c r="N96">
        <f t="shared" ref="N96:N97" si="0">N91/1000000000</f>
        <v>0</v>
      </c>
    </row>
    <row r="97" spans="9:16" x14ac:dyDescent="0.25">
      <c r="I97" s="35"/>
      <c r="J97" s="30"/>
      <c r="K97" t="s">
        <v>222</v>
      </c>
      <c r="M97" t="s">
        <v>125</v>
      </c>
      <c r="N97">
        <f t="shared" si="0"/>
        <v>0.41646356059703143</v>
      </c>
    </row>
    <row r="98" spans="9:16" x14ac:dyDescent="0.25">
      <c r="I98" s="35"/>
      <c r="J98" s="30"/>
      <c r="K98" t="s">
        <v>225</v>
      </c>
      <c r="M98" t="s">
        <v>125</v>
      </c>
      <c r="N98">
        <f>N93/1000000000</f>
        <v>16.751252731370489</v>
      </c>
    </row>
    <row r="99" spans="9:16" x14ac:dyDescent="0.25">
      <c r="I99" s="35"/>
      <c r="J99" s="33" t="s">
        <v>3</v>
      </c>
    </row>
    <row r="100" spans="9:16" x14ac:dyDescent="0.25">
      <c r="I100" s="35"/>
      <c r="J100" s="34"/>
      <c r="K100" t="s">
        <v>190</v>
      </c>
      <c r="M100" t="s">
        <v>220</v>
      </c>
      <c r="N100">
        <f>'Variables calculations'!D106</f>
        <v>3.4448562336750581</v>
      </c>
      <c r="P100" t="s">
        <v>221</v>
      </c>
    </row>
    <row r="101" spans="9:16" x14ac:dyDescent="0.25">
      <c r="I101" s="35"/>
      <c r="J101" s="34"/>
      <c r="K101" t="s">
        <v>191</v>
      </c>
      <c r="M101" t="s">
        <v>220</v>
      </c>
      <c r="N101">
        <f>'Variables calculations'!D107</f>
        <v>0.30849806708384664</v>
      </c>
      <c r="P101" t="s">
        <v>221</v>
      </c>
    </row>
    <row r="102" spans="9:16" x14ac:dyDescent="0.25">
      <c r="I102" s="35"/>
      <c r="J102" s="34"/>
      <c r="K102" t="s">
        <v>223</v>
      </c>
      <c r="M102" t="s">
        <v>220</v>
      </c>
      <c r="N102">
        <f>'Variables calculations'!D108</f>
        <v>2.892670632351723E-2</v>
      </c>
      <c r="P102" t="s">
        <v>221</v>
      </c>
    </row>
    <row r="103" spans="9:16" x14ac:dyDescent="0.25">
      <c r="I103" s="35"/>
      <c r="J103" s="34"/>
      <c r="K103" t="s">
        <v>226</v>
      </c>
      <c r="M103" t="s">
        <v>220</v>
      </c>
      <c r="N103">
        <f>'Variables calculations'!D109</f>
        <v>1.3309935684359504</v>
      </c>
      <c r="P103" t="s">
        <v>221</v>
      </c>
    </row>
    <row r="104" spans="9:16" x14ac:dyDescent="0.25">
      <c r="I104" s="35"/>
      <c r="J104" s="34"/>
      <c r="K104" t="s">
        <v>25</v>
      </c>
      <c r="M104" t="s">
        <v>220</v>
      </c>
      <c r="N104">
        <f>'Variables calculations'!D110</f>
        <v>5.1132745755183722</v>
      </c>
    </row>
    <row r="105" spans="9:16" x14ac:dyDescent="0.25">
      <c r="I105" s="35"/>
      <c r="J105" s="34"/>
    </row>
    <row r="106" spans="9:16" x14ac:dyDescent="0.25">
      <c r="I106" s="35"/>
      <c r="J106" s="34"/>
      <c r="K106" t="s">
        <v>190</v>
      </c>
      <c r="M106" t="s">
        <v>135</v>
      </c>
      <c r="N106">
        <f>N100*365*'Data herd'!$E$22</f>
        <v>142261099.07158825</v>
      </c>
    </row>
    <row r="107" spans="9:16" x14ac:dyDescent="0.25">
      <c r="I107" s="35"/>
      <c r="J107" s="34"/>
      <c r="K107" t="s">
        <v>191</v>
      </c>
      <c r="M107" t="s">
        <v>135</v>
      </c>
      <c r="N107">
        <f>N101*365*'Data herd'!$E$22</f>
        <v>12739943.587714994</v>
      </c>
    </row>
    <row r="108" spans="9:16" x14ac:dyDescent="0.25">
      <c r="I108" s="35"/>
      <c r="J108" s="34"/>
      <c r="K108" t="s">
        <v>223</v>
      </c>
      <c r="M108" t="s">
        <v>135</v>
      </c>
      <c r="N108">
        <f>N102*365*'Data herd'!$E$22</f>
        <v>1194576.7123391633</v>
      </c>
    </row>
    <row r="109" spans="9:16" x14ac:dyDescent="0.25">
      <c r="I109" s="35"/>
      <c r="J109" s="34"/>
      <c r="K109" t="s">
        <v>226</v>
      </c>
      <c r="M109" t="s">
        <v>135</v>
      </c>
      <c r="N109">
        <f>N103*365*'Data herd'!$E$22</f>
        <v>54965605.255726948</v>
      </c>
    </row>
    <row r="110" spans="9:16" x14ac:dyDescent="0.25">
      <c r="I110" s="35"/>
      <c r="J110" s="34"/>
      <c r="K110" t="s">
        <v>227</v>
      </c>
      <c r="M110" t="s">
        <v>135</v>
      </c>
      <c r="N110">
        <f>N104*365*'Data herd'!$E$22</f>
        <v>211161224.62736937</v>
      </c>
    </row>
    <row r="111" spans="9:16" x14ac:dyDescent="0.25">
      <c r="I111" s="35"/>
      <c r="J111" s="34"/>
    </row>
    <row r="112" spans="9:16" x14ac:dyDescent="0.25">
      <c r="I112" s="35"/>
      <c r="J112" s="34"/>
      <c r="K112" t="s">
        <v>190</v>
      </c>
      <c r="M112" t="s">
        <v>125</v>
      </c>
      <c r="N112">
        <f>N106/1000000000</f>
        <v>0.14226109907158824</v>
      </c>
    </row>
    <row r="113" spans="9:16" x14ac:dyDescent="0.25">
      <c r="I113" s="35"/>
      <c r="J113" s="30"/>
      <c r="K113" t="s">
        <v>191</v>
      </c>
      <c r="M113" t="s">
        <v>125</v>
      </c>
      <c r="N113">
        <f t="shared" ref="N113:N115" si="1">N107/1000000000</f>
        <v>1.2739943587714995E-2</v>
      </c>
    </row>
    <row r="114" spans="9:16" x14ac:dyDescent="0.25">
      <c r="I114" s="35"/>
      <c r="J114" s="30"/>
      <c r="K114" t="s">
        <v>223</v>
      </c>
      <c r="M114" t="s">
        <v>125</v>
      </c>
      <c r="N114">
        <f t="shared" si="1"/>
        <v>1.1945767123391633E-3</v>
      </c>
    </row>
    <row r="115" spans="9:16" x14ac:dyDescent="0.25">
      <c r="I115" s="35"/>
      <c r="J115" s="30"/>
      <c r="K115" t="s">
        <v>226</v>
      </c>
      <c r="M115" t="s">
        <v>125</v>
      </c>
      <c r="N115">
        <f t="shared" si="1"/>
        <v>5.4965605255726947E-2</v>
      </c>
    </row>
    <row r="116" spans="9:16" x14ac:dyDescent="0.25">
      <c r="I116" s="35"/>
      <c r="J116" s="30"/>
      <c r="K116" t="s">
        <v>227</v>
      </c>
      <c r="M116" t="s">
        <v>125</v>
      </c>
      <c r="N116">
        <f>N110/1000000000</f>
        <v>0.21116122462736939</v>
      </c>
    </row>
    <row r="117" spans="9:16" x14ac:dyDescent="0.25">
      <c r="I117" s="35"/>
      <c r="J117" s="30"/>
    </row>
    <row r="118" spans="9:16" x14ac:dyDescent="0.25">
      <c r="I118" s="35"/>
      <c r="J118" s="30"/>
    </row>
    <row r="119" spans="9:16" x14ac:dyDescent="0.25">
      <c r="I119" s="35"/>
      <c r="J119" s="33" t="s">
        <v>4</v>
      </c>
    </row>
    <row r="120" spans="9:16" x14ac:dyDescent="0.25">
      <c r="I120" s="35"/>
      <c r="J120" s="30" t="s">
        <v>214</v>
      </c>
      <c r="K120" t="s">
        <v>190</v>
      </c>
      <c r="M120" t="s">
        <v>220</v>
      </c>
      <c r="N120">
        <f>'Variables calculations'!D138</f>
        <v>5.5046252101215272</v>
      </c>
      <c r="P120" t="s">
        <v>221</v>
      </c>
    </row>
    <row r="121" spans="9:16" x14ac:dyDescent="0.25">
      <c r="I121" s="35"/>
      <c r="J121" s="30"/>
      <c r="K121" t="s">
        <v>191</v>
      </c>
      <c r="M121" t="s">
        <v>220</v>
      </c>
      <c r="N121">
        <f>'Variables calculations'!D139</f>
        <v>0</v>
      </c>
      <c r="P121" t="s">
        <v>221</v>
      </c>
    </row>
    <row r="122" spans="9:16" x14ac:dyDescent="0.25">
      <c r="I122" s="35"/>
      <c r="J122" s="30"/>
      <c r="K122" t="s">
        <v>223</v>
      </c>
      <c r="M122" t="s">
        <v>220</v>
      </c>
      <c r="N122">
        <f>'Variables calculations'!D140</f>
        <v>0.14034315293527869</v>
      </c>
      <c r="P122" t="s">
        <v>221</v>
      </c>
    </row>
    <row r="123" spans="9:16" x14ac:dyDescent="0.25">
      <c r="I123" s="35"/>
      <c r="J123" s="34"/>
    </row>
    <row r="124" spans="9:16" x14ac:dyDescent="0.25">
      <c r="I124" s="35"/>
      <c r="J124" s="30" t="s">
        <v>228</v>
      </c>
      <c r="K124" t="s">
        <v>190</v>
      </c>
      <c r="M124" t="s">
        <v>220</v>
      </c>
      <c r="N124">
        <f>'Variables calculations'!D145</f>
        <v>5.7097835279122515</v>
      </c>
      <c r="P124" t="s">
        <v>221</v>
      </c>
    </row>
    <row r="125" spans="9:16" x14ac:dyDescent="0.25">
      <c r="I125" s="35"/>
      <c r="J125" s="30"/>
      <c r="K125" t="s">
        <v>191</v>
      </c>
      <c r="M125" t="s">
        <v>220</v>
      </c>
      <c r="N125">
        <f>'Variables calculations'!D146</f>
        <v>0</v>
      </c>
      <c r="P125" t="s">
        <v>221</v>
      </c>
    </row>
    <row r="126" spans="9:16" x14ac:dyDescent="0.25">
      <c r="I126" s="35"/>
      <c r="J126" s="30"/>
      <c r="K126" t="s">
        <v>223</v>
      </c>
      <c r="M126" t="s">
        <v>220</v>
      </c>
      <c r="N126">
        <f>'Variables calculations'!D147</f>
        <v>0.14557376611430245</v>
      </c>
      <c r="P126" t="s">
        <v>221</v>
      </c>
    </row>
    <row r="127" spans="9:16" x14ac:dyDescent="0.25">
      <c r="I127" s="35"/>
      <c r="J127" s="30"/>
    </row>
    <row r="128" spans="9:16" x14ac:dyDescent="0.25">
      <c r="I128" s="35"/>
      <c r="J128" s="30" t="s">
        <v>214</v>
      </c>
      <c r="K128" t="s">
        <v>190</v>
      </c>
      <c r="M128" t="s">
        <v>135</v>
      </c>
      <c r="N128">
        <f>N120*365*('Data herd'!$E$35/2)</f>
        <v>5683067.5886699986</v>
      </c>
    </row>
    <row r="129" spans="9:14" x14ac:dyDescent="0.25">
      <c r="I129" s="35"/>
      <c r="J129" s="30"/>
      <c r="K129" t="s">
        <v>191</v>
      </c>
      <c r="M129" t="s">
        <v>135</v>
      </c>
      <c r="N129">
        <f>N121*365*('Data herd'!$E$35/2)</f>
        <v>0</v>
      </c>
    </row>
    <row r="130" spans="9:14" x14ac:dyDescent="0.25">
      <c r="I130" s="35"/>
      <c r="J130" s="30"/>
      <c r="K130" t="s">
        <v>223</v>
      </c>
      <c r="M130" t="s">
        <v>135</v>
      </c>
      <c r="N130">
        <f>N122*365*('Data herd'!$E$35/2)</f>
        <v>144892.62997809629</v>
      </c>
    </row>
    <row r="131" spans="9:14" x14ac:dyDescent="0.25">
      <c r="I131" s="35"/>
      <c r="J131" s="30"/>
    </row>
    <row r="132" spans="9:14" x14ac:dyDescent="0.25">
      <c r="I132" s="35"/>
      <c r="J132" s="30" t="s">
        <v>228</v>
      </c>
      <c r="K132" t="s">
        <v>190</v>
      </c>
      <c r="M132" t="s">
        <v>135</v>
      </c>
      <c r="N132">
        <f>N124*365*('Data herd'!$E$35/2)</f>
        <v>5894876.4842581479</v>
      </c>
    </row>
    <row r="133" spans="9:14" x14ac:dyDescent="0.25">
      <c r="I133" s="35"/>
      <c r="J133" s="30"/>
      <c r="K133" t="s">
        <v>191</v>
      </c>
      <c r="M133" t="s">
        <v>135</v>
      </c>
      <c r="N133">
        <f>N125*365*('Data herd'!$E$35/2)</f>
        <v>0</v>
      </c>
    </row>
    <row r="134" spans="9:14" x14ac:dyDescent="0.25">
      <c r="I134" s="35"/>
      <c r="J134" s="30"/>
      <c r="K134" t="s">
        <v>223</v>
      </c>
      <c r="M134" t="s">
        <v>135</v>
      </c>
      <c r="N134">
        <f>N126*365*('Data herd'!$E$35/2)</f>
        <v>150292.80294026676</v>
      </c>
    </row>
    <row r="135" spans="9:14" x14ac:dyDescent="0.25">
      <c r="I135" s="35"/>
      <c r="J135" s="30"/>
    </row>
    <row r="136" spans="9:14" x14ac:dyDescent="0.25">
      <c r="I136" s="35"/>
      <c r="J136" s="30" t="s">
        <v>229</v>
      </c>
      <c r="K136" t="s">
        <v>190</v>
      </c>
      <c r="M136" t="s">
        <v>135</v>
      </c>
      <c r="N136">
        <f>N128+N132</f>
        <v>11577944.072928146</v>
      </c>
    </row>
    <row r="137" spans="9:14" x14ac:dyDescent="0.25">
      <c r="I137" s="35"/>
      <c r="J137" s="30"/>
      <c r="K137" t="s">
        <v>191</v>
      </c>
      <c r="M137" t="s">
        <v>135</v>
      </c>
      <c r="N137">
        <f>N129+N133</f>
        <v>0</v>
      </c>
    </row>
    <row r="138" spans="9:14" x14ac:dyDescent="0.25">
      <c r="I138" s="35"/>
      <c r="J138" s="30"/>
      <c r="K138" t="s">
        <v>223</v>
      </c>
      <c r="M138" t="s">
        <v>135</v>
      </c>
      <c r="N138">
        <f>N130+N134</f>
        <v>295185.43291836302</v>
      </c>
    </row>
    <row r="139" spans="9:14" x14ac:dyDescent="0.25">
      <c r="I139" s="35"/>
      <c r="J139" s="30"/>
      <c r="K139" t="s">
        <v>25</v>
      </c>
      <c r="N139">
        <f>SUM(N136:N138)</f>
        <v>11873129.505846508</v>
      </c>
    </row>
    <row r="140" spans="9:14" x14ac:dyDescent="0.25">
      <c r="I140" s="35"/>
      <c r="J140" s="30"/>
    </row>
    <row r="141" spans="9:14" x14ac:dyDescent="0.25">
      <c r="I141" s="35"/>
      <c r="J141" s="30" t="s">
        <v>229</v>
      </c>
      <c r="K141" t="s">
        <v>190</v>
      </c>
      <c r="M141" t="s">
        <v>125</v>
      </c>
      <c r="N141">
        <f>N136/1000000000</f>
        <v>1.1577944072928146E-2</v>
      </c>
    </row>
    <row r="142" spans="9:14" x14ac:dyDescent="0.25">
      <c r="I142" s="35"/>
      <c r="J142" s="30"/>
      <c r="K142" t="s">
        <v>191</v>
      </c>
      <c r="M142" t="s">
        <v>125</v>
      </c>
      <c r="N142">
        <f t="shared" ref="N142:N144" si="2">N137/1000000000</f>
        <v>0</v>
      </c>
    </row>
    <row r="143" spans="9:14" x14ac:dyDescent="0.25">
      <c r="I143" s="35"/>
      <c r="J143" s="30"/>
      <c r="K143" t="s">
        <v>223</v>
      </c>
      <c r="M143" t="s">
        <v>125</v>
      </c>
      <c r="N143">
        <f>N138/1000000000</f>
        <v>2.95185432918363E-4</v>
      </c>
    </row>
    <row r="144" spans="9:14" x14ac:dyDescent="0.25">
      <c r="I144" s="35"/>
      <c r="J144" s="30"/>
      <c r="K144" t="s">
        <v>25</v>
      </c>
      <c r="M144" t="s">
        <v>125</v>
      </c>
      <c r="N144">
        <f t="shared" si="2"/>
        <v>1.1873129505846508E-2</v>
      </c>
    </row>
    <row r="145" spans="1:16" x14ac:dyDescent="0.25">
      <c r="A145" s="3" t="s">
        <v>256</v>
      </c>
      <c r="B145" t="s">
        <v>257</v>
      </c>
      <c r="G145" s="37"/>
      <c r="J145" s="13" t="s">
        <v>116</v>
      </c>
    </row>
    <row r="146" spans="1:16" x14ac:dyDescent="0.25">
      <c r="A146" s="4"/>
      <c r="B146" t="s">
        <v>258</v>
      </c>
      <c r="C146" t="s">
        <v>85</v>
      </c>
      <c r="D146" t="s">
        <v>259</v>
      </c>
      <c r="E146">
        <v>20</v>
      </c>
      <c r="G146" s="37" t="s">
        <v>260</v>
      </c>
      <c r="J146" s="36" t="s">
        <v>2</v>
      </c>
    </row>
    <row r="147" spans="1:16" x14ac:dyDescent="0.25">
      <c r="A147" s="4"/>
      <c r="B147" t="s">
        <v>258</v>
      </c>
      <c r="C147" t="s">
        <v>85</v>
      </c>
      <c r="D147" t="s">
        <v>261</v>
      </c>
      <c r="E147">
        <v>7300</v>
      </c>
      <c r="G147" s="37" t="s">
        <v>260</v>
      </c>
      <c r="J147" s="14"/>
      <c r="K147" s="30" t="s">
        <v>262</v>
      </c>
      <c r="M147" t="s">
        <v>263</v>
      </c>
      <c r="N147">
        <f>E147*'Data herd'!E5</f>
        <v>17762009600</v>
      </c>
    </row>
    <row r="148" spans="1:16" x14ac:dyDescent="0.25">
      <c r="A148" s="4"/>
      <c r="B148" t="s">
        <v>264</v>
      </c>
      <c r="D148" t="s">
        <v>259</v>
      </c>
      <c r="E148">
        <v>20</v>
      </c>
      <c r="G148" s="37" t="s">
        <v>260</v>
      </c>
      <c r="J148" s="14"/>
      <c r="K148" s="12" t="s">
        <v>205</v>
      </c>
      <c r="M148" t="s">
        <v>263</v>
      </c>
      <c r="N148">
        <f>E149*'Data herd'!E6</f>
        <v>710479800</v>
      </c>
    </row>
    <row r="149" spans="1:16" x14ac:dyDescent="0.25">
      <c r="A149" s="4"/>
      <c r="B149" t="s">
        <v>264</v>
      </c>
      <c r="D149" t="s">
        <v>261</v>
      </c>
      <c r="E149">
        <v>7300</v>
      </c>
      <c r="G149" s="37" t="s">
        <v>260</v>
      </c>
      <c r="J149" s="16"/>
      <c r="K149" t="s">
        <v>227</v>
      </c>
      <c r="M149" t="s">
        <v>263</v>
      </c>
      <c r="N149">
        <f>SUM(N147:N148)</f>
        <v>18472489400</v>
      </c>
    </row>
    <row r="150" spans="1:16" x14ac:dyDescent="0.25">
      <c r="A150" s="4"/>
      <c r="B150" t="s">
        <v>265</v>
      </c>
      <c r="D150" t="s">
        <v>259</v>
      </c>
      <c r="E150">
        <v>5</v>
      </c>
      <c r="G150" s="37" t="s">
        <v>260</v>
      </c>
      <c r="J150" s="14"/>
      <c r="M150" t="s">
        <v>266</v>
      </c>
      <c r="N150" s="20">
        <f>N149/1000000000</f>
        <v>18.472489400000001</v>
      </c>
    </row>
    <row r="151" spans="1:16" x14ac:dyDescent="0.25">
      <c r="A151" s="4"/>
      <c r="B151" t="s">
        <v>265</v>
      </c>
      <c r="D151" t="s">
        <v>261</v>
      </c>
      <c r="E151">
        <v>1825</v>
      </c>
      <c r="G151" s="37" t="s">
        <v>260</v>
      </c>
      <c r="J151" s="36" t="s">
        <v>3</v>
      </c>
    </row>
    <row r="152" spans="1:16" x14ac:dyDescent="0.25">
      <c r="G152" s="37"/>
      <c r="J152" s="14"/>
      <c r="K152" t="s">
        <v>3</v>
      </c>
      <c r="M152" t="s">
        <v>263</v>
      </c>
      <c r="N152">
        <f>E151*'Data herd'!E22</f>
        <v>206483361.60000005</v>
      </c>
    </row>
    <row r="153" spans="1:16" x14ac:dyDescent="0.25">
      <c r="G153" s="37"/>
      <c r="J153" s="14"/>
      <c r="M153" t="s">
        <v>266</v>
      </c>
      <c r="N153">
        <f>N152/1000000000</f>
        <v>0.20648336160000005</v>
      </c>
    </row>
    <row r="154" spans="1:16" x14ac:dyDescent="0.25">
      <c r="G154" s="37"/>
      <c r="J154" s="36" t="s">
        <v>4</v>
      </c>
    </row>
    <row r="155" spans="1:16" x14ac:dyDescent="0.25">
      <c r="J155" s="14"/>
      <c r="K155" t="s">
        <v>267</v>
      </c>
      <c r="M155" t="s">
        <v>263</v>
      </c>
      <c r="N155">
        <f>E147*('Data herd'!E35/2)</f>
        <v>20648336.160000008</v>
      </c>
    </row>
    <row r="156" spans="1:16" x14ac:dyDescent="0.25">
      <c r="J156" s="14"/>
      <c r="K156" t="s">
        <v>268</v>
      </c>
      <c r="M156" t="s">
        <v>263</v>
      </c>
      <c r="N156">
        <f>E149*('Data herd'!E35/2)</f>
        <v>20648336.160000008</v>
      </c>
    </row>
    <row r="157" spans="1:16" x14ac:dyDescent="0.25">
      <c r="J157" s="14"/>
      <c r="K157" t="s">
        <v>225</v>
      </c>
      <c r="M157" t="s">
        <v>263</v>
      </c>
      <c r="N157">
        <f>SUM(N155:N156)</f>
        <v>41296672.320000015</v>
      </c>
    </row>
    <row r="158" spans="1:16" x14ac:dyDescent="0.25">
      <c r="J158" s="14"/>
      <c r="M158" t="s">
        <v>266</v>
      </c>
      <c r="N158">
        <f>N157/1000000000</f>
        <v>4.1296672320000012E-2</v>
      </c>
    </row>
    <row r="159" spans="1:16" ht="15.75" thickBot="1" x14ac:dyDescent="0.3">
      <c r="J159" s="14"/>
    </row>
    <row r="160" spans="1:16" ht="15.75" thickTop="1" x14ac:dyDescent="0.25">
      <c r="A160" s="3" t="s">
        <v>269</v>
      </c>
      <c r="B160" t="s">
        <v>257</v>
      </c>
      <c r="J160" s="40" t="s">
        <v>217</v>
      </c>
      <c r="K160" s="4" t="s">
        <v>218</v>
      </c>
      <c r="L160" s="4" t="s">
        <v>7</v>
      </c>
      <c r="M160" s="4" t="s">
        <v>8</v>
      </c>
      <c r="N160" s="4" t="s">
        <v>9</v>
      </c>
      <c r="O160" s="29" t="s">
        <v>219</v>
      </c>
      <c r="P160" s="4" t="s">
        <v>118</v>
      </c>
    </row>
    <row r="161" spans="1:16" x14ac:dyDescent="0.25">
      <c r="J161" s="14"/>
    </row>
    <row r="162" spans="1:16" x14ac:dyDescent="0.25">
      <c r="A162" t="s">
        <v>270</v>
      </c>
      <c r="B162" t="s">
        <v>271</v>
      </c>
      <c r="C162" t="s">
        <v>85</v>
      </c>
      <c r="D162" t="s">
        <v>272</v>
      </c>
      <c r="E162">
        <v>28</v>
      </c>
      <c r="G162" s="37" t="s">
        <v>273</v>
      </c>
      <c r="H162" s="37"/>
      <c r="I162" s="30"/>
      <c r="J162" t="s">
        <v>24</v>
      </c>
      <c r="K162" t="s">
        <v>2</v>
      </c>
      <c r="L162">
        <v>2015</v>
      </c>
      <c r="M162" t="s">
        <v>26</v>
      </c>
      <c r="N162">
        <v>1239690</v>
      </c>
      <c r="P162" t="s">
        <v>14</v>
      </c>
    </row>
    <row r="163" spans="1:16" x14ac:dyDescent="0.25">
      <c r="J163"/>
      <c r="K163" t="s">
        <v>3</v>
      </c>
      <c r="L163">
        <v>2015</v>
      </c>
      <c r="M163" t="s">
        <v>26</v>
      </c>
      <c r="N163">
        <v>181080</v>
      </c>
      <c r="P163" t="s">
        <v>14</v>
      </c>
    </row>
    <row r="164" spans="1:16" x14ac:dyDescent="0.25">
      <c r="J164"/>
      <c r="K164" t="s">
        <v>4</v>
      </c>
      <c r="L164">
        <v>2015</v>
      </c>
      <c r="M164" t="s">
        <v>26</v>
      </c>
      <c r="N164">
        <v>30140</v>
      </c>
      <c r="P164" t="s">
        <v>14</v>
      </c>
    </row>
    <row r="165" spans="1:16" x14ac:dyDescent="0.25">
      <c r="J165"/>
      <c r="K165" t="s">
        <v>25</v>
      </c>
      <c r="L165">
        <v>2015</v>
      </c>
      <c r="M165" t="s">
        <v>26</v>
      </c>
      <c r="N165">
        <f>SUM(N162:N164)</f>
        <v>1450910</v>
      </c>
      <c r="P165" t="s">
        <v>14</v>
      </c>
    </row>
    <row r="166" spans="1:16" x14ac:dyDescent="0.25">
      <c r="J166" s="14"/>
    </row>
    <row r="167" spans="1:16" x14ac:dyDescent="0.25">
      <c r="J167" s="14" t="s">
        <v>274</v>
      </c>
      <c r="K167" t="s">
        <v>2</v>
      </c>
      <c r="M167" t="s">
        <v>275</v>
      </c>
      <c r="N167">
        <f>$E$162*N162</f>
        <v>34711320</v>
      </c>
    </row>
    <row r="168" spans="1:16" x14ac:dyDescent="0.25">
      <c r="J168" s="14"/>
      <c r="K168" t="s">
        <v>3</v>
      </c>
      <c r="M168" t="s">
        <v>275</v>
      </c>
      <c r="N168">
        <f t="shared" ref="N168:N170" si="3">$E$162*N163</f>
        <v>5070240</v>
      </c>
    </row>
    <row r="169" spans="1:16" x14ac:dyDescent="0.25">
      <c r="J169" s="14"/>
      <c r="K169" t="s">
        <v>4</v>
      </c>
      <c r="M169" t="s">
        <v>275</v>
      </c>
      <c r="N169">
        <f t="shared" si="3"/>
        <v>843920</v>
      </c>
    </row>
    <row r="170" spans="1:16" x14ac:dyDescent="0.25">
      <c r="J170" s="14"/>
      <c r="K170" t="s">
        <v>25</v>
      </c>
      <c r="M170" t="s">
        <v>275</v>
      </c>
      <c r="N170">
        <f t="shared" si="3"/>
        <v>40625480</v>
      </c>
    </row>
    <row r="171" spans="1:16" x14ac:dyDescent="0.25">
      <c r="J171" s="14"/>
      <c r="K171" t="s">
        <v>2</v>
      </c>
      <c r="M171" t="s">
        <v>276</v>
      </c>
      <c r="N171">
        <f>N167/1000</f>
        <v>34711.32</v>
      </c>
    </row>
    <row r="172" spans="1:16" x14ac:dyDescent="0.25">
      <c r="J172" s="14"/>
      <c r="K172" t="s">
        <v>3</v>
      </c>
      <c r="M172" t="s">
        <v>276</v>
      </c>
      <c r="N172">
        <f t="shared" ref="N172:N174" si="4">N168/1000</f>
        <v>5070.24</v>
      </c>
    </row>
    <row r="173" spans="1:16" x14ac:dyDescent="0.25">
      <c r="J173" s="14"/>
      <c r="K173" t="s">
        <v>4</v>
      </c>
      <c r="M173" t="s">
        <v>276</v>
      </c>
      <c r="N173">
        <f t="shared" si="4"/>
        <v>843.92</v>
      </c>
    </row>
    <row r="174" spans="1:16" x14ac:dyDescent="0.25">
      <c r="J174" s="14"/>
      <c r="K174" t="s">
        <v>25</v>
      </c>
      <c r="M174" t="s">
        <v>276</v>
      </c>
      <c r="N174">
        <f t="shared" si="4"/>
        <v>40625.480000000003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opLeftCell="A7" workbookViewId="0">
      <selection activeCell="M33" sqref="M33"/>
    </sheetView>
  </sheetViews>
  <sheetFormatPr defaultRowHeight="15" x14ac:dyDescent="0.25"/>
  <cols>
    <col min="1" max="1" width="17" customWidth="1"/>
    <col min="3" max="3" width="9.7109375" customWidth="1"/>
    <col min="4" max="4" width="12.140625" customWidth="1"/>
    <col min="9" max="9" width="31.7109375" style="14" customWidth="1"/>
    <col min="10" max="10" width="24.42578125" customWidth="1"/>
    <col min="12" max="12" width="19.5703125" customWidth="1"/>
    <col min="13" max="13" width="11" bestFit="1" customWidth="1"/>
  </cols>
  <sheetData>
    <row r="1" spans="1:15" x14ac:dyDescent="0.25">
      <c r="A1" s="3" t="s">
        <v>23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s="13" t="s">
        <v>116</v>
      </c>
      <c r="J1" s="4" t="s">
        <v>218</v>
      </c>
      <c r="K1" s="4" t="s">
        <v>7</v>
      </c>
      <c r="L1" s="4" t="s">
        <v>8</v>
      </c>
      <c r="M1" s="4" t="s">
        <v>9</v>
      </c>
      <c r="N1" s="29" t="s">
        <v>219</v>
      </c>
      <c r="O1" s="4" t="s">
        <v>118</v>
      </c>
    </row>
    <row r="2" spans="1:15" x14ac:dyDescent="0.25">
      <c r="A2" t="s">
        <v>24</v>
      </c>
      <c r="B2" t="s">
        <v>2</v>
      </c>
      <c r="C2">
        <v>2015</v>
      </c>
      <c r="D2" t="s">
        <v>26</v>
      </c>
      <c r="E2">
        <v>1239690</v>
      </c>
      <c r="G2" t="s">
        <v>14</v>
      </c>
      <c r="I2" s="14" t="s">
        <v>248</v>
      </c>
      <c r="J2" t="s">
        <v>2</v>
      </c>
      <c r="K2">
        <v>2015</v>
      </c>
      <c r="L2" t="s">
        <v>135</v>
      </c>
      <c r="M2">
        <f>E2*1000</f>
        <v>1239690000</v>
      </c>
    </row>
    <row r="3" spans="1:15" x14ac:dyDescent="0.25">
      <c r="B3" t="s">
        <v>3</v>
      </c>
      <c r="C3">
        <v>2015</v>
      </c>
      <c r="D3" t="s">
        <v>26</v>
      </c>
      <c r="E3">
        <v>181080</v>
      </c>
      <c r="G3" t="s">
        <v>14</v>
      </c>
      <c r="J3" t="s">
        <v>3</v>
      </c>
      <c r="K3">
        <v>2015</v>
      </c>
      <c r="L3" t="s">
        <v>135</v>
      </c>
      <c r="M3">
        <f t="shared" ref="M3:M5" si="0">E3*1000</f>
        <v>181080000</v>
      </c>
    </row>
    <row r="4" spans="1:15" x14ac:dyDescent="0.25">
      <c r="B4" t="s">
        <v>4</v>
      </c>
      <c r="C4">
        <v>2015</v>
      </c>
      <c r="D4" t="s">
        <v>26</v>
      </c>
      <c r="E4">
        <v>30140</v>
      </c>
      <c r="G4" t="s">
        <v>14</v>
      </c>
      <c r="J4" t="s">
        <v>4</v>
      </c>
      <c r="K4">
        <v>2015</v>
      </c>
      <c r="L4" t="s">
        <v>135</v>
      </c>
      <c r="M4">
        <f t="shared" si="0"/>
        <v>30140000</v>
      </c>
    </row>
    <row r="5" spans="1:15" x14ac:dyDescent="0.25">
      <c r="B5" t="s">
        <v>25</v>
      </c>
      <c r="C5">
        <v>2015</v>
      </c>
      <c r="D5" t="s">
        <v>26</v>
      </c>
      <c r="E5">
        <f>SUM(E2:E4)</f>
        <v>1450910</v>
      </c>
      <c r="G5" t="s">
        <v>14</v>
      </c>
      <c r="J5" t="s">
        <v>25</v>
      </c>
      <c r="K5">
        <v>2015</v>
      </c>
      <c r="L5" t="s">
        <v>135</v>
      </c>
      <c r="M5">
        <f t="shared" si="0"/>
        <v>1450910000</v>
      </c>
    </row>
    <row r="7" spans="1:15" x14ac:dyDescent="0.25">
      <c r="A7" t="s">
        <v>24</v>
      </c>
      <c r="B7" t="s">
        <v>2</v>
      </c>
      <c r="C7">
        <v>2015</v>
      </c>
      <c r="D7" t="s">
        <v>42</v>
      </c>
      <c r="E7">
        <v>3288540</v>
      </c>
      <c r="G7" t="s">
        <v>14</v>
      </c>
      <c r="J7" t="s">
        <v>2</v>
      </c>
      <c r="K7">
        <v>2015</v>
      </c>
      <c r="L7" t="s">
        <v>249</v>
      </c>
      <c r="M7" s="39">
        <f>M2/1000000</f>
        <v>1239.69</v>
      </c>
    </row>
    <row r="8" spans="1:15" x14ac:dyDescent="0.25">
      <c r="B8" t="s">
        <v>3</v>
      </c>
      <c r="C8">
        <v>2015</v>
      </c>
      <c r="D8" t="s">
        <v>42</v>
      </c>
      <c r="E8">
        <v>1284160</v>
      </c>
      <c r="G8" t="s">
        <v>14</v>
      </c>
      <c r="J8" t="s">
        <v>3</v>
      </c>
      <c r="K8">
        <v>2015</v>
      </c>
      <c r="L8" t="s">
        <v>249</v>
      </c>
      <c r="M8">
        <f t="shared" ref="M8" si="1">M3/1000000</f>
        <v>181.08</v>
      </c>
    </row>
    <row r="9" spans="1:15" x14ac:dyDescent="0.25">
      <c r="B9" t="s">
        <v>4</v>
      </c>
      <c r="C9">
        <v>2015</v>
      </c>
      <c r="D9" t="s">
        <v>42</v>
      </c>
      <c r="E9">
        <v>108590</v>
      </c>
      <c r="G9" t="s">
        <v>14</v>
      </c>
      <c r="J9" t="s">
        <v>4</v>
      </c>
      <c r="K9">
        <v>2015</v>
      </c>
      <c r="L9" t="s">
        <v>249</v>
      </c>
      <c r="M9">
        <f>M4/1000000</f>
        <v>30.14</v>
      </c>
    </row>
    <row r="11" spans="1:15" x14ac:dyDescent="0.25">
      <c r="A11" s="1" t="s">
        <v>277</v>
      </c>
      <c r="B11" s="41" t="s">
        <v>278</v>
      </c>
      <c r="I11" s="13" t="s">
        <v>116</v>
      </c>
    </row>
    <row r="12" spans="1:15" x14ac:dyDescent="0.25">
      <c r="I12" s="36" t="s">
        <v>2</v>
      </c>
    </row>
    <row r="13" spans="1:15" x14ac:dyDescent="0.25">
      <c r="A13" t="s">
        <v>279</v>
      </c>
      <c r="B13" t="s">
        <v>280</v>
      </c>
      <c r="D13" t="s">
        <v>281</v>
      </c>
      <c r="E13">
        <v>13610000</v>
      </c>
      <c r="G13" s="37" t="s">
        <v>282</v>
      </c>
      <c r="I13" s="14" t="s">
        <v>127</v>
      </c>
      <c r="J13" t="s">
        <v>2</v>
      </c>
      <c r="L13" t="s">
        <v>135</v>
      </c>
      <c r="M13">
        <f>'Data herd'!M14</f>
        <v>1438576730</v>
      </c>
    </row>
    <row r="14" spans="1:15" x14ac:dyDescent="0.25">
      <c r="A14" t="s">
        <v>279</v>
      </c>
      <c r="B14" t="s">
        <v>283</v>
      </c>
      <c r="D14" t="s">
        <v>281</v>
      </c>
      <c r="E14">
        <v>25120000</v>
      </c>
      <c r="G14" s="37" t="s">
        <v>282</v>
      </c>
      <c r="J14" t="s">
        <v>284</v>
      </c>
      <c r="L14">
        <f>M13/(SUM(M13,M23,M32))</f>
        <v>0.98480751457046933</v>
      </c>
    </row>
    <row r="15" spans="1:15" x14ac:dyDescent="0.25">
      <c r="B15" t="s">
        <v>25</v>
      </c>
      <c r="D15" t="s">
        <v>281</v>
      </c>
      <c r="E15">
        <f>SUM(E13,E14)</f>
        <v>38730000</v>
      </c>
      <c r="G15" s="37" t="s">
        <v>282</v>
      </c>
    </row>
    <row r="16" spans="1:15" x14ac:dyDescent="0.25">
      <c r="J16" t="s">
        <v>285</v>
      </c>
      <c r="L16" t="s">
        <v>286</v>
      </c>
      <c r="M16">
        <f>E14*L14</f>
        <v>24738364.766010191</v>
      </c>
    </row>
    <row r="17" spans="9:13" x14ac:dyDescent="0.25">
      <c r="J17" t="s">
        <v>287</v>
      </c>
      <c r="L17" t="s">
        <v>286</v>
      </c>
      <c r="M17">
        <f>E13*L14</f>
        <v>13403230.273304088</v>
      </c>
    </row>
    <row r="18" spans="9:13" x14ac:dyDescent="0.25">
      <c r="J18" t="s">
        <v>25</v>
      </c>
      <c r="L18" t="s">
        <v>286</v>
      </c>
      <c r="M18">
        <f>SUM(M16:M17)</f>
        <v>38141595.039314277</v>
      </c>
    </row>
    <row r="19" spans="9:13" x14ac:dyDescent="0.25">
      <c r="J19" t="s">
        <v>25</v>
      </c>
      <c r="L19" t="s">
        <v>125</v>
      </c>
      <c r="M19">
        <f>M18/1000000</f>
        <v>38.141595039314275</v>
      </c>
    </row>
    <row r="22" spans="9:13" x14ac:dyDescent="0.25">
      <c r="I22" s="36" t="s">
        <v>3</v>
      </c>
    </row>
    <row r="23" spans="9:13" x14ac:dyDescent="0.25">
      <c r="I23" s="14" t="s">
        <v>288</v>
      </c>
      <c r="J23" t="s">
        <v>3</v>
      </c>
      <c r="L23" t="str">
        <f>'[1]Data herd'!K12</f>
        <v>Kg/year</v>
      </c>
      <c r="M23">
        <f>'Data herd'!M25</f>
        <v>20252340.672000006</v>
      </c>
    </row>
    <row r="24" spans="9:13" x14ac:dyDescent="0.25">
      <c r="J24" t="s">
        <v>284</v>
      </c>
      <c r="L24">
        <f>M23/(SUM(M13,M23,M32))</f>
        <v>1.3864159530389981E-2</v>
      </c>
    </row>
    <row r="26" spans="9:13" x14ac:dyDescent="0.25">
      <c r="J26" t="s">
        <v>283</v>
      </c>
      <c r="L26" t="s">
        <v>286</v>
      </c>
      <c r="M26">
        <f>E14*L24</f>
        <v>348267.68740339635</v>
      </c>
    </row>
    <row r="27" spans="9:13" x14ac:dyDescent="0.25">
      <c r="J27" t="s">
        <v>280</v>
      </c>
      <c r="L27" t="s">
        <v>286</v>
      </c>
      <c r="M27">
        <f>E13*L24</f>
        <v>188691.21120860765</v>
      </c>
    </row>
    <row r="28" spans="9:13" x14ac:dyDescent="0.25">
      <c r="J28" t="s">
        <v>25</v>
      </c>
      <c r="L28" t="s">
        <v>286</v>
      </c>
      <c r="M28">
        <f>SUM(M26:M27)</f>
        <v>536958.89861200401</v>
      </c>
    </row>
    <row r="29" spans="9:13" x14ac:dyDescent="0.25">
      <c r="J29" t="s">
        <v>25</v>
      </c>
      <c r="L29" t="s">
        <v>125</v>
      </c>
      <c r="M29">
        <f>M28/1000000</f>
        <v>0.53695889861200397</v>
      </c>
    </row>
    <row r="31" spans="9:13" x14ac:dyDescent="0.25">
      <c r="I31" s="36" t="s">
        <v>4</v>
      </c>
    </row>
    <row r="32" spans="9:13" x14ac:dyDescent="0.25">
      <c r="I32" s="14" t="s">
        <v>127</v>
      </c>
      <c r="J32" t="s">
        <v>4</v>
      </c>
      <c r="L32" t="str">
        <f>'[1]Data herd'!K25</f>
        <v>Kg/year</v>
      </c>
      <c r="M32">
        <f>'Data herd'!M38</f>
        <v>1940377.8912000007</v>
      </c>
    </row>
    <row r="33" spans="10:13" x14ac:dyDescent="0.25">
      <c r="J33" t="s">
        <v>284</v>
      </c>
      <c r="L33">
        <f>M32/(SUM(M13,M23,M32))</f>
        <v>1.3283258991407161E-3</v>
      </c>
    </row>
    <row r="35" spans="10:13" x14ac:dyDescent="0.25">
      <c r="J35" t="s">
        <v>285</v>
      </c>
      <c r="L35" t="s">
        <v>286</v>
      </c>
      <c r="M35">
        <f>E14*L33</f>
        <v>33367.546586414785</v>
      </c>
    </row>
    <row r="36" spans="10:13" x14ac:dyDescent="0.25">
      <c r="J36" t="s">
        <v>287</v>
      </c>
      <c r="L36" t="s">
        <v>286</v>
      </c>
      <c r="M36">
        <f>E13*L33</f>
        <v>18078.515487305147</v>
      </c>
    </row>
    <row r="37" spans="10:13" x14ac:dyDescent="0.25">
      <c r="J37" t="s">
        <v>225</v>
      </c>
      <c r="L37" t="s">
        <v>286</v>
      </c>
      <c r="M37">
        <f>SUM(M35:M36)</f>
        <v>51446.062073719935</v>
      </c>
    </row>
    <row r="38" spans="10:13" x14ac:dyDescent="0.25">
      <c r="J38" t="s">
        <v>25</v>
      </c>
      <c r="L38" t="s">
        <v>125</v>
      </c>
      <c r="M38">
        <f>M37/1000000</f>
        <v>5.1446062073719934E-2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I30" sqref="I30"/>
    </sheetView>
  </sheetViews>
  <sheetFormatPr defaultRowHeight="15" x14ac:dyDescent="0.25"/>
  <cols>
    <col min="1" max="1" width="15.7109375" customWidth="1"/>
    <col min="2" max="2" width="22.85546875" customWidth="1"/>
    <col min="4" max="4" width="22.42578125" customWidth="1"/>
    <col min="6" max="6" width="14.7109375" customWidth="1"/>
    <col min="9" max="9" width="25.7109375" style="14" customWidth="1"/>
    <col min="10" max="10" width="18.5703125" customWidth="1"/>
    <col min="12" max="12" width="12.5703125" customWidth="1"/>
    <col min="13" max="13" width="10" bestFit="1" customWidth="1"/>
  </cols>
  <sheetData>
    <row r="1" spans="1:13" x14ac:dyDescent="0.25">
      <c r="A1" s="2" t="s">
        <v>16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s="13" t="s">
        <v>116</v>
      </c>
      <c r="J1" s="4" t="s">
        <v>218</v>
      </c>
      <c r="K1" s="4" t="s">
        <v>7</v>
      </c>
      <c r="L1" s="4" t="s">
        <v>8</v>
      </c>
      <c r="M1" s="4" t="s">
        <v>9</v>
      </c>
    </row>
    <row r="2" spans="1:13" x14ac:dyDescent="0.25">
      <c r="A2" t="s">
        <v>21</v>
      </c>
      <c r="B2" t="s">
        <v>19</v>
      </c>
      <c r="C2">
        <v>2007</v>
      </c>
      <c r="D2" t="s">
        <v>22</v>
      </c>
      <c r="E2">
        <v>1338360</v>
      </c>
      <c r="G2" t="s">
        <v>14</v>
      </c>
      <c r="I2" s="14" t="s">
        <v>250</v>
      </c>
      <c r="J2" t="s">
        <v>251</v>
      </c>
      <c r="K2">
        <v>2007</v>
      </c>
      <c r="L2" t="s">
        <v>135</v>
      </c>
      <c r="M2">
        <f>SUM(M3:M4)</f>
        <v>535534740</v>
      </c>
    </row>
    <row r="3" spans="1:13" x14ac:dyDescent="0.25">
      <c r="A3" t="s">
        <v>21</v>
      </c>
      <c r="B3" t="s">
        <v>2</v>
      </c>
      <c r="C3">
        <v>2007</v>
      </c>
      <c r="D3" t="s">
        <v>22</v>
      </c>
      <c r="E3">
        <v>828360</v>
      </c>
      <c r="G3" t="s">
        <v>14</v>
      </c>
      <c r="J3" t="s">
        <v>252</v>
      </c>
      <c r="K3">
        <v>2007</v>
      </c>
      <c r="L3" t="s">
        <v>135</v>
      </c>
      <c r="M3">
        <f>(E3/2)*'Data herd'!E9</f>
        <v>232769160</v>
      </c>
    </row>
    <row r="4" spans="1:13" x14ac:dyDescent="0.25">
      <c r="A4" t="s">
        <v>21</v>
      </c>
      <c r="B4" t="s">
        <v>20</v>
      </c>
      <c r="C4">
        <v>2007</v>
      </c>
      <c r="D4" t="s">
        <v>22</v>
      </c>
      <c r="E4">
        <v>510000</v>
      </c>
      <c r="G4" t="s">
        <v>14</v>
      </c>
      <c r="J4" t="s">
        <v>253</v>
      </c>
      <c r="K4">
        <v>2007</v>
      </c>
      <c r="L4" t="s">
        <v>135</v>
      </c>
      <c r="M4">
        <f>(E3/2)*'Data herd'!E10</f>
        <v>302765580</v>
      </c>
    </row>
    <row r="5" spans="1:13" x14ac:dyDescent="0.25">
      <c r="J5" t="s">
        <v>20</v>
      </c>
      <c r="K5">
        <v>2007</v>
      </c>
      <c r="L5" t="s">
        <v>135</v>
      </c>
    </row>
    <row r="7" spans="1:13" x14ac:dyDescent="0.25">
      <c r="J7" t="s">
        <v>254</v>
      </c>
      <c r="L7" t="s">
        <v>129</v>
      </c>
      <c r="M7">
        <f>M2/1000000</f>
        <v>535.53474000000006</v>
      </c>
    </row>
    <row r="10" spans="1:13" x14ac:dyDescent="0.25">
      <c r="A10" s="2" t="s">
        <v>17</v>
      </c>
      <c r="C10" t="s">
        <v>7</v>
      </c>
      <c r="D10" t="s">
        <v>8</v>
      </c>
      <c r="E10" t="s">
        <v>9</v>
      </c>
      <c r="F10" t="s">
        <v>10</v>
      </c>
      <c r="G10" t="s">
        <v>11</v>
      </c>
      <c r="H10" t="s">
        <v>12</v>
      </c>
    </row>
    <row r="11" spans="1:13" x14ac:dyDescent="0.25">
      <c r="A11" t="s">
        <v>21</v>
      </c>
      <c r="B11" t="s">
        <v>19</v>
      </c>
      <c r="C11">
        <v>2007</v>
      </c>
      <c r="D11" t="s">
        <v>18</v>
      </c>
      <c r="E11">
        <v>171820</v>
      </c>
      <c r="G11" t="s">
        <v>14</v>
      </c>
      <c r="I11" s="13" t="s">
        <v>116</v>
      </c>
      <c r="J11" s="4" t="s">
        <v>218</v>
      </c>
      <c r="K11" s="4" t="s">
        <v>7</v>
      </c>
      <c r="L11" s="4" t="s">
        <v>8</v>
      </c>
      <c r="M11" s="4" t="s">
        <v>9</v>
      </c>
    </row>
    <row r="12" spans="1:13" x14ac:dyDescent="0.25">
      <c r="A12" t="s">
        <v>21</v>
      </c>
      <c r="B12" t="s">
        <v>2</v>
      </c>
      <c r="C12">
        <v>2007</v>
      </c>
      <c r="D12" t="s">
        <v>18</v>
      </c>
      <c r="E12">
        <v>19860</v>
      </c>
      <c r="G12" t="s">
        <v>14</v>
      </c>
      <c r="I12" s="14" t="s">
        <v>250</v>
      </c>
      <c r="J12" t="s">
        <v>251</v>
      </c>
      <c r="K12">
        <v>2007</v>
      </c>
      <c r="L12" t="s">
        <v>135</v>
      </c>
      <c r="M12">
        <f>SUM(M13:M14)</f>
        <v>12839490</v>
      </c>
    </row>
    <row r="13" spans="1:13" x14ac:dyDescent="0.25">
      <c r="A13" t="s">
        <v>21</v>
      </c>
      <c r="B13" t="s">
        <v>20</v>
      </c>
      <c r="C13">
        <v>2007</v>
      </c>
      <c r="D13" t="s">
        <v>18</v>
      </c>
      <c r="E13">
        <v>151960</v>
      </c>
      <c r="G13" t="s">
        <v>14</v>
      </c>
      <c r="J13" t="s">
        <v>252</v>
      </c>
      <c r="K13">
        <v>2007</v>
      </c>
      <c r="L13" t="s">
        <v>135</v>
      </c>
      <c r="M13">
        <f>(E12/2)*'Data herd'!E9</f>
        <v>5580660</v>
      </c>
    </row>
    <row r="14" spans="1:13" x14ac:dyDescent="0.25">
      <c r="J14" t="s">
        <v>253</v>
      </c>
      <c r="K14">
        <v>2007</v>
      </c>
      <c r="L14" t="s">
        <v>135</v>
      </c>
      <c r="M14">
        <f>(E12/2)*'Data herd'!E10</f>
        <v>7258830</v>
      </c>
    </row>
    <row r="15" spans="1:13" x14ac:dyDescent="0.25">
      <c r="J15" t="s">
        <v>20</v>
      </c>
      <c r="K15">
        <v>2007</v>
      </c>
      <c r="L15" t="s">
        <v>135</v>
      </c>
    </row>
    <row r="17" spans="10:13" x14ac:dyDescent="0.25">
      <c r="J17" t="s">
        <v>255</v>
      </c>
      <c r="L17" t="s">
        <v>129</v>
      </c>
      <c r="M17">
        <f>M12/1000000</f>
        <v>12.83949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opLeftCell="A82" workbookViewId="0">
      <selection activeCell="E142" sqref="E142"/>
    </sheetView>
  </sheetViews>
  <sheetFormatPr defaultRowHeight="15" x14ac:dyDescent="0.25"/>
  <cols>
    <col min="1" max="1" width="26.140625" customWidth="1"/>
    <col min="2" max="2" width="27.85546875" customWidth="1"/>
    <col min="3" max="3" width="33" customWidth="1"/>
    <col min="4" max="4" width="19.85546875" customWidth="1"/>
    <col min="5" max="5" width="16.7109375" customWidth="1"/>
    <col min="6" max="6" width="21.5703125" customWidth="1"/>
    <col min="7" max="7" width="19.28515625" customWidth="1"/>
    <col min="8" max="8" width="14.85546875" customWidth="1"/>
    <col min="9" max="9" width="14" customWidth="1"/>
  </cols>
  <sheetData>
    <row r="1" spans="1:5" x14ac:dyDescent="0.25">
      <c r="A1" s="3" t="s">
        <v>139</v>
      </c>
      <c r="C1" t="s">
        <v>8</v>
      </c>
      <c r="D1" t="s">
        <v>9</v>
      </c>
      <c r="E1" t="s">
        <v>11</v>
      </c>
    </row>
    <row r="2" spans="1:5" x14ac:dyDescent="0.25">
      <c r="A2" t="s">
        <v>140</v>
      </c>
      <c r="B2" t="s">
        <v>141</v>
      </c>
      <c r="C2" t="s">
        <v>142</v>
      </c>
      <c r="D2">
        <v>0.32200000000000001</v>
      </c>
      <c r="E2" t="s">
        <v>143</v>
      </c>
    </row>
    <row r="3" spans="1:5" x14ac:dyDescent="0.25">
      <c r="B3" t="s">
        <v>144</v>
      </c>
      <c r="C3" t="s">
        <v>142</v>
      </c>
      <c r="D3">
        <v>0.38600000000000001</v>
      </c>
      <c r="E3" t="s">
        <v>143</v>
      </c>
    </row>
    <row r="4" spans="1:5" x14ac:dyDescent="0.25">
      <c r="B4" t="s">
        <v>145</v>
      </c>
      <c r="C4" t="s">
        <v>142</v>
      </c>
      <c r="D4">
        <v>0.37</v>
      </c>
      <c r="E4" t="s">
        <v>143</v>
      </c>
    </row>
    <row r="6" spans="1:5" x14ac:dyDescent="0.25">
      <c r="A6" t="s">
        <v>146</v>
      </c>
      <c r="B6" t="s">
        <v>147</v>
      </c>
      <c r="C6" t="s">
        <v>85</v>
      </c>
      <c r="D6">
        <v>0.17</v>
      </c>
      <c r="E6" t="s">
        <v>143</v>
      </c>
    </row>
    <row r="9" spans="1:5" x14ac:dyDescent="0.25">
      <c r="A9" t="s">
        <v>148</v>
      </c>
      <c r="B9" t="s">
        <v>149</v>
      </c>
      <c r="C9" t="s">
        <v>85</v>
      </c>
      <c r="D9">
        <v>0.8</v>
      </c>
      <c r="E9" t="s">
        <v>143</v>
      </c>
    </row>
    <row r="10" spans="1:5" x14ac:dyDescent="0.25">
      <c r="B10" t="s">
        <v>150</v>
      </c>
      <c r="C10" t="s">
        <v>85</v>
      </c>
      <c r="D10">
        <v>1.2</v>
      </c>
      <c r="E10" t="s">
        <v>143</v>
      </c>
    </row>
    <row r="12" spans="1:5" x14ac:dyDescent="0.25">
      <c r="A12" t="s">
        <v>151</v>
      </c>
      <c r="B12" t="s">
        <v>152</v>
      </c>
      <c r="C12" t="s">
        <v>61</v>
      </c>
      <c r="D12" s="19">
        <v>65</v>
      </c>
      <c r="E12" t="s">
        <v>143</v>
      </c>
    </row>
    <row r="13" spans="1:5" x14ac:dyDescent="0.25">
      <c r="A13" t="s">
        <v>151</v>
      </c>
      <c r="B13" t="s">
        <v>153</v>
      </c>
      <c r="C13" t="s">
        <v>61</v>
      </c>
      <c r="D13" s="19">
        <v>75</v>
      </c>
      <c r="E13" t="s">
        <v>143</v>
      </c>
    </row>
    <row r="14" spans="1:5" x14ac:dyDescent="0.25">
      <c r="A14" t="s">
        <v>151</v>
      </c>
      <c r="B14" t="s">
        <v>154</v>
      </c>
      <c r="C14" t="s">
        <v>61</v>
      </c>
      <c r="D14" s="19">
        <v>70</v>
      </c>
      <c r="E14" t="s">
        <v>143</v>
      </c>
    </row>
    <row r="17" spans="1:9" x14ac:dyDescent="0.25">
      <c r="A17" t="s">
        <v>155</v>
      </c>
      <c r="B17" t="s">
        <v>156</v>
      </c>
      <c r="C17" t="s">
        <v>61</v>
      </c>
      <c r="D17">
        <v>4.0599999999999996</v>
      </c>
      <c r="E17" t="s">
        <v>50</v>
      </c>
    </row>
    <row r="18" spans="1:9" x14ac:dyDescent="0.25">
      <c r="A18" t="s">
        <v>155</v>
      </c>
      <c r="B18" t="s">
        <v>157</v>
      </c>
      <c r="C18" t="s">
        <v>158</v>
      </c>
      <c r="D18" s="20">
        <f>7556/365</f>
        <v>20.701369863013699</v>
      </c>
      <c r="E18" t="s">
        <v>50</v>
      </c>
    </row>
    <row r="20" spans="1:9" x14ac:dyDescent="0.25">
      <c r="A20" t="s">
        <v>159</v>
      </c>
      <c r="B20" t="s">
        <v>160</v>
      </c>
      <c r="C20" t="s">
        <v>161</v>
      </c>
      <c r="D20">
        <v>0.1</v>
      </c>
      <c r="E20" t="s">
        <v>143</v>
      </c>
    </row>
    <row r="22" spans="1:9" x14ac:dyDescent="0.25">
      <c r="A22" s="3" t="s">
        <v>162</v>
      </c>
    </row>
    <row r="23" spans="1:9" x14ac:dyDescent="0.25">
      <c r="A23" s="2" t="s">
        <v>2</v>
      </c>
    </row>
    <row r="24" spans="1:9" x14ac:dyDescent="0.25">
      <c r="A24" s="21" t="s">
        <v>163</v>
      </c>
      <c r="B24" s="22">
        <f>'Data herd'!E81</f>
        <v>361.19498947312729</v>
      </c>
    </row>
    <row r="25" spans="1:9" x14ac:dyDescent="0.25">
      <c r="A25" s="21" t="s">
        <v>164</v>
      </c>
      <c r="B25" s="22">
        <f>'Data herd'!E82</f>
        <v>133.96163640071859</v>
      </c>
    </row>
    <row r="26" spans="1:9" x14ac:dyDescent="0.25">
      <c r="A26" s="23" t="s">
        <v>165</v>
      </c>
      <c r="C26" t="s">
        <v>166</v>
      </c>
      <c r="D26" t="s">
        <v>167</v>
      </c>
      <c r="E26" t="s">
        <v>168</v>
      </c>
      <c r="G26" t="s">
        <v>169</v>
      </c>
      <c r="I26" t="s">
        <v>170</v>
      </c>
    </row>
    <row r="27" spans="1:9" x14ac:dyDescent="0.25">
      <c r="B27" s="24" t="s">
        <v>171</v>
      </c>
      <c r="C27">
        <v>18.7</v>
      </c>
      <c r="D27">
        <v>54.2</v>
      </c>
      <c r="E27">
        <f t="shared" ref="E27:E42" si="0">D27/100</f>
        <v>0.54200000000000004</v>
      </c>
      <c r="F27">
        <f>$B$24*E27</f>
        <v>195.76768429443501</v>
      </c>
      <c r="G27">
        <f>F27/C27</f>
        <v>10.468860122697061</v>
      </c>
      <c r="H27">
        <f>$B$25*E27</f>
        <v>72.607206929189473</v>
      </c>
      <c r="I27">
        <f>H27/C27</f>
        <v>3.8827383384593301</v>
      </c>
    </row>
    <row r="28" spans="1:9" x14ac:dyDescent="0.25">
      <c r="B28" s="24" t="s">
        <v>172</v>
      </c>
      <c r="C28">
        <f>(C31+C27)/2</f>
        <v>18.799999999999997</v>
      </c>
      <c r="D28">
        <v>10.8</v>
      </c>
      <c r="E28">
        <f t="shared" si="0"/>
        <v>0.10800000000000001</v>
      </c>
      <c r="F28">
        <f t="shared" ref="F28:F42" si="1">$B$24*E28</f>
        <v>39.009058863097749</v>
      </c>
      <c r="G28">
        <f t="shared" ref="G28:G42" si="2">F28/C28</f>
        <v>2.0749499395264763</v>
      </c>
      <c r="H28">
        <f t="shared" ref="H28:H42" si="3">$B$25*E28</f>
        <v>14.467856731277609</v>
      </c>
      <c r="I28">
        <f t="shared" ref="I28:I42" si="4">H28/C28</f>
        <v>0.76956684740838355</v>
      </c>
    </row>
    <row r="29" spans="1:9" x14ac:dyDescent="0.25">
      <c r="B29" s="24" t="s">
        <v>173</v>
      </c>
      <c r="C29">
        <v>18.5</v>
      </c>
      <c r="D29">
        <v>6</v>
      </c>
      <c r="E29">
        <f t="shared" si="0"/>
        <v>0.06</v>
      </c>
      <c r="F29">
        <f t="shared" si="1"/>
        <v>21.671699368387635</v>
      </c>
      <c r="G29">
        <f t="shared" si="2"/>
        <v>1.1714432091020344</v>
      </c>
      <c r="H29">
        <f t="shared" si="3"/>
        <v>8.0376981840431156</v>
      </c>
      <c r="I29">
        <f t="shared" si="4"/>
        <v>0.4344701721104387</v>
      </c>
    </row>
    <row r="30" spans="1:9" x14ac:dyDescent="0.25">
      <c r="B30" s="24" t="s">
        <v>174</v>
      </c>
      <c r="C30">
        <f>(C31+C29)/2</f>
        <v>18.7</v>
      </c>
      <c r="D30">
        <v>1.2</v>
      </c>
      <c r="E30">
        <f t="shared" si="0"/>
        <v>1.2E-2</v>
      </c>
      <c r="F30">
        <f t="shared" si="1"/>
        <v>4.3343398736775276</v>
      </c>
      <c r="G30">
        <f t="shared" si="2"/>
        <v>0.23178288094532234</v>
      </c>
      <c r="H30">
        <f t="shared" si="3"/>
        <v>1.607539636808623</v>
      </c>
      <c r="I30">
        <f t="shared" si="4"/>
        <v>8.596468646035417E-2</v>
      </c>
    </row>
    <row r="31" spans="1:9" x14ac:dyDescent="0.25">
      <c r="B31" s="24" t="s">
        <v>175</v>
      </c>
      <c r="C31">
        <v>18.899999999999999</v>
      </c>
      <c r="D31">
        <v>19.3</v>
      </c>
      <c r="E31">
        <f t="shared" si="0"/>
        <v>0.193</v>
      </c>
      <c r="F31">
        <f t="shared" si="1"/>
        <v>69.710632968313575</v>
      </c>
      <c r="G31">
        <f t="shared" si="2"/>
        <v>3.6883932787467502</v>
      </c>
      <c r="H31">
        <f t="shared" si="3"/>
        <v>25.854595825338688</v>
      </c>
      <c r="I31">
        <f t="shared" si="4"/>
        <v>1.3679680330867032</v>
      </c>
    </row>
    <row r="32" spans="1:9" x14ac:dyDescent="0.25">
      <c r="B32" s="24" t="s">
        <v>176</v>
      </c>
      <c r="C32">
        <v>18.899999999999999</v>
      </c>
      <c r="D32">
        <v>3.6</v>
      </c>
      <c r="E32">
        <f t="shared" si="0"/>
        <v>3.6000000000000004E-2</v>
      </c>
      <c r="F32">
        <f t="shared" si="1"/>
        <v>13.003019621032584</v>
      </c>
      <c r="G32">
        <f t="shared" si="2"/>
        <v>0.68799045613929022</v>
      </c>
      <c r="H32">
        <f t="shared" si="3"/>
        <v>4.8226189104258701</v>
      </c>
      <c r="I32">
        <f t="shared" si="4"/>
        <v>0.25516502171565453</v>
      </c>
    </row>
    <row r="33" spans="1:9" x14ac:dyDescent="0.25">
      <c r="B33" s="24" t="s">
        <v>177</v>
      </c>
      <c r="C33">
        <v>16.7</v>
      </c>
      <c r="D33">
        <v>2.4</v>
      </c>
      <c r="E33">
        <f t="shared" si="0"/>
        <v>2.4E-2</v>
      </c>
      <c r="F33">
        <f t="shared" si="1"/>
        <v>8.6686797473550552</v>
      </c>
      <c r="G33">
        <f t="shared" si="2"/>
        <v>0.51908261960209912</v>
      </c>
      <c r="H33">
        <f t="shared" si="3"/>
        <v>3.215079273617246</v>
      </c>
      <c r="I33">
        <f t="shared" si="4"/>
        <v>0.19251971698306863</v>
      </c>
    </row>
    <row r="34" spans="1:9" x14ac:dyDescent="0.25">
      <c r="B34" s="24" t="s">
        <v>178</v>
      </c>
      <c r="C34">
        <v>18.600000000000001</v>
      </c>
      <c r="D34">
        <v>0</v>
      </c>
      <c r="E34">
        <f t="shared" si="0"/>
        <v>0</v>
      </c>
      <c r="F34">
        <f t="shared" si="1"/>
        <v>0</v>
      </c>
      <c r="G34">
        <f t="shared" si="2"/>
        <v>0</v>
      </c>
      <c r="H34">
        <f t="shared" si="3"/>
        <v>0</v>
      </c>
      <c r="I34">
        <f t="shared" si="4"/>
        <v>0</v>
      </c>
    </row>
    <row r="35" spans="1:9" x14ac:dyDescent="0.25">
      <c r="B35" s="24" t="s">
        <v>179</v>
      </c>
      <c r="C35">
        <v>18.3</v>
      </c>
      <c r="D35">
        <v>0</v>
      </c>
      <c r="E35">
        <f t="shared" si="0"/>
        <v>0</v>
      </c>
      <c r="F35">
        <f t="shared" si="1"/>
        <v>0</v>
      </c>
      <c r="G35">
        <f t="shared" si="2"/>
        <v>0</v>
      </c>
      <c r="H35">
        <f t="shared" si="3"/>
        <v>0</v>
      </c>
      <c r="I35">
        <f t="shared" si="4"/>
        <v>0</v>
      </c>
    </row>
    <row r="36" spans="1:9" x14ac:dyDescent="0.25">
      <c r="B36" s="24" t="s">
        <v>180</v>
      </c>
      <c r="C36">
        <v>19.7</v>
      </c>
      <c r="D36">
        <v>0</v>
      </c>
      <c r="E36">
        <f t="shared" si="0"/>
        <v>0</v>
      </c>
      <c r="F36">
        <f t="shared" si="1"/>
        <v>0</v>
      </c>
      <c r="G36">
        <f t="shared" si="2"/>
        <v>0</v>
      </c>
      <c r="H36">
        <f t="shared" si="3"/>
        <v>0</v>
      </c>
      <c r="I36">
        <f t="shared" si="4"/>
        <v>0</v>
      </c>
    </row>
    <row r="37" spans="1:9" x14ac:dyDescent="0.25">
      <c r="B37" s="24" t="s">
        <v>181</v>
      </c>
      <c r="C37">
        <v>21.5</v>
      </c>
      <c r="D37">
        <v>0</v>
      </c>
      <c r="E37">
        <f t="shared" si="0"/>
        <v>0</v>
      </c>
      <c r="F37">
        <f t="shared" si="1"/>
        <v>0</v>
      </c>
      <c r="G37">
        <f t="shared" si="2"/>
        <v>0</v>
      </c>
      <c r="H37">
        <f t="shared" si="3"/>
        <v>0</v>
      </c>
      <c r="I37">
        <f t="shared" si="4"/>
        <v>0</v>
      </c>
    </row>
    <row r="38" spans="1:9" x14ac:dyDescent="0.25">
      <c r="B38" s="24" t="s">
        <v>182</v>
      </c>
      <c r="C38">
        <v>17.100000000000001</v>
      </c>
      <c r="D38">
        <v>1.2</v>
      </c>
      <c r="E38">
        <f t="shared" si="0"/>
        <v>1.2E-2</v>
      </c>
      <c r="F38">
        <f t="shared" si="1"/>
        <v>4.3343398736775276</v>
      </c>
      <c r="G38">
        <f t="shared" si="2"/>
        <v>0.25347016805131739</v>
      </c>
      <c r="H38">
        <f t="shared" si="3"/>
        <v>1.607539636808623</v>
      </c>
      <c r="I38">
        <f t="shared" si="4"/>
        <v>9.4008165895241108E-2</v>
      </c>
    </row>
    <row r="39" spans="1:9" x14ac:dyDescent="0.25">
      <c r="B39" s="24" t="s">
        <v>183</v>
      </c>
      <c r="C39">
        <v>18.899999999999999</v>
      </c>
      <c r="D39">
        <v>0</v>
      </c>
      <c r="E39">
        <f t="shared" si="0"/>
        <v>0</v>
      </c>
      <c r="F39">
        <f t="shared" si="1"/>
        <v>0</v>
      </c>
      <c r="G39">
        <f t="shared" si="2"/>
        <v>0</v>
      </c>
      <c r="H39">
        <f t="shared" si="3"/>
        <v>0</v>
      </c>
      <c r="I39">
        <f t="shared" si="4"/>
        <v>0</v>
      </c>
    </row>
    <row r="40" spans="1:9" x14ac:dyDescent="0.25">
      <c r="B40" s="24" t="s">
        <v>184</v>
      </c>
      <c r="C40">
        <v>15.5</v>
      </c>
      <c r="D40">
        <v>0</v>
      </c>
      <c r="E40">
        <f t="shared" si="0"/>
        <v>0</v>
      </c>
      <c r="F40">
        <f t="shared" si="1"/>
        <v>0</v>
      </c>
      <c r="G40">
        <f t="shared" si="2"/>
        <v>0</v>
      </c>
      <c r="H40">
        <f t="shared" si="3"/>
        <v>0</v>
      </c>
      <c r="I40">
        <f t="shared" si="4"/>
        <v>0</v>
      </c>
    </row>
    <row r="41" spans="1:9" x14ac:dyDescent="0.25">
      <c r="B41" s="24" t="s">
        <v>185</v>
      </c>
      <c r="C41">
        <v>18.7</v>
      </c>
      <c r="D41">
        <v>0</v>
      </c>
      <c r="E41">
        <f t="shared" si="0"/>
        <v>0</v>
      </c>
      <c r="F41">
        <f t="shared" si="1"/>
        <v>0</v>
      </c>
      <c r="G41">
        <f t="shared" si="2"/>
        <v>0</v>
      </c>
      <c r="H41">
        <f t="shared" si="3"/>
        <v>0</v>
      </c>
      <c r="I41">
        <f t="shared" si="4"/>
        <v>0</v>
      </c>
    </row>
    <row r="42" spans="1:9" x14ac:dyDescent="0.25">
      <c r="B42" s="24" t="s">
        <v>186</v>
      </c>
      <c r="C42">
        <v>19.100000000000001</v>
      </c>
      <c r="D42">
        <v>1.2</v>
      </c>
      <c r="E42">
        <f t="shared" si="0"/>
        <v>1.2E-2</v>
      </c>
      <c r="F42">
        <f t="shared" si="1"/>
        <v>4.3343398736775276</v>
      </c>
      <c r="G42">
        <f t="shared" si="2"/>
        <v>0.22692878919777629</v>
      </c>
      <c r="H42">
        <f t="shared" si="3"/>
        <v>1.607539636808623</v>
      </c>
      <c r="I42">
        <f t="shared" si="4"/>
        <v>8.4164378890503821E-2</v>
      </c>
    </row>
    <row r="43" spans="1:9" ht="15.75" thickBot="1" x14ac:dyDescent="0.3"/>
    <row r="44" spans="1:9" ht="15.75" thickBot="1" x14ac:dyDescent="0.3">
      <c r="A44" s="25" t="s">
        <v>187</v>
      </c>
      <c r="B44" s="25"/>
      <c r="C44" s="25" t="s">
        <v>188</v>
      </c>
      <c r="D44" s="25" t="s">
        <v>189</v>
      </c>
    </row>
    <row r="45" spans="1:9" ht="15.75" thickBot="1" x14ac:dyDescent="0.3">
      <c r="A45" s="25"/>
      <c r="B45" s="25" t="s">
        <v>190</v>
      </c>
      <c r="C45" s="25">
        <f>SUM(D27:D33)</f>
        <v>97.5</v>
      </c>
      <c r="D45" s="25">
        <f>SUM(G27:G33)</f>
        <v>18.842502506759033</v>
      </c>
    </row>
    <row r="46" spans="1:9" ht="15.75" thickBot="1" x14ac:dyDescent="0.3">
      <c r="A46" s="25"/>
      <c r="B46" s="25" t="s">
        <v>191</v>
      </c>
      <c r="C46" s="25">
        <f>SUM(D34:D35)</f>
        <v>0</v>
      </c>
      <c r="D46" s="25">
        <f>SUM(G34:G35)</f>
        <v>0</v>
      </c>
    </row>
    <row r="47" spans="1:9" ht="15.75" thickBot="1" x14ac:dyDescent="0.3">
      <c r="A47" s="25"/>
      <c r="B47" s="25" t="s">
        <v>192</v>
      </c>
      <c r="C47" s="25">
        <f>SUM(D36:D42)</f>
        <v>2.4</v>
      </c>
      <c r="D47" s="25">
        <f>SUM(G36:G42)</f>
        <v>0.48039895724909365</v>
      </c>
    </row>
    <row r="48" spans="1:9" ht="15.75" thickBot="1" x14ac:dyDescent="0.3">
      <c r="A48" s="25" t="s">
        <v>25</v>
      </c>
      <c r="B48" s="25"/>
      <c r="C48" s="25">
        <f>SUM(C45:C47)</f>
        <v>99.9</v>
      </c>
      <c r="D48" s="25">
        <f>SUM(D45:D47)</f>
        <v>19.322901464008126</v>
      </c>
    </row>
    <row r="49" spans="1:7" ht="15.75" thickBot="1" x14ac:dyDescent="0.3"/>
    <row r="50" spans="1:7" ht="15.75" thickBot="1" x14ac:dyDescent="0.3">
      <c r="A50" s="25" t="s">
        <v>193</v>
      </c>
      <c r="B50" s="25"/>
      <c r="C50" s="25" t="s">
        <v>188</v>
      </c>
      <c r="D50" s="25" t="s">
        <v>189</v>
      </c>
    </row>
    <row r="51" spans="1:7" ht="15.75" thickBot="1" x14ac:dyDescent="0.3">
      <c r="A51" s="25"/>
      <c r="B51" s="25" t="s">
        <v>190</v>
      </c>
      <c r="C51" s="25">
        <f>SUM(D27:D33)</f>
        <v>97.5</v>
      </c>
      <c r="D51" s="25">
        <f>SUM(I27:I33)</f>
        <v>6.988392816223933</v>
      </c>
    </row>
    <row r="52" spans="1:7" ht="15.75" thickBot="1" x14ac:dyDescent="0.3">
      <c r="A52" s="25"/>
      <c r="B52" s="25" t="s">
        <v>191</v>
      </c>
      <c r="C52" s="25">
        <f>SUM(D34:D35)</f>
        <v>0</v>
      </c>
      <c r="D52" s="25">
        <f>SUM(I34:I35)</f>
        <v>0</v>
      </c>
    </row>
    <row r="53" spans="1:7" ht="15.75" thickBot="1" x14ac:dyDescent="0.3">
      <c r="A53" s="25"/>
      <c r="B53" s="25" t="s">
        <v>192</v>
      </c>
      <c r="C53" s="25">
        <f>SUM(D35:D42)</f>
        <v>2.4</v>
      </c>
      <c r="D53" s="25">
        <f>SUM(I36:I42)</f>
        <v>0.17817254478574493</v>
      </c>
    </row>
    <row r="54" spans="1:7" ht="15.75" thickBot="1" x14ac:dyDescent="0.3">
      <c r="A54" s="25" t="s">
        <v>25</v>
      </c>
      <c r="B54" s="25"/>
      <c r="C54" s="25">
        <f>SUM(C51:C53)</f>
        <v>99.9</v>
      </c>
      <c r="D54" s="25">
        <f>SUM(D51:D53)</f>
        <v>7.1665653610096776</v>
      </c>
    </row>
    <row r="56" spans="1:7" x14ac:dyDescent="0.25">
      <c r="A56" s="2" t="s">
        <v>194</v>
      </c>
    </row>
    <row r="57" spans="1:7" x14ac:dyDescent="0.25">
      <c r="A57" s="2" t="s">
        <v>195</v>
      </c>
      <c r="B57" s="21">
        <f>'Data herd'!E83</f>
        <v>182.22067398295007</v>
      </c>
    </row>
    <row r="58" spans="1:7" x14ac:dyDescent="0.25">
      <c r="C58" t="s">
        <v>166</v>
      </c>
      <c r="D58" t="s">
        <v>167</v>
      </c>
      <c r="E58" t="s">
        <v>196</v>
      </c>
      <c r="G58" t="s">
        <v>197</v>
      </c>
    </row>
    <row r="59" spans="1:7" x14ac:dyDescent="0.25">
      <c r="B59" s="24" t="s">
        <v>171</v>
      </c>
      <c r="C59">
        <v>18.7</v>
      </c>
      <c r="D59">
        <v>54.2</v>
      </c>
      <c r="E59">
        <f t="shared" ref="E59:E74" si="5">D59/100</f>
        <v>0.54200000000000004</v>
      </c>
      <c r="F59">
        <f>$B$57*E59</f>
        <v>98.763605298758947</v>
      </c>
      <c r="G59">
        <f>F59/C59</f>
        <v>5.2814762191849702</v>
      </c>
    </row>
    <row r="60" spans="1:7" x14ac:dyDescent="0.25">
      <c r="B60" s="24" t="s">
        <v>198</v>
      </c>
      <c r="C60">
        <f>(C63+C59)/2</f>
        <v>18.799999999999997</v>
      </c>
      <c r="D60">
        <v>10.8</v>
      </c>
      <c r="E60">
        <f t="shared" si="5"/>
        <v>0.10800000000000001</v>
      </c>
      <c r="F60">
        <f t="shared" ref="F60:F74" si="6">$B$57*E60</f>
        <v>19.67983279015861</v>
      </c>
      <c r="G60">
        <f t="shared" ref="G60:G74" si="7">F60/C60</f>
        <v>1.0467996164977986</v>
      </c>
    </row>
    <row r="61" spans="1:7" x14ac:dyDescent="0.25">
      <c r="B61" s="24" t="s">
        <v>199</v>
      </c>
      <c r="C61">
        <v>18.5</v>
      </c>
      <c r="D61">
        <v>6</v>
      </c>
      <c r="E61">
        <f t="shared" si="5"/>
        <v>0.06</v>
      </c>
      <c r="F61">
        <f t="shared" si="6"/>
        <v>10.933240438977004</v>
      </c>
      <c r="G61">
        <f t="shared" si="7"/>
        <v>0.59098596967443262</v>
      </c>
    </row>
    <row r="62" spans="1:7" x14ac:dyDescent="0.25">
      <c r="B62" s="24" t="s">
        <v>200</v>
      </c>
      <c r="C62">
        <f>(C63+C61)/2</f>
        <v>18.7</v>
      </c>
      <c r="D62">
        <v>1.2</v>
      </c>
      <c r="E62">
        <f t="shared" si="5"/>
        <v>1.2E-2</v>
      </c>
      <c r="F62">
        <f t="shared" si="6"/>
        <v>2.1866480877954011</v>
      </c>
      <c r="G62">
        <f t="shared" si="7"/>
        <v>0.11693305282328348</v>
      </c>
    </row>
    <row r="63" spans="1:7" x14ac:dyDescent="0.25">
      <c r="B63" s="24" t="s">
        <v>175</v>
      </c>
      <c r="C63">
        <v>18.899999999999999</v>
      </c>
      <c r="D63">
        <v>19.3</v>
      </c>
      <c r="E63">
        <f t="shared" si="5"/>
        <v>0.193</v>
      </c>
      <c r="F63">
        <f t="shared" si="6"/>
        <v>35.168590078709364</v>
      </c>
      <c r="G63">
        <f t="shared" si="7"/>
        <v>1.8607719618364744</v>
      </c>
    </row>
    <row r="64" spans="1:7" x14ac:dyDescent="0.25">
      <c r="B64" s="24" t="s">
        <v>201</v>
      </c>
      <c r="C64">
        <v>18.899999999999999</v>
      </c>
      <c r="D64">
        <v>3.6</v>
      </c>
      <c r="E64">
        <f t="shared" si="5"/>
        <v>3.6000000000000004E-2</v>
      </c>
      <c r="F64">
        <f t="shared" si="6"/>
        <v>6.5599442633862033</v>
      </c>
      <c r="G64">
        <f t="shared" si="7"/>
        <v>0.34708699806276211</v>
      </c>
    </row>
    <row r="65" spans="1:7" x14ac:dyDescent="0.25">
      <c r="B65" s="24" t="s">
        <v>177</v>
      </c>
      <c r="C65">
        <v>16.7</v>
      </c>
      <c r="D65">
        <v>2.4</v>
      </c>
      <c r="E65">
        <f t="shared" si="5"/>
        <v>2.4E-2</v>
      </c>
      <c r="F65">
        <f t="shared" si="6"/>
        <v>4.3732961755908022</v>
      </c>
      <c r="G65">
        <f t="shared" si="7"/>
        <v>0.26187402249046721</v>
      </c>
    </row>
    <row r="66" spans="1:7" x14ac:dyDescent="0.25">
      <c r="B66" s="24" t="s">
        <v>178</v>
      </c>
      <c r="C66">
        <v>18.600000000000001</v>
      </c>
      <c r="D66">
        <v>0</v>
      </c>
      <c r="E66">
        <f t="shared" si="5"/>
        <v>0</v>
      </c>
      <c r="F66">
        <f t="shared" si="6"/>
        <v>0</v>
      </c>
      <c r="G66">
        <f t="shared" si="7"/>
        <v>0</v>
      </c>
    </row>
    <row r="67" spans="1:7" x14ac:dyDescent="0.25">
      <c r="B67" s="24" t="s">
        <v>191</v>
      </c>
      <c r="C67">
        <v>18.3</v>
      </c>
      <c r="D67">
        <v>0</v>
      </c>
      <c r="E67">
        <f t="shared" si="5"/>
        <v>0</v>
      </c>
      <c r="F67">
        <f t="shared" si="6"/>
        <v>0</v>
      </c>
      <c r="G67">
        <f t="shared" si="7"/>
        <v>0</v>
      </c>
    </row>
    <row r="68" spans="1:7" x14ac:dyDescent="0.25">
      <c r="B68" s="24" t="s">
        <v>180</v>
      </c>
      <c r="C68">
        <v>19.7</v>
      </c>
      <c r="D68">
        <v>0</v>
      </c>
      <c r="E68">
        <f t="shared" si="5"/>
        <v>0</v>
      </c>
      <c r="F68">
        <f t="shared" si="6"/>
        <v>0</v>
      </c>
      <c r="G68">
        <f t="shared" si="7"/>
        <v>0</v>
      </c>
    </row>
    <row r="69" spans="1:7" x14ac:dyDescent="0.25">
      <c r="B69" s="24" t="s">
        <v>181</v>
      </c>
      <c r="C69">
        <v>21.5</v>
      </c>
      <c r="D69">
        <v>0</v>
      </c>
      <c r="E69">
        <f t="shared" si="5"/>
        <v>0</v>
      </c>
      <c r="F69">
        <f t="shared" si="6"/>
        <v>0</v>
      </c>
      <c r="G69">
        <f t="shared" si="7"/>
        <v>0</v>
      </c>
    </row>
    <row r="70" spans="1:7" x14ac:dyDescent="0.25">
      <c r="B70" s="24" t="s">
        <v>182</v>
      </c>
      <c r="C70">
        <v>17.100000000000001</v>
      </c>
      <c r="D70">
        <v>1.2</v>
      </c>
      <c r="E70">
        <f t="shared" si="5"/>
        <v>1.2E-2</v>
      </c>
      <c r="F70">
        <f t="shared" si="6"/>
        <v>2.1866480877954011</v>
      </c>
      <c r="G70">
        <f t="shared" si="7"/>
        <v>0.12787415718101761</v>
      </c>
    </row>
    <row r="71" spans="1:7" x14ac:dyDescent="0.25">
      <c r="B71" s="24" t="s">
        <v>202</v>
      </c>
      <c r="C71">
        <v>18.899999999999999</v>
      </c>
      <c r="D71">
        <v>0</v>
      </c>
      <c r="E71">
        <f t="shared" si="5"/>
        <v>0</v>
      </c>
      <c r="F71">
        <f t="shared" si="6"/>
        <v>0</v>
      </c>
      <c r="G71">
        <f t="shared" si="7"/>
        <v>0</v>
      </c>
    </row>
    <row r="72" spans="1:7" x14ac:dyDescent="0.25">
      <c r="B72" s="24" t="s">
        <v>203</v>
      </c>
      <c r="C72">
        <v>15.5</v>
      </c>
      <c r="D72">
        <v>0</v>
      </c>
      <c r="E72">
        <f t="shared" si="5"/>
        <v>0</v>
      </c>
      <c r="F72">
        <f t="shared" si="6"/>
        <v>0</v>
      </c>
      <c r="G72">
        <f t="shared" si="7"/>
        <v>0</v>
      </c>
    </row>
    <row r="73" spans="1:7" x14ac:dyDescent="0.25">
      <c r="B73" s="24" t="s">
        <v>185</v>
      </c>
      <c r="C73">
        <v>18.7</v>
      </c>
      <c r="D73">
        <v>0</v>
      </c>
      <c r="E73">
        <f t="shared" si="5"/>
        <v>0</v>
      </c>
      <c r="F73">
        <f t="shared" si="6"/>
        <v>0</v>
      </c>
      <c r="G73">
        <f t="shared" si="7"/>
        <v>0</v>
      </c>
    </row>
    <row r="74" spans="1:7" x14ac:dyDescent="0.25">
      <c r="B74" s="24" t="s">
        <v>204</v>
      </c>
      <c r="C74">
        <v>19.100000000000001</v>
      </c>
      <c r="D74">
        <v>1.2</v>
      </c>
      <c r="E74">
        <f t="shared" si="5"/>
        <v>1.2E-2</v>
      </c>
      <c r="F74">
        <f t="shared" si="6"/>
        <v>2.1866480877954011</v>
      </c>
      <c r="G74">
        <f t="shared" si="7"/>
        <v>0.11448419307829324</v>
      </c>
    </row>
    <row r="75" spans="1:7" ht="15.75" thickBot="1" x14ac:dyDescent="0.3">
      <c r="C75" s="26"/>
      <c r="D75" s="26"/>
    </row>
    <row r="76" spans="1:7" ht="15.75" thickBot="1" x14ac:dyDescent="0.3">
      <c r="A76" s="25" t="s">
        <v>205</v>
      </c>
      <c r="B76" s="25"/>
      <c r="C76" s="25" t="s">
        <v>188</v>
      </c>
      <c r="D76" s="25" t="s">
        <v>189</v>
      </c>
    </row>
    <row r="77" spans="1:7" ht="15.75" thickBot="1" x14ac:dyDescent="0.3">
      <c r="A77" s="25"/>
      <c r="B77" s="25" t="s">
        <v>190</v>
      </c>
      <c r="C77" s="25">
        <f>SUM(D59:D65)</f>
        <v>97.5</v>
      </c>
      <c r="D77" s="25">
        <f>SUM(G59:G65)</f>
        <v>9.5059278405701892</v>
      </c>
    </row>
    <row r="78" spans="1:7" ht="15.75" thickBot="1" x14ac:dyDescent="0.3">
      <c r="A78" s="25"/>
      <c r="B78" s="25" t="s">
        <v>191</v>
      </c>
      <c r="C78" s="25">
        <f>SUM(D66:D67)</f>
        <v>0</v>
      </c>
      <c r="D78" s="25">
        <f>SUM(G66:G67)</f>
        <v>0</v>
      </c>
    </row>
    <row r="79" spans="1:7" ht="15.75" thickBot="1" x14ac:dyDescent="0.3">
      <c r="A79" s="25"/>
      <c r="B79" s="25" t="s">
        <v>192</v>
      </c>
      <c r="C79" s="25">
        <f>SUM(D68:D74)</f>
        <v>2.4</v>
      </c>
      <c r="D79" s="25">
        <f>SUM(G68:G74)</f>
        <v>0.24235835025931085</v>
      </c>
    </row>
    <row r="80" spans="1:7" ht="15.75" thickBot="1" x14ac:dyDescent="0.3">
      <c r="A80" s="25" t="s">
        <v>25</v>
      </c>
      <c r="B80" s="25"/>
      <c r="C80" s="25">
        <f>SUM(C77:C79)</f>
        <v>99.9</v>
      </c>
      <c r="D80" s="25">
        <f>SUM(D77:D79)</f>
        <v>9.7482861908295</v>
      </c>
    </row>
    <row r="82" spans="1:7" x14ac:dyDescent="0.25">
      <c r="A82" s="2" t="s">
        <v>3</v>
      </c>
    </row>
    <row r="83" spans="1:7" x14ac:dyDescent="0.25">
      <c r="A83" s="2" t="s">
        <v>206</v>
      </c>
      <c r="B83" s="27">
        <f>'Data herd'!E84-C103</f>
        <v>70.998358400270263</v>
      </c>
    </row>
    <row r="84" spans="1:7" x14ac:dyDescent="0.25">
      <c r="A84" s="2" t="s">
        <v>207</v>
      </c>
      <c r="B84" s="27">
        <f>'Data herd'!E84</f>
        <v>94.498358400270263</v>
      </c>
    </row>
    <row r="85" spans="1:7" x14ac:dyDescent="0.25">
      <c r="C85" t="s">
        <v>166</v>
      </c>
      <c r="D85" t="s">
        <v>167</v>
      </c>
      <c r="E85" t="s">
        <v>196</v>
      </c>
      <c r="G85" t="s">
        <v>197</v>
      </c>
    </row>
    <row r="86" spans="1:7" x14ac:dyDescent="0.25">
      <c r="B86" s="24" t="s">
        <v>171</v>
      </c>
      <c r="C86">
        <v>18.7</v>
      </c>
      <c r="D86">
        <v>65.900000000000006</v>
      </c>
      <c r="E86">
        <f>D86/100</f>
        <v>0.65900000000000003</v>
      </c>
      <c r="F86">
        <f>$B$83*E86</f>
        <v>46.787918185778103</v>
      </c>
      <c r="G86">
        <f>F86/C86</f>
        <v>2.5020277104694175</v>
      </c>
    </row>
    <row r="87" spans="1:7" x14ac:dyDescent="0.25">
      <c r="B87" s="24" t="s">
        <v>198</v>
      </c>
      <c r="C87">
        <f>(C90+C86)/2</f>
        <v>18.799999999999997</v>
      </c>
      <c r="D87">
        <v>6.2</v>
      </c>
      <c r="E87">
        <f t="shared" ref="E87:E101" si="8">D87/100</f>
        <v>6.2E-2</v>
      </c>
      <c r="F87">
        <f t="shared" ref="F87:F100" si="9">$B$83*E87</f>
        <v>4.4018982208167561</v>
      </c>
      <c r="G87">
        <f t="shared" ref="G87:G101" si="10">F87/C87</f>
        <v>0.23414352238387004</v>
      </c>
    </row>
    <row r="88" spans="1:7" x14ac:dyDescent="0.25">
      <c r="B88" s="24" t="s">
        <v>199</v>
      </c>
      <c r="C88">
        <v>18.5</v>
      </c>
      <c r="D88">
        <v>3.4</v>
      </c>
      <c r="E88">
        <f t="shared" si="8"/>
        <v>3.4000000000000002E-2</v>
      </c>
      <c r="F88">
        <f t="shared" si="9"/>
        <v>2.4139441856091892</v>
      </c>
      <c r="G88">
        <f t="shared" si="10"/>
        <v>0.13048346949238859</v>
      </c>
    </row>
    <row r="89" spans="1:7" x14ac:dyDescent="0.25">
      <c r="B89" s="24" t="s">
        <v>200</v>
      </c>
      <c r="C89">
        <f>(C90+C88)/2</f>
        <v>18.7</v>
      </c>
      <c r="D89">
        <v>0.7</v>
      </c>
      <c r="E89">
        <f t="shared" si="8"/>
        <v>6.9999999999999993E-3</v>
      </c>
      <c r="F89">
        <f t="shared" si="9"/>
        <v>0.49698850880189177</v>
      </c>
      <c r="G89">
        <f t="shared" si="10"/>
        <v>2.6576925604379239E-2</v>
      </c>
    </row>
    <row r="90" spans="1:7" x14ac:dyDescent="0.25">
      <c r="B90" s="24" t="s">
        <v>175</v>
      </c>
      <c r="C90">
        <v>18.899999999999999</v>
      </c>
      <c r="D90">
        <v>11</v>
      </c>
      <c r="E90">
        <f t="shared" si="8"/>
        <v>0.11</v>
      </c>
      <c r="F90">
        <f t="shared" si="9"/>
        <v>7.8098194240297287</v>
      </c>
      <c r="G90">
        <f t="shared" si="10"/>
        <v>0.41321795894337193</v>
      </c>
    </row>
    <row r="91" spans="1:7" x14ac:dyDescent="0.25">
      <c r="B91" s="24" t="s">
        <v>201</v>
      </c>
      <c r="C91">
        <v>18.899999999999999</v>
      </c>
      <c r="D91">
        <v>2.1</v>
      </c>
      <c r="E91">
        <f t="shared" si="8"/>
        <v>2.1000000000000001E-2</v>
      </c>
      <c r="F91">
        <f t="shared" si="9"/>
        <v>1.4909655264056756</v>
      </c>
      <c r="G91">
        <f t="shared" si="10"/>
        <v>7.8887064889189187E-2</v>
      </c>
    </row>
    <row r="92" spans="1:7" x14ac:dyDescent="0.25">
      <c r="B92" s="24" t="s">
        <v>177</v>
      </c>
      <c r="C92">
        <v>16.7</v>
      </c>
      <c r="D92">
        <v>1.4</v>
      </c>
      <c r="E92">
        <f t="shared" si="8"/>
        <v>1.3999999999999999E-2</v>
      </c>
      <c r="F92">
        <f t="shared" si="9"/>
        <v>0.99397701760378354</v>
      </c>
      <c r="G92">
        <f t="shared" si="10"/>
        <v>5.9519581892442129E-2</v>
      </c>
    </row>
    <row r="93" spans="1:7" x14ac:dyDescent="0.25">
      <c r="B93" s="24" t="s">
        <v>178</v>
      </c>
      <c r="C93">
        <v>18.600000000000001</v>
      </c>
      <c r="D93">
        <v>3</v>
      </c>
      <c r="E93">
        <f t="shared" si="8"/>
        <v>0.03</v>
      </c>
      <c r="F93">
        <f t="shared" si="9"/>
        <v>2.1299507520081078</v>
      </c>
      <c r="G93">
        <f t="shared" si="10"/>
        <v>0.11451348129075847</v>
      </c>
    </row>
    <row r="94" spans="1:7" x14ac:dyDescent="0.25">
      <c r="B94" s="24" t="s">
        <v>191</v>
      </c>
      <c r="C94">
        <v>18.3</v>
      </c>
      <c r="D94">
        <v>5</v>
      </c>
      <c r="E94">
        <f t="shared" si="8"/>
        <v>0.05</v>
      </c>
      <c r="F94">
        <f t="shared" si="9"/>
        <v>3.5499179200135131</v>
      </c>
      <c r="G94">
        <f t="shared" si="10"/>
        <v>0.19398458579308814</v>
      </c>
    </row>
    <row r="95" spans="1:7" x14ac:dyDescent="0.25">
      <c r="B95" s="24" t="s">
        <v>180</v>
      </c>
      <c r="C95">
        <v>19.7</v>
      </c>
      <c r="D95">
        <v>0</v>
      </c>
      <c r="E95">
        <f t="shared" si="8"/>
        <v>0</v>
      </c>
      <c r="F95">
        <f t="shared" si="9"/>
        <v>0</v>
      </c>
      <c r="G95">
        <f t="shared" si="10"/>
        <v>0</v>
      </c>
    </row>
    <row r="96" spans="1:7" x14ac:dyDescent="0.25">
      <c r="B96" s="24" t="s">
        <v>181</v>
      </c>
      <c r="C96">
        <v>21.5</v>
      </c>
      <c r="D96">
        <v>0</v>
      </c>
      <c r="E96">
        <f t="shared" si="8"/>
        <v>0</v>
      </c>
      <c r="F96">
        <f t="shared" si="9"/>
        <v>0</v>
      </c>
      <c r="G96">
        <f t="shared" si="10"/>
        <v>0</v>
      </c>
    </row>
    <row r="97" spans="1:7" x14ac:dyDescent="0.25">
      <c r="B97" s="24" t="s">
        <v>182</v>
      </c>
      <c r="C97">
        <v>17.100000000000001</v>
      </c>
      <c r="D97">
        <v>7.0000000000000007E-2</v>
      </c>
      <c r="E97">
        <f t="shared" si="8"/>
        <v>7.000000000000001E-4</v>
      </c>
      <c r="F97">
        <f t="shared" si="9"/>
        <v>4.9698850880189188E-2</v>
      </c>
      <c r="G97">
        <f t="shared" si="10"/>
        <v>2.9063655485490753E-3</v>
      </c>
    </row>
    <row r="98" spans="1:7" x14ac:dyDescent="0.25">
      <c r="B98" s="24" t="s">
        <v>202</v>
      </c>
      <c r="C98">
        <v>18.899999999999999</v>
      </c>
      <c r="D98">
        <v>0</v>
      </c>
      <c r="E98">
        <f t="shared" si="8"/>
        <v>0</v>
      </c>
      <c r="F98">
        <f t="shared" si="9"/>
        <v>0</v>
      </c>
      <c r="G98">
        <f t="shared" si="10"/>
        <v>0</v>
      </c>
    </row>
    <row r="99" spans="1:7" x14ac:dyDescent="0.25">
      <c r="B99" s="24" t="s">
        <v>203</v>
      </c>
      <c r="C99">
        <v>15.5</v>
      </c>
      <c r="D99">
        <v>0</v>
      </c>
      <c r="E99">
        <f t="shared" si="8"/>
        <v>0</v>
      </c>
      <c r="F99">
        <f t="shared" si="9"/>
        <v>0</v>
      </c>
      <c r="G99">
        <f t="shared" si="10"/>
        <v>0</v>
      </c>
    </row>
    <row r="100" spans="1:7" x14ac:dyDescent="0.25">
      <c r="B100" s="24" t="s">
        <v>185</v>
      </c>
      <c r="C100">
        <v>18.7</v>
      </c>
      <c r="D100">
        <v>0</v>
      </c>
      <c r="E100">
        <f t="shared" si="8"/>
        <v>0</v>
      </c>
      <c r="F100">
        <f t="shared" si="9"/>
        <v>0</v>
      </c>
      <c r="G100">
        <f t="shared" si="10"/>
        <v>0</v>
      </c>
    </row>
    <row r="101" spans="1:7" x14ac:dyDescent="0.25">
      <c r="B101" s="24" t="s">
        <v>204</v>
      </c>
      <c r="C101">
        <v>19.100000000000001</v>
      </c>
      <c r="D101">
        <v>0.7</v>
      </c>
      <c r="E101">
        <f t="shared" si="8"/>
        <v>6.9999999999999993E-3</v>
      </c>
      <c r="F101">
        <f>$B$83*E101</f>
        <v>0.49698850880189177</v>
      </c>
      <c r="G101">
        <f t="shared" si="10"/>
        <v>2.6020340774968155E-2</v>
      </c>
    </row>
    <row r="102" spans="1:7" x14ac:dyDescent="0.25">
      <c r="B102" s="24"/>
    </row>
    <row r="103" spans="1:7" x14ac:dyDescent="0.25">
      <c r="B103" s="24" t="s">
        <v>208</v>
      </c>
      <c r="C103">
        <v>23.5</v>
      </c>
      <c r="D103">
        <f>(C103*100)/B83</f>
        <v>33.099356843595054</v>
      </c>
      <c r="E103">
        <f>D103/100</f>
        <v>0.33099356843595051</v>
      </c>
      <c r="F103">
        <f>B84*E103</f>
        <v>31.278348858244833</v>
      </c>
      <c r="G103">
        <f>F103/C103</f>
        <v>1.3309935684359504</v>
      </c>
    </row>
    <row r="104" spans="1:7" ht="15.75" thickBot="1" x14ac:dyDescent="0.3"/>
    <row r="105" spans="1:7" ht="15.75" thickBot="1" x14ac:dyDescent="0.3">
      <c r="A105" s="25" t="s">
        <v>3</v>
      </c>
      <c r="B105" s="25"/>
      <c r="C105" s="25" t="s">
        <v>188</v>
      </c>
      <c r="D105" s="25" t="s">
        <v>189</v>
      </c>
    </row>
    <row r="106" spans="1:7" ht="15.75" thickBot="1" x14ac:dyDescent="0.3">
      <c r="A106" s="25"/>
      <c r="B106" s="25" t="s">
        <v>190</v>
      </c>
      <c r="C106" s="25"/>
      <c r="D106" s="25">
        <f>SUM(G86:G92)</f>
        <v>3.4448562336750581</v>
      </c>
    </row>
    <row r="107" spans="1:7" ht="15.75" thickBot="1" x14ac:dyDescent="0.3">
      <c r="A107" s="25"/>
      <c r="B107" s="25" t="s">
        <v>191</v>
      </c>
      <c r="C107" s="25"/>
      <c r="D107" s="25">
        <f>SUM(G93:G94)</f>
        <v>0.30849806708384664</v>
      </c>
    </row>
    <row r="108" spans="1:7" ht="15.75" thickBot="1" x14ac:dyDescent="0.3">
      <c r="A108" s="25"/>
      <c r="B108" s="25" t="s">
        <v>192</v>
      </c>
      <c r="C108" s="25"/>
      <c r="D108" s="25">
        <f>SUM(G95:G101)</f>
        <v>2.892670632351723E-2</v>
      </c>
    </row>
    <row r="109" spans="1:7" ht="15.75" thickBot="1" x14ac:dyDescent="0.3">
      <c r="A109" s="25"/>
      <c r="B109" s="25" t="s">
        <v>208</v>
      </c>
      <c r="C109" s="25"/>
      <c r="D109" s="25">
        <f>G103</f>
        <v>1.3309935684359504</v>
      </c>
    </row>
    <row r="110" spans="1:7" ht="15.75" thickBot="1" x14ac:dyDescent="0.3">
      <c r="A110" s="25" t="s">
        <v>25</v>
      </c>
      <c r="B110" s="25"/>
      <c r="C110" s="25"/>
      <c r="D110" s="25">
        <f>SUM(D106:D109)</f>
        <v>5.1132745755183722</v>
      </c>
    </row>
    <row r="116" spans="1:9" x14ac:dyDescent="0.25">
      <c r="A116" s="2" t="s">
        <v>209</v>
      </c>
    </row>
    <row r="117" spans="1:9" x14ac:dyDescent="0.25">
      <c r="A117" s="21" t="s">
        <v>210</v>
      </c>
      <c r="B117" s="21">
        <f>'Data herd'!E85</f>
        <v>105.51905428220851</v>
      </c>
    </row>
    <row r="118" spans="1:9" x14ac:dyDescent="0.25">
      <c r="A118" s="21" t="s">
        <v>211</v>
      </c>
      <c r="B118" s="21">
        <f>'Data herd'!E86</f>
        <v>109.4517673816582</v>
      </c>
    </row>
    <row r="119" spans="1:9" x14ac:dyDescent="0.25">
      <c r="C119" t="s">
        <v>166</v>
      </c>
      <c r="D119" t="s">
        <v>167</v>
      </c>
      <c r="E119" t="s">
        <v>196</v>
      </c>
      <c r="G119" t="s">
        <v>212</v>
      </c>
      <c r="I119" t="s">
        <v>213</v>
      </c>
    </row>
    <row r="120" spans="1:9" x14ac:dyDescent="0.25">
      <c r="B120" s="24" t="s">
        <v>171</v>
      </c>
      <c r="C120">
        <v>18.7</v>
      </c>
      <c r="D120">
        <v>54.2</v>
      </c>
      <c r="E120">
        <f t="shared" ref="E120:E135" si="11">D120/100</f>
        <v>0.54200000000000004</v>
      </c>
      <c r="F120">
        <f>$B$117*E120</f>
        <v>57.191327420957016</v>
      </c>
      <c r="G120">
        <f>F120/C120</f>
        <v>3.0583597551313915</v>
      </c>
      <c r="H120">
        <f>$B$118*E120</f>
        <v>59.322857920858752</v>
      </c>
      <c r="I120">
        <f>H120/C120</f>
        <v>3.1723453433614308</v>
      </c>
    </row>
    <row r="121" spans="1:9" x14ac:dyDescent="0.25">
      <c r="B121" s="24" t="s">
        <v>198</v>
      </c>
      <c r="C121">
        <f>(C124+C120)/2</f>
        <v>18.799999999999997</v>
      </c>
      <c r="D121">
        <v>10.8</v>
      </c>
      <c r="E121">
        <f t="shared" si="11"/>
        <v>0.10800000000000001</v>
      </c>
      <c r="F121">
        <f t="shared" ref="F121:F135" si="12">$B$117*E121</f>
        <v>11.396057862478521</v>
      </c>
      <c r="G121">
        <f t="shared" ref="G121:G135" si="13">F121/C121</f>
        <v>0.60617329055736824</v>
      </c>
      <c r="H121">
        <f t="shared" ref="H121:H135" si="14">$B$118*E121</f>
        <v>11.820790877219087</v>
      </c>
      <c r="I121">
        <f t="shared" ref="I121:I135" si="15">H121/C121</f>
        <v>0.62876547219250478</v>
      </c>
    </row>
    <row r="122" spans="1:9" x14ac:dyDescent="0.25">
      <c r="B122" s="24" t="s">
        <v>199</v>
      </c>
      <c r="C122">
        <v>18.5</v>
      </c>
      <c r="D122">
        <v>6</v>
      </c>
      <c r="E122">
        <f t="shared" si="11"/>
        <v>0.06</v>
      </c>
      <c r="F122">
        <f t="shared" si="12"/>
        <v>6.3311432569325108</v>
      </c>
      <c r="G122">
        <f t="shared" si="13"/>
        <v>0.34222395983418979</v>
      </c>
      <c r="H122">
        <f t="shared" si="14"/>
        <v>6.5671060428994918</v>
      </c>
      <c r="I122">
        <f t="shared" si="15"/>
        <v>0.35497870502159418</v>
      </c>
    </row>
    <row r="123" spans="1:9" x14ac:dyDescent="0.25">
      <c r="B123" s="24" t="s">
        <v>200</v>
      </c>
      <c r="C123">
        <f>(C124+C122)/2</f>
        <v>18.7</v>
      </c>
      <c r="D123">
        <v>1.2</v>
      </c>
      <c r="E123">
        <f t="shared" si="11"/>
        <v>1.2E-2</v>
      </c>
      <c r="F123">
        <f t="shared" si="12"/>
        <v>1.2662286513865022</v>
      </c>
      <c r="G123">
        <f t="shared" si="13"/>
        <v>6.7712762106230062E-2</v>
      </c>
      <c r="H123">
        <f t="shared" si="14"/>
        <v>1.3134212085798984</v>
      </c>
      <c r="I123">
        <f t="shared" si="15"/>
        <v>7.0236428266304732E-2</v>
      </c>
    </row>
    <row r="124" spans="1:9" x14ac:dyDescent="0.25">
      <c r="B124" s="24" t="s">
        <v>175</v>
      </c>
      <c r="C124">
        <v>18.899999999999999</v>
      </c>
      <c r="D124">
        <v>19.3</v>
      </c>
      <c r="E124">
        <f t="shared" si="11"/>
        <v>0.193</v>
      </c>
      <c r="F124">
        <f t="shared" si="12"/>
        <v>20.365177476466243</v>
      </c>
      <c r="G124">
        <f t="shared" si="13"/>
        <v>1.0775226178024468</v>
      </c>
      <c r="H124">
        <f t="shared" si="14"/>
        <v>21.124191104660031</v>
      </c>
      <c r="I124">
        <f t="shared" si="15"/>
        <v>1.1176820690296314</v>
      </c>
    </row>
    <row r="125" spans="1:9" x14ac:dyDescent="0.25">
      <c r="B125" s="24" t="s">
        <v>201</v>
      </c>
      <c r="C125">
        <v>18.899999999999999</v>
      </c>
      <c r="D125">
        <v>3.6</v>
      </c>
      <c r="E125">
        <f t="shared" si="11"/>
        <v>3.6000000000000004E-2</v>
      </c>
      <c r="F125">
        <f t="shared" si="12"/>
        <v>3.7986859541595068</v>
      </c>
      <c r="G125">
        <f t="shared" si="13"/>
        <v>0.20098867482325433</v>
      </c>
      <c r="H125">
        <f t="shared" si="14"/>
        <v>3.9402636257396955</v>
      </c>
      <c r="I125">
        <f t="shared" si="15"/>
        <v>0.20847955691744421</v>
      </c>
    </row>
    <row r="126" spans="1:9" x14ac:dyDescent="0.25">
      <c r="B126" s="24" t="s">
        <v>177</v>
      </c>
      <c r="C126">
        <v>16.7</v>
      </c>
      <c r="D126">
        <v>2.4</v>
      </c>
      <c r="E126">
        <f t="shared" si="11"/>
        <v>2.4E-2</v>
      </c>
      <c r="F126">
        <f t="shared" si="12"/>
        <v>2.5324573027730044</v>
      </c>
      <c r="G126">
        <f t="shared" si="13"/>
        <v>0.15164414986664698</v>
      </c>
      <c r="H126">
        <f t="shared" si="14"/>
        <v>2.6268424171597968</v>
      </c>
      <c r="I126">
        <f t="shared" si="15"/>
        <v>0.15729595312334113</v>
      </c>
    </row>
    <row r="127" spans="1:9" x14ac:dyDescent="0.25">
      <c r="B127" s="24" t="s">
        <v>178</v>
      </c>
      <c r="C127">
        <v>18.600000000000001</v>
      </c>
      <c r="D127">
        <v>0</v>
      </c>
      <c r="E127">
        <f t="shared" si="11"/>
        <v>0</v>
      </c>
      <c r="F127">
        <f t="shared" si="12"/>
        <v>0</v>
      </c>
      <c r="G127">
        <f t="shared" si="13"/>
        <v>0</v>
      </c>
      <c r="H127">
        <f t="shared" si="14"/>
        <v>0</v>
      </c>
      <c r="I127">
        <f t="shared" si="15"/>
        <v>0</v>
      </c>
    </row>
    <row r="128" spans="1:9" x14ac:dyDescent="0.25">
      <c r="B128" s="24" t="s">
        <v>191</v>
      </c>
      <c r="C128">
        <v>18.3</v>
      </c>
      <c r="D128">
        <v>0</v>
      </c>
      <c r="E128">
        <f t="shared" si="11"/>
        <v>0</v>
      </c>
      <c r="F128">
        <f t="shared" si="12"/>
        <v>0</v>
      </c>
      <c r="G128">
        <f t="shared" si="13"/>
        <v>0</v>
      </c>
      <c r="H128">
        <f t="shared" si="14"/>
        <v>0</v>
      </c>
      <c r="I128">
        <f t="shared" si="15"/>
        <v>0</v>
      </c>
    </row>
    <row r="129" spans="1:9" x14ac:dyDescent="0.25">
      <c r="B129" s="24" t="s">
        <v>180</v>
      </c>
      <c r="C129">
        <v>19.7</v>
      </c>
      <c r="D129">
        <v>0</v>
      </c>
      <c r="E129">
        <f t="shared" si="11"/>
        <v>0</v>
      </c>
      <c r="F129">
        <f t="shared" si="12"/>
        <v>0</v>
      </c>
      <c r="G129">
        <f t="shared" si="13"/>
        <v>0</v>
      </c>
      <c r="H129">
        <f t="shared" si="14"/>
        <v>0</v>
      </c>
      <c r="I129">
        <f t="shared" si="15"/>
        <v>0</v>
      </c>
    </row>
    <row r="130" spans="1:9" x14ac:dyDescent="0.25">
      <c r="B130" s="24" t="s">
        <v>181</v>
      </c>
      <c r="C130">
        <v>21.5</v>
      </c>
      <c r="D130">
        <v>0</v>
      </c>
      <c r="E130">
        <f t="shared" si="11"/>
        <v>0</v>
      </c>
      <c r="F130">
        <f t="shared" si="12"/>
        <v>0</v>
      </c>
      <c r="G130">
        <f t="shared" si="13"/>
        <v>0</v>
      </c>
      <c r="H130">
        <f t="shared" si="14"/>
        <v>0</v>
      </c>
      <c r="I130">
        <f t="shared" si="15"/>
        <v>0</v>
      </c>
    </row>
    <row r="131" spans="1:9" x14ac:dyDescent="0.25">
      <c r="B131" s="24" t="s">
        <v>182</v>
      </c>
      <c r="C131">
        <v>17.100000000000001</v>
      </c>
      <c r="D131">
        <v>1.2</v>
      </c>
      <c r="E131">
        <f t="shared" si="11"/>
        <v>1.2E-2</v>
      </c>
      <c r="F131">
        <f t="shared" si="12"/>
        <v>1.2662286513865022</v>
      </c>
      <c r="G131">
        <f t="shared" si="13"/>
        <v>7.4048459145409473E-2</v>
      </c>
      <c r="H131">
        <f t="shared" si="14"/>
        <v>1.3134212085798984</v>
      </c>
      <c r="I131">
        <f t="shared" si="15"/>
        <v>7.6808257811689956E-2</v>
      </c>
    </row>
    <row r="132" spans="1:9" x14ac:dyDescent="0.25">
      <c r="B132" s="24" t="s">
        <v>202</v>
      </c>
      <c r="C132">
        <v>18.899999999999999</v>
      </c>
      <c r="D132">
        <v>0</v>
      </c>
      <c r="E132">
        <f t="shared" si="11"/>
        <v>0</v>
      </c>
      <c r="F132">
        <f t="shared" si="12"/>
        <v>0</v>
      </c>
      <c r="G132">
        <f t="shared" si="13"/>
        <v>0</v>
      </c>
      <c r="H132">
        <f t="shared" si="14"/>
        <v>0</v>
      </c>
      <c r="I132">
        <f t="shared" si="15"/>
        <v>0</v>
      </c>
    </row>
    <row r="133" spans="1:9" x14ac:dyDescent="0.25">
      <c r="B133" s="24" t="s">
        <v>203</v>
      </c>
      <c r="C133">
        <v>15.5</v>
      </c>
      <c r="D133">
        <v>0</v>
      </c>
      <c r="E133">
        <f t="shared" si="11"/>
        <v>0</v>
      </c>
      <c r="F133">
        <f t="shared" si="12"/>
        <v>0</v>
      </c>
      <c r="G133">
        <f t="shared" si="13"/>
        <v>0</v>
      </c>
      <c r="H133">
        <f t="shared" si="14"/>
        <v>0</v>
      </c>
      <c r="I133">
        <f t="shared" si="15"/>
        <v>0</v>
      </c>
    </row>
    <row r="134" spans="1:9" x14ac:dyDescent="0.25">
      <c r="B134" s="24" t="s">
        <v>185</v>
      </c>
      <c r="C134">
        <v>18.7</v>
      </c>
      <c r="D134">
        <v>0</v>
      </c>
      <c r="E134">
        <f t="shared" si="11"/>
        <v>0</v>
      </c>
      <c r="F134">
        <f t="shared" si="12"/>
        <v>0</v>
      </c>
      <c r="G134">
        <f t="shared" si="13"/>
        <v>0</v>
      </c>
      <c r="H134">
        <f t="shared" si="14"/>
        <v>0</v>
      </c>
      <c r="I134">
        <f t="shared" si="15"/>
        <v>0</v>
      </c>
    </row>
    <row r="135" spans="1:9" x14ac:dyDescent="0.25">
      <c r="B135" s="24" t="s">
        <v>204</v>
      </c>
      <c r="C135">
        <v>19.100000000000001</v>
      </c>
      <c r="D135">
        <v>1.2</v>
      </c>
      <c r="E135">
        <f t="shared" si="11"/>
        <v>1.2E-2</v>
      </c>
      <c r="F135">
        <f t="shared" si="12"/>
        <v>1.2662286513865022</v>
      </c>
      <c r="G135">
        <f t="shared" si="13"/>
        <v>6.6294693789869213E-2</v>
      </c>
      <c r="H135">
        <f t="shared" si="14"/>
        <v>1.3134212085798984</v>
      </c>
      <c r="I135">
        <f t="shared" si="15"/>
        <v>6.876550830261248E-2</v>
      </c>
    </row>
    <row r="136" spans="1:9" ht="15.75" thickBot="1" x14ac:dyDescent="0.3"/>
    <row r="137" spans="1:9" ht="15.75" thickBot="1" x14ac:dyDescent="0.3">
      <c r="A137" s="25" t="s">
        <v>214</v>
      </c>
      <c r="B137" s="25"/>
      <c r="C137" s="25" t="s">
        <v>188</v>
      </c>
      <c r="D137" s="25" t="s">
        <v>189</v>
      </c>
    </row>
    <row r="138" spans="1:9" ht="15.75" thickBot="1" x14ac:dyDescent="0.3">
      <c r="A138" s="25"/>
      <c r="B138" s="25" t="s">
        <v>190</v>
      </c>
      <c r="C138" s="25">
        <f>SUM(D120:D126)</f>
        <v>97.5</v>
      </c>
      <c r="D138" s="25">
        <f>SUM(G120:G126)</f>
        <v>5.5046252101215272</v>
      </c>
    </row>
    <row r="139" spans="1:9" ht="15.75" thickBot="1" x14ac:dyDescent="0.3">
      <c r="A139" s="25"/>
      <c r="B139" s="25" t="s">
        <v>191</v>
      </c>
      <c r="C139" s="25">
        <f>SUM(D127:D128)</f>
        <v>0</v>
      </c>
      <c r="D139" s="25">
        <f>SUM(G127:G128)</f>
        <v>0</v>
      </c>
    </row>
    <row r="140" spans="1:9" ht="15.75" thickBot="1" x14ac:dyDescent="0.3">
      <c r="A140" s="25"/>
      <c r="B140" s="25" t="s">
        <v>192</v>
      </c>
      <c r="C140" s="25">
        <f>SUM(D129:D135)</f>
        <v>2.4</v>
      </c>
      <c r="D140" s="25">
        <f>SUM(G129:G135)</f>
        <v>0.14034315293527869</v>
      </c>
    </row>
    <row r="141" spans="1:9" ht="15.75" thickBot="1" x14ac:dyDescent="0.3">
      <c r="A141" s="25" t="s">
        <v>25</v>
      </c>
      <c r="B141" s="25"/>
      <c r="C141" s="25">
        <f>SUM(C138:C140)</f>
        <v>99.9</v>
      </c>
      <c r="D141" s="25">
        <f>SUM(D138:D140)</f>
        <v>5.6449683630568055</v>
      </c>
    </row>
    <row r="143" spans="1:9" ht="15.75" thickBot="1" x14ac:dyDescent="0.3"/>
    <row r="144" spans="1:9" ht="15.75" thickBot="1" x14ac:dyDescent="0.3">
      <c r="A144" s="25" t="s">
        <v>215</v>
      </c>
      <c r="B144" s="25"/>
      <c r="C144" s="25" t="s">
        <v>188</v>
      </c>
      <c r="D144" s="25" t="s">
        <v>189</v>
      </c>
    </row>
    <row r="145" spans="1:4" ht="15.75" thickBot="1" x14ac:dyDescent="0.3">
      <c r="A145" s="25"/>
      <c r="B145" s="25" t="s">
        <v>190</v>
      </c>
      <c r="C145" s="25">
        <f>SUM(D120:D126)</f>
        <v>97.5</v>
      </c>
      <c r="D145" s="25">
        <f>SUM(I120:I126)</f>
        <v>5.7097835279122515</v>
      </c>
    </row>
    <row r="146" spans="1:4" ht="15.75" thickBot="1" x14ac:dyDescent="0.3">
      <c r="A146" s="25"/>
      <c r="B146" s="25" t="s">
        <v>191</v>
      </c>
      <c r="C146" s="25">
        <f>SUM(D127:D128)</f>
        <v>0</v>
      </c>
      <c r="D146" s="25">
        <f>SUM(I127:I128)</f>
        <v>0</v>
      </c>
    </row>
    <row r="147" spans="1:4" ht="15.75" thickBot="1" x14ac:dyDescent="0.3">
      <c r="A147" s="25"/>
      <c r="B147" s="25" t="s">
        <v>192</v>
      </c>
      <c r="C147" s="25">
        <f>SUM(D129:D135)</f>
        <v>2.4</v>
      </c>
      <c r="D147" s="25">
        <f>SUM(I129:I135)</f>
        <v>0.14557376611430245</v>
      </c>
    </row>
    <row r="148" spans="1:4" ht="15.75" thickBot="1" x14ac:dyDescent="0.3">
      <c r="A148" s="25" t="s">
        <v>25</v>
      </c>
      <c r="B148" s="25"/>
      <c r="C148" s="25">
        <f>SUM(C145:C147)</f>
        <v>99.9</v>
      </c>
      <c r="D148" s="25">
        <f>SUM(D145:D147)</f>
        <v>5.8553572940265539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30" zoomScaleNormal="30" workbookViewId="0">
      <selection activeCell="G35" sqref="G3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4" zoomScale="70" zoomScaleNormal="70" workbookViewId="0">
      <selection activeCell="BA103" sqref="BA10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="40" zoomScaleNormal="40" workbookViewId="0">
      <selection activeCell="G34" sqref="G3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 herd</vt:lpstr>
      <vt:lpstr>Input</vt:lpstr>
      <vt:lpstr>Output</vt:lpstr>
      <vt:lpstr>Import &amp; Export</vt:lpstr>
      <vt:lpstr>Variables calculations</vt:lpstr>
      <vt:lpstr>SEM per week</vt:lpstr>
      <vt:lpstr>SEM per year (Potential)</vt:lpstr>
      <vt:lpstr>SEM Total</vt:lpstr>
      <vt:lpstr>Database Box 1 Adult Cattle</vt:lpstr>
      <vt:lpstr>Database box 2 Calves</vt:lpstr>
      <vt:lpstr>Database box 3 Young Cattle</vt:lpstr>
      <vt:lpstr>Database Country Level</vt:lpstr>
      <vt:lpstr>Database</vt:lpstr>
      <vt:lpstr>Data feed processing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Muscat, Abigail</dc:creator>
  <cp:lastModifiedBy>Muscat, Abigail</cp:lastModifiedBy>
  <dcterms:created xsi:type="dcterms:W3CDTF">2017-12-14T11:11:21Z</dcterms:created>
  <dcterms:modified xsi:type="dcterms:W3CDTF">2018-02-12T17:42:12Z</dcterms:modified>
</cp:coreProperties>
</file>