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musca002\My Documents\MAGIC\WP4 Case study\Italy\"/>
    </mc:Choice>
  </mc:AlternateContent>
  <bookViews>
    <workbookView xWindow="0" yWindow="0" windowWidth="21570" windowHeight="6855" activeTab="6"/>
  </bookViews>
  <sheets>
    <sheet name="Data herd" sheetId="1" r:id="rId1"/>
    <sheet name="Input" sheetId="2" r:id="rId2"/>
    <sheet name="Output" sheetId="3" r:id="rId3"/>
    <sheet name="Import &amp; Export" sheetId="4" r:id="rId4"/>
    <sheet name="Variables calculations" sheetId="5" r:id="rId5"/>
    <sheet name="SEM per week" sheetId="6" r:id="rId6"/>
    <sheet name="SEM per year (Potential)" sheetId="7" r:id="rId7"/>
    <sheet name="SEM Total" sheetId="8" r:id="rId8"/>
    <sheet name="Database Box 1 Adult Cattle" sheetId="15" r:id="rId9"/>
    <sheet name="Database box 2 Calves" sheetId="12" r:id="rId10"/>
    <sheet name="Database box 3 Young Cattle" sheetId="13" r:id="rId11"/>
    <sheet name="Database Country Level" sheetId="17" r:id="rId12"/>
    <sheet name="Database" sheetId="18" r:id="rId13"/>
    <sheet name="Data feed processing" sheetId="14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3" i="2" l="1"/>
  <c r="N27" i="3"/>
  <c r="N37" i="3"/>
  <c r="N35" i="3"/>
  <c r="N32" i="3"/>
  <c r="N23" i="3"/>
  <c r="N13" i="3"/>
  <c r="M32" i="3"/>
  <c r="M23" i="3"/>
  <c r="E15" i="3"/>
  <c r="R165" i="2"/>
  <c r="R169" i="2" s="1"/>
  <c r="R166" i="2"/>
  <c r="R170" i="2" s="1"/>
  <c r="R167" i="2"/>
  <c r="R164" i="2"/>
  <c r="R162" i="2"/>
  <c r="R171" i="2"/>
  <c r="R168" i="2"/>
  <c r="R152" i="2"/>
  <c r="R149" i="2"/>
  <c r="R145" i="2"/>
  <c r="R146" i="2" s="1"/>
  <c r="R147" i="2" s="1"/>
  <c r="R144" i="2"/>
  <c r="R154" i="2"/>
  <c r="R155" i="2" s="1"/>
  <c r="R150" i="2"/>
  <c r="M24" i="3" l="1"/>
  <c r="M33" i="3"/>
  <c r="N36" i="3" s="1"/>
  <c r="M14" i="3"/>
  <c r="N17" i="3" s="1"/>
  <c r="N16" i="3" l="1"/>
  <c r="N18" i="3" s="1"/>
  <c r="N19" i="3" s="1"/>
  <c r="N26" i="3"/>
  <c r="N28" i="3" s="1"/>
  <c r="N29" i="3" s="1"/>
  <c r="N38" i="3"/>
  <c r="M14" i="4" l="1"/>
  <c r="M13" i="4"/>
  <c r="M3" i="4"/>
  <c r="M2" i="4" s="1"/>
  <c r="M7" i="4" s="1"/>
  <c r="M4" i="4"/>
  <c r="M12" i="4"/>
  <c r="M17" i="4" s="1"/>
  <c r="N3" i="3"/>
  <c r="N6" i="3"/>
  <c r="N5" i="3"/>
  <c r="N10" i="3" s="1"/>
  <c r="N4" i="3"/>
  <c r="N9" i="3" s="1"/>
  <c r="N8" i="3"/>
  <c r="R137" i="2"/>
  <c r="R130" i="2"/>
  <c r="R124" i="2"/>
  <c r="R120" i="2"/>
  <c r="E121" i="2"/>
  <c r="R132" i="2"/>
  <c r="R111" i="2"/>
  <c r="R103" i="2"/>
  <c r="R94" i="2"/>
  <c r="R90" i="2"/>
  <c r="R96" i="2"/>
  <c r="R91" i="2"/>
  <c r="R86" i="2"/>
  <c r="R139" i="2" l="1"/>
  <c r="R140" i="2" s="1"/>
  <c r="R141" i="2" s="1"/>
  <c r="R126" i="2"/>
  <c r="R127" i="2" s="1"/>
  <c r="R128" i="2" s="1"/>
  <c r="R133" i="2"/>
  <c r="R134" i="2" s="1"/>
  <c r="R105" i="2"/>
  <c r="R107" i="2" s="1"/>
  <c r="R108" i="2" s="1"/>
  <c r="R113" i="2"/>
  <c r="R115" i="2" s="1"/>
  <c r="R116" i="2" s="1"/>
  <c r="R98" i="2"/>
  <c r="R99" i="2" s="1"/>
  <c r="R76" i="2" l="1"/>
  <c r="R77" i="2"/>
  <c r="R75" i="2"/>
  <c r="R72" i="2"/>
  <c r="R73" i="2"/>
  <c r="E23" i="1"/>
  <c r="E36" i="1" s="1"/>
  <c r="R51" i="2"/>
  <c r="R68" i="2"/>
  <c r="R69" i="2"/>
  <c r="R67" i="2"/>
  <c r="R64" i="2"/>
  <c r="R65" i="2"/>
  <c r="R63" i="2"/>
  <c r="R50" i="2"/>
  <c r="R49" i="2"/>
  <c r="R55" i="2" s="1"/>
  <c r="R44" i="2"/>
  <c r="R45" i="2"/>
  <c r="R46" i="2"/>
  <c r="R47" i="2"/>
  <c r="R43" i="2"/>
  <c r="R33" i="2"/>
  <c r="R30" i="2"/>
  <c r="R31" i="2"/>
  <c r="R29" i="2"/>
  <c r="R26" i="2"/>
  <c r="R27" i="2"/>
  <c r="R25" i="2"/>
  <c r="R22" i="2"/>
  <c r="R23" i="2"/>
  <c r="R21" i="2"/>
  <c r="R18" i="2"/>
  <c r="R19" i="2"/>
  <c r="R17" i="2"/>
  <c r="R14" i="2"/>
  <c r="R15" i="2"/>
  <c r="R13" i="2"/>
  <c r="R10" i="2"/>
  <c r="R11" i="2"/>
  <c r="R9" i="2"/>
  <c r="B118" i="5"/>
  <c r="H127" i="5" s="1"/>
  <c r="I127" i="5" s="1"/>
  <c r="B117" i="5"/>
  <c r="B83" i="5"/>
  <c r="F96" i="5" s="1"/>
  <c r="G96" i="5" s="1"/>
  <c r="B84" i="5"/>
  <c r="B57" i="5"/>
  <c r="F69" i="5" s="1"/>
  <c r="G69" i="5" s="1"/>
  <c r="B25" i="5"/>
  <c r="H40" i="5" s="1"/>
  <c r="I40" i="5" s="1"/>
  <c r="B24" i="5"/>
  <c r="C147" i="5"/>
  <c r="C146" i="5"/>
  <c r="C148" i="5" s="1"/>
  <c r="C145" i="5"/>
  <c r="C140" i="5"/>
  <c r="C139" i="5"/>
  <c r="C138" i="5"/>
  <c r="H135" i="5"/>
  <c r="I135" i="5" s="1"/>
  <c r="E135" i="5"/>
  <c r="E134" i="5"/>
  <c r="H134" i="5" s="1"/>
  <c r="I134" i="5" s="1"/>
  <c r="H133" i="5"/>
  <c r="I133" i="5" s="1"/>
  <c r="F133" i="5"/>
  <c r="G133" i="5" s="1"/>
  <c r="E133" i="5"/>
  <c r="E132" i="5"/>
  <c r="H131" i="5"/>
  <c r="I131" i="5" s="1"/>
  <c r="E131" i="5"/>
  <c r="E130" i="5"/>
  <c r="E129" i="5"/>
  <c r="E128" i="5"/>
  <c r="H128" i="5" s="1"/>
  <c r="I128" i="5" s="1"/>
  <c r="E127" i="5"/>
  <c r="E126" i="5"/>
  <c r="E125" i="5"/>
  <c r="H125" i="5" s="1"/>
  <c r="I125" i="5" s="1"/>
  <c r="E124" i="5"/>
  <c r="E123" i="5"/>
  <c r="H123" i="5" s="1"/>
  <c r="I123" i="5" s="1"/>
  <c r="C123" i="5"/>
  <c r="F122" i="5"/>
  <c r="G122" i="5" s="1"/>
  <c r="E122" i="5"/>
  <c r="E121" i="5"/>
  <c r="C121" i="5"/>
  <c r="E120" i="5"/>
  <c r="E101" i="5"/>
  <c r="F100" i="5"/>
  <c r="G100" i="5" s="1"/>
  <c r="E100" i="5"/>
  <c r="E99" i="5"/>
  <c r="E98" i="5"/>
  <c r="E97" i="5"/>
  <c r="E96" i="5"/>
  <c r="E95" i="5"/>
  <c r="E94" i="5"/>
  <c r="F94" i="5" s="1"/>
  <c r="G94" i="5" s="1"/>
  <c r="E93" i="5"/>
  <c r="E92" i="5"/>
  <c r="F92" i="5" s="1"/>
  <c r="G92" i="5" s="1"/>
  <c r="E91" i="5"/>
  <c r="E90" i="5"/>
  <c r="E89" i="5"/>
  <c r="C89" i="5"/>
  <c r="E88" i="5"/>
  <c r="E87" i="5"/>
  <c r="F87" i="5" s="1"/>
  <c r="G87" i="5" s="1"/>
  <c r="C87" i="5"/>
  <c r="E86" i="5"/>
  <c r="D103" i="5"/>
  <c r="E103" i="5" s="1"/>
  <c r="C79" i="5"/>
  <c r="C78" i="5"/>
  <c r="C77" i="5"/>
  <c r="E74" i="5"/>
  <c r="F73" i="5"/>
  <c r="G73" i="5" s="1"/>
  <c r="E73" i="5"/>
  <c r="E72" i="5"/>
  <c r="E71" i="5"/>
  <c r="E70" i="5"/>
  <c r="E69" i="5"/>
  <c r="E68" i="5"/>
  <c r="E67" i="5"/>
  <c r="E66" i="5"/>
  <c r="E65" i="5"/>
  <c r="E64" i="5"/>
  <c r="E63" i="5"/>
  <c r="E62" i="5"/>
  <c r="C62" i="5"/>
  <c r="E61" i="5"/>
  <c r="E60" i="5"/>
  <c r="C60" i="5"/>
  <c r="E59" i="5"/>
  <c r="F59" i="5" s="1"/>
  <c r="G59" i="5" s="1"/>
  <c r="C54" i="5"/>
  <c r="C53" i="5"/>
  <c r="C52" i="5"/>
  <c r="C51" i="5"/>
  <c r="C48" i="5"/>
  <c r="C47" i="5"/>
  <c r="C46" i="5"/>
  <c r="C45" i="5"/>
  <c r="E42" i="5"/>
  <c r="E41" i="5"/>
  <c r="E40" i="5"/>
  <c r="E39" i="5"/>
  <c r="H39" i="5" s="1"/>
  <c r="I39" i="5" s="1"/>
  <c r="E38" i="5"/>
  <c r="E37" i="5"/>
  <c r="H36" i="5"/>
  <c r="I36" i="5" s="1"/>
  <c r="E36" i="5"/>
  <c r="E35" i="5"/>
  <c r="H35" i="5" s="1"/>
  <c r="I35" i="5" s="1"/>
  <c r="H34" i="5"/>
  <c r="I34" i="5" s="1"/>
  <c r="E34" i="5"/>
  <c r="E33" i="5"/>
  <c r="H32" i="5"/>
  <c r="I32" i="5" s="1"/>
  <c r="E32" i="5"/>
  <c r="E31" i="5"/>
  <c r="E30" i="5"/>
  <c r="H30" i="5" s="1"/>
  <c r="I30" i="5" s="1"/>
  <c r="C30" i="5"/>
  <c r="E29" i="5"/>
  <c r="E28" i="5"/>
  <c r="H28" i="5" s="1"/>
  <c r="I28" i="5" s="1"/>
  <c r="C28" i="5"/>
  <c r="E27" i="5"/>
  <c r="H41" i="5"/>
  <c r="I41" i="5" s="1"/>
  <c r="F40" i="5"/>
  <c r="G40" i="5" s="1"/>
  <c r="E87" i="1"/>
  <c r="E86" i="1"/>
  <c r="E85" i="1"/>
  <c r="E84" i="1"/>
  <c r="E83" i="1"/>
  <c r="E82" i="1"/>
  <c r="E78" i="1"/>
  <c r="E79" i="1"/>
  <c r="E77" i="1"/>
  <c r="E74" i="1"/>
  <c r="E75" i="1"/>
  <c r="E73" i="1"/>
  <c r="E70" i="1"/>
  <c r="E67" i="1"/>
  <c r="E64" i="1"/>
  <c r="E63" i="1"/>
  <c r="E62" i="1"/>
  <c r="E56" i="1"/>
  <c r="E57" i="1"/>
  <c r="E58" i="1"/>
  <c r="E59" i="1"/>
  <c r="E60" i="1"/>
  <c r="E55" i="1"/>
  <c r="E53" i="1"/>
  <c r="E52" i="1"/>
  <c r="E51" i="1"/>
  <c r="E50" i="1"/>
  <c r="E49" i="1"/>
  <c r="E48" i="1"/>
  <c r="D18" i="5"/>
  <c r="M46" i="1"/>
  <c r="M45" i="1"/>
  <c r="M43" i="1"/>
  <c r="M42" i="1"/>
  <c r="M12" i="1"/>
  <c r="M29" i="1"/>
  <c r="M30" i="1"/>
  <c r="E7" i="1"/>
  <c r="E6" i="1"/>
  <c r="E18" i="1" s="1"/>
  <c r="M47" i="1"/>
  <c r="M13" i="1"/>
  <c r="M14" i="1"/>
  <c r="R71" i="2" l="1"/>
  <c r="R79" i="2" s="1"/>
  <c r="R84" i="2" s="1"/>
  <c r="M36" i="1"/>
  <c r="M38" i="1" s="1"/>
  <c r="M40" i="1" s="1"/>
  <c r="M23" i="1"/>
  <c r="M25" i="1" s="1"/>
  <c r="M27" i="1" s="1"/>
  <c r="R53" i="2"/>
  <c r="R59" i="2" s="1"/>
  <c r="R52" i="2"/>
  <c r="R58" i="2" s="1"/>
  <c r="R56" i="2"/>
  <c r="R57" i="2"/>
  <c r="R35" i="2"/>
  <c r="R40" i="2" s="1"/>
  <c r="R80" i="2"/>
  <c r="R85" i="2" s="1"/>
  <c r="R81" i="2"/>
  <c r="R34" i="2"/>
  <c r="R39" i="2" s="1"/>
  <c r="D146" i="5"/>
  <c r="C141" i="5"/>
  <c r="F125" i="5"/>
  <c r="G125" i="5" s="1"/>
  <c r="C80" i="5"/>
  <c r="H122" i="5"/>
  <c r="I122" i="5" s="1"/>
  <c r="H124" i="5"/>
  <c r="I124" i="5" s="1"/>
  <c r="H129" i="5"/>
  <c r="I129" i="5" s="1"/>
  <c r="H132" i="5"/>
  <c r="I132" i="5" s="1"/>
  <c r="H121" i="5"/>
  <c r="I121" i="5" s="1"/>
  <c r="F134" i="5"/>
  <c r="G134" i="5" s="1"/>
  <c r="F129" i="5"/>
  <c r="G129" i="5" s="1"/>
  <c r="F86" i="5"/>
  <c r="G86" i="5" s="1"/>
  <c r="F90" i="5"/>
  <c r="G90" i="5" s="1"/>
  <c r="F98" i="5"/>
  <c r="G98" i="5" s="1"/>
  <c r="F72" i="5"/>
  <c r="G72" i="5" s="1"/>
  <c r="F65" i="5"/>
  <c r="G65" i="5" s="1"/>
  <c r="F60" i="5"/>
  <c r="G60" i="5" s="1"/>
  <c r="H31" i="5"/>
  <c r="I31" i="5" s="1"/>
  <c r="H42" i="5"/>
  <c r="I42" i="5" s="1"/>
  <c r="H29" i="5"/>
  <c r="I29" i="5" s="1"/>
  <c r="H38" i="5"/>
  <c r="I38" i="5" s="1"/>
  <c r="F29" i="5"/>
  <c r="G29" i="5" s="1"/>
  <c r="D53" i="5"/>
  <c r="F30" i="5"/>
  <c r="G30" i="5" s="1"/>
  <c r="F34" i="5"/>
  <c r="G34" i="5" s="1"/>
  <c r="F38" i="5"/>
  <c r="G38" i="5" s="1"/>
  <c r="F103" i="5"/>
  <c r="G103" i="5" s="1"/>
  <c r="D109" i="5" s="1"/>
  <c r="D52" i="5"/>
  <c r="F27" i="5"/>
  <c r="G27" i="5" s="1"/>
  <c r="F32" i="5"/>
  <c r="G32" i="5" s="1"/>
  <c r="F36" i="5"/>
  <c r="G36" i="5" s="1"/>
  <c r="F41" i="5"/>
  <c r="G41" i="5" s="1"/>
  <c r="F37" i="5"/>
  <c r="G37" i="5" s="1"/>
  <c r="F33" i="5"/>
  <c r="G33" i="5" s="1"/>
  <c r="F39" i="5"/>
  <c r="G39" i="5" s="1"/>
  <c r="F35" i="5"/>
  <c r="G35" i="5" s="1"/>
  <c r="F31" i="5"/>
  <c r="G31" i="5" s="1"/>
  <c r="F28" i="5"/>
  <c r="G28" i="5" s="1"/>
  <c r="F42" i="5"/>
  <c r="G42" i="5" s="1"/>
  <c r="F63" i="5"/>
  <c r="G63" i="5" s="1"/>
  <c r="F67" i="5"/>
  <c r="G67" i="5" s="1"/>
  <c r="F71" i="5"/>
  <c r="G71" i="5" s="1"/>
  <c r="F123" i="5"/>
  <c r="G123" i="5" s="1"/>
  <c r="F127" i="5"/>
  <c r="G127" i="5" s="1"/>
  <c r="F131" i="5"/>
  <c r="G131" i="5" s="1"/>
  <c r="F135" i="5"/>
  <c r="G135" i="5" s="1"/>
  <c r="H27" i="5"/>
  <c r="I27" i="5" s="1"/>
  <c r="H33" i="5"/>
  <c r="I33" i="5" s="1"/>
  <c r="H37" i="5"/>
  <c r="I37" i="5" s="1"/>
  <c r="F61" i="5"/>
  <c r="G61" i="5" s="1"/>
  <c r="F62" i="5"/>
  <c r="G62" i="5" s="1"/>
  <c r="F66" i="5"/>
  <c r="G66" i="5" s="1"/>
  <c r="F70" i="5"/>
  <c r="G70" i="5" s="1"/>
  <c r="F74" i="5"/>
  <c r="G74" i="5" s="1"/>
  <c r="F88" i="5"/>
  <c r="G88" i="5" s="1"/>
  <c r="F89" i="5"/>
  <c r="G89" i="5" s="1"/>
  <c r="F93" i="5"/>
  <c r="G93" i="5" s="1"/>
  <c r="D107" i="5" s="1"/>
  <c r="F97" i="5"/>
  <c r="G97" i="5" s="1"/>
  <c r="F101" i="5"/>
  <c r="G101" i="5" s="1"/>
  <c r="H120" i="5"/>
  <c r="I120" i="5" s="1"/>
  <c r="F121" i="5"/>
  <c r="G121" i="5" s="1"/>
  <c r="F124" i="5"/>
  <c r="G124" i="5" s="1"/>
  <c r="H126" i="5"/>
  <c r="I126" i="5" s="1"/>
  <c r="F128" i="5"/>
  <c r="G128" i="5" s="1"/>
  <c r="H130" i="5"/>
  <c r="I130" i="5" s="1"/>
  <c r="F132" i="5"/>
  <c r="G132" i="5" s="1"/>
  <c r="F64" i="5"/>
  <c r="G64" i="5" s="1"/>
  <c r="F68" i="5"/>
  <c r="G68" i="5" s="1"/>
  <c r="F91" i="5"/>
  <c r="G91" i="5" s="1"/>
  <c r="F95" i="5"/>
  <c r="G95" i="5" s="1"/>
  <c r="F99" i="5"/>
  <c r="G99" i="5" s="1"/>
  <c r="F120" i="5"/>
  <c r="G120" i="5" s="1"/>
  <c r="F126" i="5"/>
  <c r="G126" i="5" s="1"/>
  <c r="F130" i="5"/>
  <c r="G130" i="5" s="1"/>
  <c r="D140" i="5" s="1"/>
  <c r="M16" i="1"/>
  <c r="E19" i="1"/>
  <c r="E8" i="1"/>
  <c r="E94" i="2"/>
  <c r="E95" i="2" s="1"/>
  <c r="M2" i="1" l="1"/>
  <c r="R38" i="2"/>
  <c r="R36" i="2"/>
  <c r="R41" i="2" s="1"/>
  <c r="R82" i="2"/>
  <c r="R87" i="2" s="1"/>
  <c r="D147" i="5"/>
  <c r="D51" i="5"/>
  <c r="D54" i="5" s="1"/>
  <c r="D106" i="5"/>
  <c r="D77" i="5"/>
  <c r="D46" i="5"/>
  <c r="D108" i="5"/>
  <c r="D47" i="5"/>
  <c r="D138" i="5"/>
  <c r="D79" i="5"/>
  <c r="D145" i="5"/>
  <c r="D148" i="5" s="1"/>
  <c r="D78" i="5"/>
  <c r="D139" i="5"/>
  <c r="D45" i="5"/>
  <c r="E5" i="3"/>
  <c r="D110" i="5" l="1"/>
  <c r="D48" i="5"/>
  <c r="D80" i="5"/>
  <c r="D141" i="5"/>
</calcChain>
</file>

<file path=xl/sharedStrings.xml><?xml version="1.0" encoding="utf-8"?>
<sst xmlns="http://schemas.openxmlformats.org/spreadsheetml/2006/main" count="979" uniqueCount="289">
  <si>
    <t>Beef farms</t>
  </si>
  <si>
    <t>Herd Composition</t>
  </si>
  <si>
    <t>Adult Cattle</t>
  </si>
  <si>
    <t>Calves</t>
  </si>
  <si>
    <t>Young Cattle</t>
  </si>
  <si>
    <t>Feed/Energy requirements</t>
  </si>
  <si>
    <t>Labour Use</t>
  </si>
  <si>
    <t>Year</t>
  </si>
  <si>
    <t>Unit</t>
  </si>
  <si>
    <t>Value</t>
  </si>
  <si>
    <t>ID Number</t>
  </si>
  <si>
    <t>Source</t>
  </si>
  <si>
    <t>Notes</t>
  </si>
  <si>
    <t>Energy Use</t>
  </si>
  <si>
    <t>Fertiliser Use</t>
  </si>
  <si>
    <t>Feed</t>
  </si>
  <si>
    <t>EUROSTAT</t>
  </si>
  <si>
    <t xml:space="preserve">Total Agricultural Labour </t>
  </si>
  <si>
    <t xml:space="preserve"> Work Units/year</t>
  </si>
  <si>
    <t>Imports</t>
  </si>
  <si>
    <t>Exports</t>
  </si>
  <si>
    <t>Live Animals</t>
  </si>
  <si>
    <t xml:space="preserve">Total Beef Cattle  </t>
  </si>
  <si>
    <t>heads/year</t>
  </si>
  <si>
    <t>Eurostat</t>
  </si>
  <si>
    <t>Calves and Young Cattle</t>
  </si>
  <si>
    <t>Total Beef Cattle</t>
  </si>
  <si>
    <t>Meat production</t>
  </si>
  <si>
    <t>Name</t>
  </si>
  <si>
    <t>ID number</t>
  </si>
  <si>
    <t>Cattle Slaughter</t>
  </si>
  <si>
    <t>Total</t>
  </si>
  <si>
    <t>tonnes/year</t>
  </si>
  <si>
    <t>Beef Labour</t>
  </si>
  <si>
    <t>Breeders</t>
  </si>
  <si>
    <t>FADN Beef Data</t>
  </si>
  <si>
    <t>Breeders-Fatteners</t>
  </si>
  <si>
    <t>Fatteners</t>
  </si>
  <si>
    <t>Own Calculation</t>
  </si>
  <si>
    <t>Own Calculation Annual working units X 1800 hours which is 8 hrs a day for 225 days</t>
  </si>
  <si>
    <t>Annual Working Units/farm</t>
  </si>
  <si>
    <t>Hours/year/farm</t>
  </si>
  <si>
    <t xml:space="preserve">Land Use </t>
  </si>
  <si>
    <t>Avg. UAA</t>
  </si>
  <si>
    <t>ha/farm</t>
  </si>
  <si>
    <t>FADN Beef data</t>
  </si>
  <si>
    <t xml:space="preserve">Breeders-Fatteners </t>
  </si>
  <si>
    <t>Forage crops</t>
  </si>
  <si>
    <t>Specialist Cattle Rearing and Fattening</t>
  </si>
  <si>
    <t>Cattle Dairying Rearing and Fattening</t>
  </si>
  <si>
    <t>Beef Farms</t>
  </si>
  <si>
    <t>Farms/country</t>
  </si>
  <si>
    <t>Adult Reproductive females</t>
  </si>
  <si>
    <t xml:space="preserve"> Heads/year</t>
  </si>
  <si>
    <t>H.3</t>
  </si>
  <si>
    <t>GLEAM</t>
  </si>
  <si>
    <t xml:space="preserve">Adult Reproductive males </t>
  </si>
  <si>
    <t>Heads/year</t>
  </si>
  <si>
    <t>H.4</t>
  </si>
  <si>
    <t>H.5</t>
  </si>
  <si>
    <t>Weight of Adult female</t>
  </si>
  <si>
    <t>kg/head</t>
  </si>
  <si>
    <t>H.6</t>
  </si>
  <si>
    <t>Weight of Adult male</t>
  </si>
  <si>
    <t>H.7</t>
  </si>
  <si>
    <t>Mortality of Adult Animals</t>
  </si>
  <si>
    <t>%</t>
  </si>
  <si>
    <t>H.8</t>
  </si>
  <si>
    <t>Age at First Calving</t>
  </si>
  <si>
    <t>months</t>
  </si>
  <si>
    <t>H.9</t>
  </si>
  <si>
    <t>Adult Females Replacement</t>
  </si>
  <si>
    <t>H.10</t>
  </si>
  <si>
    <t>Fertility of adult females</t>
  </si>
  <si>
    <t>H.11</t>
  </si>
  <si>
    <t>Percentage of population lactating</t>
  </si>
  <si>
    <t>Assumption</t>
  </si>
  <si>
    <t>Percentage of population non-lactating</t>
  </si>
  <si>
    <t>Females Lactating</t>
  </si>
  <si>
    <t>Females not-lactating</t>
  </si>
  <si>
    <t>Start Weight Calves (1 days)</t>
  </si>
  <si>
    <t>Goonawardene 1986</t>
  </si>
  <si>
    <t>End Weight Calves (365 days)</t>
  </si>
  <si>
    <t xml:space="preserve">Mid-Point Calves  (180 days) </t>
  </si>
  <si>
    <t>Mortality of young females</t>
  </si>
  <si>
    <t>Mortality of young males</t>
  </si>
  <si>
    <t>Start Weight Young Cattle (365 days)</t>
  </si>
  <si>
    <t>End Weight Young Cattle (730 days)</t>
  </si>
  <si>
    <t>Mid Point Young Cattle (548 days)</t>
  </si>
  <si>
    <t xml:space="preserve">Mortality of young males </t>
  </si>
  <si>
    <t>Net Energy Maintenance Adult Cattle Female Lactating Cows</t>
  </si>
  <si>
    <t>.</t>
  </si>
  <si>
    <t>MJ/day/head</t>
  </si>
  <si>
    <t>IPCC caclulation</t>
  </si>
  <si>
    <t>Net Energy Maintenance Adult Cattle Female Non-Lactating Cows</t>
  </si>
  <si>
    <t>Net Energy Maintenance Adult Cattle Male</t>
  </si>
  <si>
    <t>Net Energy Maintenance Calves</t>
  </si>
  <si>
    <t>Net Energy Maintenance Young Cattle female</t>
  </si>
  <si>
    <t>Net Energy Maintenance Young Cattle Male</t>
  </si>
  <si>
    <t>Net Energy for Activity Adult Cattle Female lactating</t>
  </si>
  <si>
    <t>Net Energy for Activity Adult Cattle Female Non-Lactating</t>
  </si>
  <si>
    <t>Net Energy Activity Adult Cattle Male</t>
  </si>
  <si>
    <t>Net Energy Activity Calves</t>
  </si>
  <si>
    <t>Net Energy Activity Young Cattle female</t>
  </si>
  <si>
    <t>Net Energy Young Cattle Male</t>
  </si>
  <si>
    <t>Net Energy for Growth  Calves</t>
  </si>
  <si>
    <t>Net Energy for Growth Young Cattle Female</t>
  </si>
  <si>
    <t>Net Energy for Growth Young Cattle male</t>
  </si>
  <si>
    <t>Net Energy for Lactation Adult Cattle Female</t>
  </si>
  <si>
    <t>Net Energy for pregnancy Adult Cattle female</t>
  </si>
  <si>
    <t>REM Adult Cattle</t>
  </si>
  <si>
    <t>REM Calves</t>
  </si>
  <si>
    <t>REM Young Cattle</t>
  </si>
  <si>
    <t>REG Adult Cattle</t>
  </si>
  <si>
    <t>REG Calves</t>
  </si>
  <si>
    <t>REG Young Cattle</t>
  </si>
  <si>
    <t>Gross Energy Requirements Adult Cattle  Female Lactating</t>
  </si>
  <si>
    <t>Gross Energy Requiremements Adult Cattle Female Non-lactating</t>
  </si>
  <si>
    <t xml:space="preserve">Gross Energy Requirements Adult Cattle Male </t>
  </si>
  <si>
    <t>Gross Energy Requirements Calves</t>
  </si>
  <si>
    <t>Gross Energy Requirements Young Cattle female</t>
  </si>
  <si>
    <t>Gross Energy Requirements Young Cattle male</t>
  </si>
  <si>
    <t>Calculations</t>
  </si>
  <si>
    <t xml:space="preserve">Unit </t>
  </si>
  <si>
    <t>Formula</t>
  </si>
  <si>
    <t>Total Biomass</t>
  </si>
  <si>
    <t>Kg/year</t>
  </si>
  <si>
    <t>Biomass Male</t>
  </si>
  <si>
    <t>Biomass Female</t>
  </si>
  <si>
    <t xml:space="preserve"> Animal FUND</t>
  </si>
  <si>
    <t xml:space="preserve">Biomass total </t>
  </si>
  <si>
    <t>Tg/year</t>
  </si>
  <si>
    <t>Biomass Calves</t>
  </si>
  <si>
    <t>Animal FUND</t>
  </si>
  <si>
    <t>Biomass Total</t>
  </si>
  <si>
    <t>Gg/year</t>
  </si>
  <si>
    <t>Daily Weight Gain Calf</t>
  </si>
  <si>
    <t>kg/day/head</t>
  </si>
  <si>
    <t>Mortality of Calves</t>
  </si>
  <si>
    <t>Biomass Young Cattle</t>
  </si>
  <si>
    <t>Biomass total</t>
  </si>
  <si>
    <t>kg/year</t>
  </si>
  <si>
    <t>Daily weight gain Young Cattle</t>
  </si>
  <si>
    <t>Mortality of Young Cattle</t>
  </si>
  <si>
    <t>Replacement Females</t>
  </si>
  <si>
    <t>Energy Requirements</t>
  </si>
  <si>
    <t>Coefficients Net Energy Maintenance</t>
  </si>
  <si>
    <t>Non-Lactating Cows</t>
  </si>
  <si>
    <t>MJ/day/kg</t>
  </si>
  <si>
    <t>IPCC</t>
  </si>
  <si>
    <t>Lactating Cows</t>
  </si>
  <si>
    <t>Bulls</t>
  </si>
  <si>
    <t>Coefficients Net Energy for Activity</t>
  </si>
  <si>
    <t>Housing conditions: Pasture</t>
  </si>
  <si>
    <t>Coefficients Net Energy for Growth</t>
  </si>
  <si>
    <t>females</t>
  </si>
  <si>
    <t>bulls</t>
  </si>
  <si>
    <t>Parameters for REG &amp; REM</t>
  </si>
  <si>
    <t xml:space="preserve">DE% Adult Cattle </t>
  </si>
  <si>
    <t>DE% Calves</t>
  </si>
  <si>
    <t>DE% Young Cattle</t>
  </si>
  <si>
    <t>Parameters for NE lactation</t>
  </si>
  <si>
    <t>Milk Fat content</t>
  </si>
  <si>
    <t>Milk produced</t>
  </si>
  <si>
    <t>kg/milk/day</t>
  </si>
  <si>
    <t xml:space="preserve">Coefficients Pregnancy </t>
  </si>
  <si>
    <t>Cattle and Buffalo</t>
  </si>
  <si>
    <t>constant</t>
  </si>
  <si>
    <t>Energy in Feed crops</t>
  </si>
  <si>
    <t>GE Females Lactating</t>
  </si>
  <si>
    <t>GE Females Non-Lactating</t>
  </si>
  <si>
    <t>Adult Females</t>
  </si>
  <si>
    <t>MJ/kg (Source: INRA Feed tables)</t>
  </si>
  <si>
    <t>DMI % (Gleam)</t>
  </si>
  <si>
    <t>Ratio DMI (Calculated)</t>
  </si>
  <si>
    <t xml:space="preserve"> Kg DMI/head Lactating (Calculated)</t>
  </si>
  <si>
    <t>Kg DMI/Head Non-Lactating (Calculated)</t>
  </si>
  <si>
    <t xml:space="preserve">Fresh grass </t>
  </si>
  <si>
    <t>Hay or silage from grass  (avg of maize silage and fresh grass)</t>
  </si>
  <si>
    <t>Fresh mixture of grass and legumes (avg of grass and white clover)</t>
  </si>
  <si>
    <t>Hay or silage from grass and legumes (avg of maie silage and fresh grass/legume mx)</t>
  </si>
  <si>
    <t xml:space="preserve">Silage from whole maize plant </t>
  </si>
  <si>
    <t>Crop residues from wheat (assumed wheat bran)</t>
  </si>
  <si>
    <t>Fodder Beet</t>
  </si>
  <si>
    <t xml:space="preserve">Maize </t>
  </si>
  <si>
    <t>Grains (Assumed Barley)</t>
  </si>
  <si>
    <t xml:space="preserve">By-products from soy </t>
  </si>
  <si>
    <t xml:space="preserve">By-products from rape (canola) </t>
  </si>
  <si>
    <t xml:space="preserve">By-products from sugar beet </t>
  </si>
  <si>
    <t>Oil palm kernel expeller (assumed palm kernel meal)</t>
  </si>
  <si>
    <t>Molasses (assumed beet)</t>
  </si>
  <si>
    <t xml:space="preserve">Maize gluten feed </t>
  </si>
  <si>
    <t>Dry by-product from grain industries  (assumed avg. for wheat middlings)</t>
  </si>
  <si>
    <t>Adult Female Lactating</t>
  </si>
  <si>
    <t>%DMI</t>
  </si>
  <si>
    <t>kg DMI</t>
  </si>
  <si>
    <t>Roughages</t>
  </si>
  <si>
    <t>Grains</t>
  </si>
  <si>
    <t>Agro-Industrial By-products</t>
  </si>
  <si>
    <t>Adult Female Non-Lactating</t>
  </si>
  <si>
    <t>Adult Males</t>
  </si>
  <si>
    <t>GE Males</t>
  </si>
  <si>
    <t>Ratio DMI</t>
  </si>
  <si>
    <t xml:space="preserve"> Kg DMI/head (Calculated)</t>
  </si>
  <si>
    <t xml:space="preserve">Hay or silage from grass </t>
  </si>
  <si>
    <t>Fresh mixture of grass and legumes</t>
  </si>
  <si>
    <t xml:space="preserve">Hay or silage from grass and legumes </t>
  </si>
  <si>
    <t>Crop residues from wheat</t>
  </si>
  <si>
    <t>Oil palm kernel expeller</t>
  </si>
  <si>
    <t>Molasses</t>
  </si>
  <si>
    <t xml:space="preserve">Dry by-product from grain industries </t>
  </si>
  <si>
    <t>Adult Male</t>
  </si>
  <si>
    <t>GE Calves minus milk</t>
  </si>
  <si>
    <t>GE Calves</t>
  </si>
  <si>
    <t>Milk powder whole</t>
  </si>
  <si>
    <t xml:space="preserve">Young Cattle </t>
  </si>
  <si>
    <t>GE Young Cattle Female</t>
  </si>
  <si>
    <t>GE Young Cattle Male</t>
  </si>
  <si>
    <t xml:space="preserve"> Kg DMI/head female (Calculated)</t>
  </si>
  <si>
    <t>Kg DMI/ head male</t>
  </si>
  <si>
    <t>Young Cattle Female</t>
  </si>
  <si>
    <t xml:space="preserve">Young Cattle Male </t>
  </si>
  <si>
    <t>Caculations</t>
  </si>
  <si>
    <t>kg DMI/head/day</t>
  </si>
  <si>
    <t>Feed Calculations</t>
  </si>
  <si>
    <t>Industrial by-products</t>
  </si>
  <si>
    <t>Industrial By-products</t>
  </si>
  <si>
    <t>Adult Cattle total</t>
  </si>
  <si>
    <t>total</t>
  </si>
  <si>
    <t>Milk powder</t>
  </si>
  <si>
    <t xml:space="preserve">Total </t>
  </si>
  <si>
    <t>Young Cattle Male</t>
  </si>
  <si>
    <t>Young Cattle total</t>
  </si>
  <si>
    <t>Labour hours in beef sector</t>
  </si>
  <si>
    <t>hours/year</t>
  </si>
  <si>
    <t>Ghours/year</t>
  </si>
  <si>
    <t>Adult cattle Biomass</t>
  </si>
  <si>
    <t>Ratio of total</t>
  </si>
  <si>
    <t>ratio</t>
  </si>
  <si>
    <t>Adult Cattle Labour</t>
  </si>
  <si>
    <t>Calves Biomass</t>
  </si>
  <si>
    <t>Calves Labour</t>
  </si>
  <si>
    <t>Young Cattle Biomass</t>
  </si>
  <si>
    <t>Young Cattle Labour</t>
  </si>
  <si>
    <t>Land Use of Beef Sector</t>
  </si>
  <si>
    <t>ha/year</t>
  </si>
  <si>
    <t xml:space="preserve">Adult Cattle Land Use </t>
  </si>
  <si>
    <t>km2/year</t>
  </si>
  <si>
    <t>Calves Land Use</t>
  </si>
  <si>
    <t>Young Cattle Land Use</t>
  </si>
  <si>
    <t>Cattle Slaughtering</t>
  </si>
  <si>
    <t xml:space="preserve">Gg/year </t>
  </si>
  <si>
    <t xml:space="preserve">Live Animals </t>
  </si>
  <si>
    <t>Adult Cattle female</t>
  </si>
  <si>
    <t>Adult Cattle male</t>
  </si>
  <si>
    <t>Young Cattle and Calves</t>
  </si>
  <si>
    <t>Adult Cattle exports</t>
  </si>
  <si>
    <t>Water Use</t>
  </si>
  <si>
    <r>
      <t xml:space="preserve"> </t>
    </r>
    <r>
      <rPr>
        <b/>
        <sz val="11"/>
        <color rgb="FFFF0000"/>
        <rFont val="Calibri"/>
        <family val="2"/>
        <scheme val="minor"/>
      </rPr>
      <t>FROM UK Database</t>
    </r>
  </si>
  <si>
    <t>Beef cow drinking water</t>
  </si>
  <si>
    <t>l/animal/day</t>
  </si>
  <si>
    <t>Technology to improve water use efficiency - Defra Project WU0123</t>
  </si>
  <si>
    <t>l/animal/year</t>
  </si>
  <si>
    <t>Adult female</t>
  </si>
  <si>
    <t>l/year</t>
  </si>
  <si>
    <t>Beef bull drinking water</t>
  </si>
  <si>
    <t>Calves drinking water</t>
  </si>
  <si>
    <t>TL/Year</t>
  </si>
  <si>
    <t>Young Cattle female</t>
  </si>
  <si>
    <t>Young Cattle male</t>
  </si>
  <si>
    <t>Beef in England and Wales</t>
  </si>
  <si>
    <t>Primary Energy Used</t>
  </si>
  <si>
    <t>GJ/t carcass</t>
  </si>
  <si>
    <t>Determining the environmental burdens and resource use in the production of agricultural and horticultural commodities.Defra project report IS0205</t>
  </si>
  <si>
    <t>Primary energy use</t>
  </si>
  <si>
    <t>GJ/year</t>
  </si>
  <si>
    <t>TJ/year</t>
  </si>
  <si>
    <t>Manure</t>
  </si>
  <si>
    <t xml:space="preserve"> FROM UK Database</t>
  </si>
  <si>
    <t>Beef Cattle</t>
  </si>
  <si>
    <t>Undiluted Slurry</t>
  </si>
  <si>
    <t>Tonnes</t>
  </si>
  <si>
    <t>Smith and Williams 2016 Production and Management of Cattle manure in the UK</t>
  </si>
  <si>
    <t>FYM or Solids</t>
  </si>
  <si>
    <t>Ratio</t>
  </si>
  <si>
    <t>FYM OR Solids</t>
  </si>
  <si>
    <t>Tonnes/year</t>
  </si>
  <si>
    <t>Undiluted slurry</t>
  </si>
  <si>
    <t>Animal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</si>
</sst>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rgb="FFC0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 style="thick">
        <color rgb="FFC00000"/>
      </top>
      <bottom/>
      <diagonal/>
    </border>
    <border>
      <left/>
      <right style="medium">
        <color rgb="FFFF0000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3" borderId="0" xfId="0" applyFont="1" applyFill="1"/>
    <xf numFmtId="0" fontId="3" fillId="0" borderId="1" xfId="0" applyFont="1" applyBorder="1"/>
    <xf numFmtId="0" fontId="2" fillId="0" borderId="0" xfId="0" applyFont="1"/>
    <xf numFmtId="0" fontId="6" fillId="4" borderId="0" xfId="2" applyNumberFormat="1" applyFont="1" applyFill="1" applyBorder="1"/>
    <xf numFmtId="9" fontId="6" fillId="4" borderId="0" xfId="2" applyNumberFormat="1" applyFont="1" applyFill="1" applyBorder="1"/>
    <xf numFmtId="0" fontId="7" fillId="0" borderId="0" xfId="0" applyFont="1" applyFill="1"/>
    <xf numFmtId="0" fontId="7" fillId="0" borderId="0" xfId="0" applyFont="1"/>
    <xf numFmtId="0" fontId="5" fillId="0" borderId="0" xfId="0" applyFont="1"/>
    <xf numFmtId="9" fontId="8" fillId="4" borderId="0" xfId="2" applyNumberFormat="1" applyFont="1" applyFill="1" applyBorder="1"/>
    <xf numFmtId="0" fontId="2" fillId="2" borderId="2" xfId="0" applyFont="1" applyFill="1" applyBorder="1"/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Fill="1" applyBorder="1"/>
    <xf numFmtId="0" fontId="5" fillId="0" borderId="2" xfId="0" applyFont="1" applyBorder="1"/>
    <xf numFmtId="0" fontId="7" fillId="0" borderId="2" xfId="0" applyFont="1" applyBorder="1"/>
    <xf numFmtId="0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0" borderId="0" xfId="0" applyFont="1"/>
    <xf numFmtId="0" fontId="0" fillId="5" borderId="3" xfId="0" applyFill="1" applyBorder="1"/>
    <xf numFmtId="0" fontId="0" fillId="0" borderId="4" xfId="0" applyBorder="1"/>
    <xf numFmtId="0" fontId="7" fillId="3" borderId="0" xfId="0" applyFont="1" applyFill="1"/>
    <xf numFmtId="0" fontId="2" fillId="2" borderId="5" xfId="0" applyFont="1" applyFill="1" applyBorder="1"/>
    <xf numFmtId="0" fontId="2" fillId="0" borderId="0" xfId="0" applyFont="1" applyFill="1" applyAlignment="1">
      <alignment horizontal="center"/>
    </xf>
    <xf numFmtId="0" fontId="2" fillId="3" borderId="2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0" fillId="0" borderId="0" xfId="0" applyBorder="1"/>
    <xf numFmtId="0" fontId="2" fillId="3" borderId="0" xfId="0" applyFont="1" applyFill="1" applyBorder="1"/>
    <xf numFmtId="3" fontId="0" fillId="0" borderId="0" xfId="0" applyNumberFormat="1"/>
    <xf numFmtId="0" fontId="0" fillId="0" borderId="0" xfId="0" applyAlignment="1">
      <alignment horizontal="fill"/>
    </xf>
    <xf numFmtId="0" fontId="9" fillId="0" borderId="0" xfId="0" applyFont="1"/>
    <xf numFmtId="0" fontId="0" fillId="0" borderId="6" xfId="0" applyBorder="1"/>
  </cellXfs>
  <cellStyles count="3">
    <cellStyle name="Normal" xfId="0" builtinId="0"/>
    <cellStyle name="Normal_Cattle (CTS)_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34</xdr:row>
      <xdr:rowOff>0</xdr:rowOff>
    </xdr:from>
    <xdr:to>
      <xdr:col>58</xdr:col>
      <xdr:colOff>94735</xdr:colOff>
      <xdr:row>69</xdr:row>
      <xdr:rowOff>176041</xdr:rowOff>
    </xdr:to>
    <xdr:grpSp>
      <xdr:nvGrpSpPr>
        <xdr:cNvPr id="2" name="Group 1"/>
        <xdr:cNvGrpSpPr/>
      </xdr:nvGrpSpPr>
      <xdr:grpSpPr>
        <a:xfrm>
          <a:off x="12876211" y="6477000"/>
          <a:ext cx="22207024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34</xdr:row>
      <xdr:rowOff>8997</xdr:rowOff>
    </xdr:from>
    <xdr:to>
      <xdr:col>17</xdr:col>
      <xdr:colOff>314801</xdr:colOff>
      <xdr:row>69</xdr:row>
      <xdr:rowOff>51860</xdr:rowOff>
    </xdr:to>
    <xdr:grpSp>
      <xdr:nvGrpSpPr>
        <xdr:cNvPr id="67" name="Group 66"/>
        <xdr:cNvGrpSpPr/>
      </xdr:nvGrpSpPr>
      <xdr:grpSpPr>
        <a:xfrm>
          <a:off x="3619500" y="6485997"/>
          <a:ext cx="6950551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27</xdr:row>
      <xdr:rowOff>0</xdr:rowOff>
    </xdr:from>
    <xdr:to>
      <xdr:col>73</xdr:col>
      <xdr:colOff>95250</xdr:colOff>
      <xdr:row>100</xdr:row>
      <xdr:rowOff>0</xdr:rowOff>
    </xdr:to>
    <xdr:grpSp>
      <xdr:nvGrpSpPr>
        <xdr:cNvPr id="97" name="Group 96"/>
        <xdr:cNvGrpSpPr/>
      </xdr:nvGrpSpPr>
      <xdr:grpSpPr>
        <a:xfrm>
          <a:off x="2336800" y="5143500"/>
          <a:ext cx="42259250" cy="13906500"/>
          <a:chOff x="4445000" y="3714750"/>
          <a:chExt cx="34479073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479073" cy="11588750"/>
            <a:chOff x="3391958" y="5365750"/>
            <a:chExt cx="34835654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835654" cy="8165399"/>
              <a:chOff x="3391958" y="5365750"/>
              <a:chExt cx="34835654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</a:p>
              <a:p>
                <a:pPr algn="ctr"/>
                <a:r>
                  <a:rPr lang="en-GB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12 Gg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835654" cy="8165399"/>
                <a:chOff x="3487208" y="5508625"/>
                <a:chExt cx="34835654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835654" cy="8091294"/>
                  <a:chOff x="3487208" y="5582730"/>
                  <a:chExt cx="34835654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  <a:p>
                    <a:pPr algn="ctr"/>
                    <a:r>
                      <a:rPr lang="en-GB" sz="1100"/>
                      <a:t>0.016Tg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  <a:p>
                    <a:pPr algn="ctr"/>
                    <a:r>
                      <a:rPr lang="en-GB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0.0015  </a:t>
                    </a:r>
                    <a:r>
                      <a:rPr lang="en-GB" sz="1100"/>
                      <a:t>Tg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70523" cy="6246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  <a:p>
                    <a:pPr algn="ctr"/>
                    <a:r>
                      <a:rPr lang="en-GB" sz="1100"/>
                      <a:t>0.0009</a:t>
                    </a:r>
                    <a:r>
                      <a:rPr lang="en-GB" sz="1100" baseline="0"/>
                      <a:t> </a:t>
                    </a:r>
                    <a:r>
                      <a:rPr lang="en-GB" sz="1100"/>
                      <a:t>Tg</a:t>
                    </a:r>
                  </a:p>
                  <a:p>
                    <a:pPr algn="ctr"/>
                    <a:endParaRPr lang="en-GB" sz="1100"/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44048" y="6543390"/>
                    <a:ext cx="416152" cy="359705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835654" cy="8069069"/>
                    <a:chOff x="3487208" y="5604955"/>
                    <a:chExt cx="34835654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383869"/>
                      <a:ext cx="22518243" cy="7290155"/>
                      <a:chOff x="13942124" y="-12698"/>
                      <a:chExt cx="21606129" cy="7290155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09755" y="173786"/>
                        <a:ext cx="869800" cy="9385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51 Ghours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  <a:p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3.06  Gg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91181" y="275921"/>
                        <a:ext cx="1175595" cy="84999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</a:p>
                      <a:p>
                        <a:r>
                          <a:rPr lang="en-GB" sz="1600" baseline="0"/>
                          <a:t>7645 Km2 </a:t>
                        </a:r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455083"/>
                        <a:ext cx="808747" cy="442215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0.031 TL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70307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</a:p>
                      <a:p>
                        <a:r>
                          <a:rPr lang="en-GB" sz="1600" baseline="0"/>
                          <a:t>2570 TJ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342066" y="1299038"/>
                        <a:ext cx="944743" cy="1005888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35602" y="433916"/>
                        <a:ext cx="808748" cy="442215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0.006 TL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70307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  <a:p>
                        <a:r>
                          <a:rPr lang="en-GB" sz="1600"/>
                          <a:t>343 TJ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7055170" y="1275227"/>
                        <a:ext cx="944745" cy="1011180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890336" y="-12698"/>
                        <a:ext cx="733252" cy="104336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4.9</a:t>
                        </a:r>
                      </a:p>
                      <a:p>
                        <a:r>
                          <a:rPr lang="en-GB" sz="1600"/>
                          <a:t>Ghours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0.29 Gg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46185" y="249011"/>
                        <a:ext cx="1034671" cy="90411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733 Km2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  <a:p>
                        <a:r>
                          <a:rPr lang="en-GB" sz="1600"/>
                          <a:t>9.4 Tg</a:t>
                        </a:r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0.9 Tg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865852" cy="965352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49" y="3244851"/>
                        <a:ext cx="1111366" cy="87463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381468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</a:p>
                      <a:p>
                        <a:pPr marL="0" marR="0" lvl="0" indent="0" algn="l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800" kern="12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92 Gg</a:t>
                        </a:r>
                        <a:endParaRPr lang="en-GB">
                          <a:effectLst/>
                        </a:endParaRPr>
                      </a:p>
                      <a:p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343166" cy="90820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285655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63773" y="3128131"/>
                        <a:ext cx="2384480" cy="93692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345194" y="3188286"/>
                        <a:ext cx="1300711" cy="494366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8" y="6453454"/>
                      <a:ext cx="7559745" cy="7060406"/>
                      <a:chOff x="2445544" y="2378869"/>
                      <a:chExt cx="7301673" cy="7060406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3010510" y="3748751"/>
                        <a:ext cx="790344" cy="955172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4" y="2378869"/>
                        <a:ext cx="7301673" cy="7060406"/>
                        <a:chOff x="2278856" y="2474119"/>
                        <a:chExt cx="7301673" cy="7060406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405364" y="2914650"/>
                          <a:ext cx="811526" cy="530658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  <a:p>
                          <a:r>
                            <a:rPr lang="en-GB" sz="1400"/>
                            <a:t>2.80 TL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395732" y="2620054"/>
                          <a:ext cx="1184797" cy="90948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r>
                            <a:rPr lang="en-GB" sz="16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23111 Km2</a:t>
                          </a:r>
                        </a:p>
                        <a:p>
                          <a:endParaRPr lang="en-GB" sz="16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580105" y="2474119"/>
                          <a:ext cx="658777" cy="87852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  <a:p>
                          <a:r>
                            <a:rPr lang="en-GB" sz="1600"/>
                            <a:t>155 G hours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</a:p>
                        <a:p>
                          <a:r>
                            <a:rPr lang="en-GB" sz="1600" baseline="0"/>
                            <a:t>0.009 Tg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r>
                            <a:rPr lang="en-GB" sz="1600"/>
                            <a:t>28.4</a:t>
                          </a:r>
                          <a:r>
                            <a:rPr lang="en-GB" sz="1600" baseline="0"/>
                            <a:t> Tg</a:t>
                          </a:r>
                          <a:endParaRPr lang="en-GB" sz="1600"/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6" y="3086100"/>
                          <a:ext cx="965102" cy="840315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  <a:p>
                          <a:r>
                            <a:rPr lang="en-GB" sz="1600"/>
                            <a:t>19159 TJ</a:t>
                          </a:r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Animals</a:t>
                      </a:r>
                    </a:p>
                    <a:p>
                      <a:r>
                        <a:rPr lang="en-GB" sz="1800" kern="12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2.47 Gg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  <a:p>
                      <a:r>
                        <a:rPr lang="en-GB" sz="1600" baseline="0"/>
                        <a:t> 429 Gg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  <a:p>
                      <a:pPr algn="ctr"/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684 Gg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  <a:p>
                      <a:pPr algn="ctr"/>
                      <a:r>
                        <a:rPr lang="en-GB" sz="1100"/>
                        <a:t>2.2</a:t>
                      </a:r>
                      <a:r>
                        <a:rPr lang="en-GB" sz="1100" baseline="0"/>
                        <a:t> Tg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  <a:p>
                      <a:pPr algn="ctr"/>
                      <a:r>
                        <a:rPr lang="en-GB" sz="1100"/>
                        <a:t>0Tg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53681" cy="629674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  <a:p>
                      <a:pPr algn="ctr"/>
                      <a:r>
                        <a:rPr lang="en-GB" sz="1100"/>
                        <a:t>0.19Tg</a:t>
                      </a:r>
                    </a:p>
                    <a:p>
                      <a:pPr algn="ctr"/>
                      <a:endParaRPr lang="en-GB" sz="1100"/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27432" y="6568109"/>
                      <a:ext cx="432993" cy="35721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  <a:p>
                  <a:pPr algn="ctr"/>
                  <a:r>
                    <a:rPr lang="en-GB" sz="1100"/>
                    <a:t>0.002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  <a:p>
                  <a:pPr algn="ctr"/>
                  <a:r>
                    <a:rPr lang="en-GB" sz="1100"/>
                    <a:t>0Tg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4" y="6156942"/>
                  <a:ext cx="1152532" cy="753219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  <a:p>
                  <a:pPr algn="ctr"/>
                  <a:r>
                    <a:rPr lang="en-GB" sz="1100"/>
                    <a:t>0.0001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30060906" y="6533552"/>
                  <a:ext cx="350019" cy="29543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  <a:p>
            <a:pPr algn="ctr"/>
            <a:r>
              <a:rPr lang="en-GB" sz="1100" baseline="0"/>
              <a:t>0.009 Tg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222250</xdr:colOff>
      <xdr:row>96</xdr:row>
      <xdr:rowOff>63500</xdr:rowOff>
    </xdr:from>
    <xdr:to>
      <xdr:col>45</xdr:col>
      <xdr:colOff>381000</xdr:colOff>
      <xdr:row>98</xdr:row>
      <xdr:rowOff>79375</xdr:rowOff>
    </xdr:to>
    <xdr:sp macro="" textlink="">
      <xdr:nvSpPr>
        <xdr:cNvPr id="225" name="TextBox 224"/>
        <xdr:cNvSpPr txBox="1"/>
      </xdr:nvSpPr>
      <xdr:spPr>
        <a:xfrm>
          <a:off x="19526250" y="18351500"/>
          <a:ext cx="8001000" cy="39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GB" sz="1800" b="0" i="0" u="none" strike="noStrike" kern="1200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Replacement  21.45 Gg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33</xdr:row>
      <xdr:rowOff>0</xdr:rowOff>
    </xdr:from>
    <xdr:to>
      <xdr:col>58</xdr:col>
      <xdr:colOff>94735</xdr:colOff>
      <xdr:row>68</xdr:row>
      <xdr:rowOff>176041</xdr:rowOff>
    </xdr:to>
    <xdr:grpSp>
      <xdr:nvGrpSpPr>
        <xdr:cNvPr id="2" name="Group 1"/>
        <xdr:cNvGrpSpPr/>
      </xdr:nvGrpSpPr>
      <xdr:grpSpPr>
        <a:xfrm>
          <a:off x="13209586" y="6286500"/>
          <a:ext cx="22794399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33</xdr:row>
      <xdr:rowOff>8997</xdr:rowOff>
    </xdr:from>
    <xdr:to>
      <xdr:col>17</xdr:col>
      <xdr:colOff>314801</xdr:colOff>
      <xdr:row>68</xdr:row>
      <xdr:rowOff>51860</xdr:rowOff>
    </xdr:to>
    <xdr:grpSp>
      <xdr:nvGrpSpPr>
        <xdr:cNvPr id="67" name="Group 66"/>
        <xdr:cNvGrpSpPr/>
      </xdr:nvGrpSpPr>
      <xdr:grpSpPr>
        <a:xfrm>
          <a:off x="3714750" y="6295497"/>
          <a:ext cx="7125176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UK/Copy%20of%20Beef%20Production_UK_%20my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herd"/>
      <sheetName val="Input"/>
      <sheetName val="Output"/>
      <sheetName val="Import &amp; Export"/>
      <sheetName val="Coefficients"/>
      <sheetName val="SEM per week"/>
      <sheetName val="SEM per year (Statistics)"/>
      <sheetName val="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/>
      <sheetData sheetId="1">
        <row r="12">
          <cell r="K12" t="str">
            <v>Kg/year</v>
          </cell>
        </row>
        <row r="25">
          <cell r="K25" t="str">
            <v>Kg/year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5" workbookViewId="0">
      <selection activeCell="M20" sqref="M20"/>
    </sheetView>
  </sheetViews>
  <sheetFormatPr defaultRowHeight="15" x14ac:dyDescent="0.25"/>
  <cols>
    <col min="1" max="1" width="44.42578125" customWidth="1"/>
    <col min="2" max="2" width="53.85546875" customWidth="1"/>
    <col min="4" max="4" width="14.28515625" customWidth="1"/>
    <col min="6" max="6" width="6.140625" customWidth="1"/>
    <col min="10" max="10" width="27.140625" customWidth="1"/>
    <col min="11" max="11" width="25" customWidth="1"/>
    <col min="12" max="12" width="16.7109375" customWidth="1"/>
  </cols>
  <sheetData>
    <row r="1" spans="1:15" x14ac:dyDescent="0.25">
      <c r="A1" s="2" t="s">
        <v>0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J1" s="15" t="s">
        <v>122</v>
      </c>
      <c r="K1" s="16"/>
      <c r="L1" t="s">
        <v>123</v>
      </c>
      <c r="M1" t="s">
        <v>9</v>
      </c>
      <c r="N1" t="s">
        <v>10</v>
      </c>
      <c r="O1" t="s">
        <v>124</v>
      </c>
    </row>
    <row r="2" spans="1:15" x14ac:dyDescent="0.25">
      <c r="A2" t="s">
        <v>48</v>
      </c>
      <c r="B2" t="s">
        <v>50</v>
      </c>
      <c r="C2">
        <v>2013</v>
      </c>
      <c r="D2" t="s">
        <v>51</v>
      </c>
      <c r="E2">
        <v>28090</v>
      </c>
      <c r="G2" t="s">
        <v>24</v>
      </c>
      <c r="J2" s="17"/>
      <c r="K2" t="s">
        <v>125</v>
      </c>
      <c r="L2" t="s">
        <v>126</v>
      </c>
      <c r="M2">
        <f>M14+M25+M38</f>
        <v>12635055.634775</v>
      </c>
    </row>
    <row r="3" spans="1:15" x14ac:dyDescent="0.25">
      <c r="A3" t="s">
        <v>49</v>
      </c>
      <c r="B3" t="s">
        <v>50</v>
      </c>
      <c r="C3">
        <v>2013</v>
      </c>
      <c r="D3" t="s">
        <v>51</v>
      </c>
      <c r="G3" t="s">
        <v>24</v>
      </c>
      <c r="J3" s="17"/>
    </row>
    <row r="4" spans="1:15" x14ac:dyDescent="0.25">
      <c r="J4" s="17"/>
    </row>
    <row r="5" spans="1:15" x14ac:dyDescent="0.25">
      <c r="A5" s="2" t="s">
        <v>1</v>
      </c>
      <c r="B5" s="6" t="s">
        <v>2</v>
      </c>
      <c r="J5" s="17"/>
    </row>
    <row r="6" spans="1:15" x14ac:dyDescent="0.25">
      <c r="B6" t="s">
        <v>52</v>
      </c>
      <c r="D6" t="s">
        <v>53</v>
      </c>
      <c r="E6" s="9">
        <f>74493+294076</f>
        <v>368569</v>
      </c>
      <c r="F6" t="s">
        <v>54</v>
      </c>
      <c r="G6" t="s">
        <v>55</v>
      </c>
      <c r="J6" s="15" t="s">
        <v>122</v>
      </c>
      <c r="K6" s="6" t="s">
        <v>2</v>
      </c>
    </row>
    <row r="7" spans="1:15" x14ac:dyDescent="0.25">
      <c r="B7" t="s">
        <v>56</v>
      </c>
      <c r="D7" t="s">
        <v>57</v>
      </c>
      <c r="E7" s="9">
        <f>2980+11763</f>
        <v>14743</v>
      </c>
      <c r="F7" t="s">
        <v>58</v>
      </c>
      <c r="G7" t="s">
        <v>55</v>
      </c>
      <c r="J7" s="17"/>
    </row>
    <row r="8" spans="1:15" x14ac:dyDescent="0.25">
      <c r="B8" t="s">
        <v>31</v>
      </c>
      <c r="D8" t="s">
        <v>57</v>
      </c>
      <c r="E8" s="9">
        <f>SUM(E6:E7)</f>
        <v>383312</v>
      </c>
      <c r="F8" t="s">
        <v>59</v>
      </c>
      <c r="G8" t="s">
        <v>55</v>
      </c>
      <c r="J8" s="17"/>
    </row>
    <row r="9" spans="1:15" x14ac:dyDescent="0.25">
      <c r="E9" s="9"/>
      <c r="J9" s="17"/>
    </row>
    <row r="10" spans="1:15" x14ac:dyDescent="0.25">
      <c r="B10" t="s">
        <v>60</v>
      </c>
      <c r="C10">
        <v>2010</v>
      </c>
      <c r="D10" t="s">
        <v>61</v>
      </c>
      <c r="E10" s="9">
        <v>484</v>
      </c>
      <c r="F10" t="s">
        <v>62</v>
      </c>
      <c r="G10" t="s">
        <v>55</v>
      </c>
      <c r="J10" s="17"/>
    </row>
    <row r="11" spans="1:15" x14ac:dyDescent="0.25">
      <c r="B11" t="s">
        <v>63</v>
      </c>
      <c r="C11">
        <v>2010</v>
      </c>
      <c r="D11" t="s">
        <v>61</v>
      </c>
      <c r="E11" s="9">
        <v>629</v>
      </c>
      <c r="F11" t="s">
        <v>64</v>
      </c>
      <c r="G11" t="s">
        <v>55</v>
      </c>
      <c r="J11" s="17"/>
    </row>
    <row r="12" spans="1:15" x14ac:dyDescent="0.25">
      <c r="B12" t="s">
        <v>65</v>
      </c>
      <c r="C12">
        <v>2010</v>
      </c>
      <c r="D12" t="s">
        <v>66</v>
      </c>
      <c r="E12" s="10">
        <v>0.03</v>
      </c>
      <c r="F12" t="s">
        <v>67</v>
      </c>
      <c r="G12" t="s">
        <v>55</v>
      </c>
      <c r="J12" s="18"/>
      <c r="K12" t="s">
        <v>127</v>
      </c>
      <c r="L12" t="s">
        <v>126</v>
      </c>
      <c r="M12">
        <f>E7*E11</f>
        <v>9273347</v>
      </c>
    </row>
    <row r="13" spans="1:15" x14ac:dyDescent="0.25">
      <c r="B13" t="s">
        <v>68</v>
      </c>
      <c r="C13">
        <v>2010</v>
      </c>
      <c r="D13" t="s">
        <v>69</v>
      </c>
      <c r="E13" s="9">
        <v>28</v>
      </c>
      <c r="F13" t="s">
        <v>70</v>
      </c>
      <c r="G13" t="s">
        <v>55</v>
      </c>
      <c r="J13" s="17"/>
      <c r="K13" t="s">
        <v>128</v>
      </c>
      <c r="L13" t="s">
        <v>126</v>
      </c>
      <c r="M13">
        <f>E5*E9</f>
        <v>0</v>
      </c>
    </row>
    <row r="14" spans="1:15" x14ac:dyDescent="0.25">
      <c r="B14" t="s">
        <v>71</v>
      </c>
      <c r="C14">
        <v>2010</v>
      </c>
      <c r="D14" t="s">
        <v>66</v>
      </c>
      <c r="E14" s="10">
        <v>0.15</v>
      </c>
      <c r="F14" t="s">
        <v>72</v>
      </c>
      <c r="G14" t="s">
        <v>55</v>
      </c>
      <c r="J14" s="19" t="s">
        <v>129</v>
      </c>
      <c r="K14" t="s">
        <v>130</v>
      </c>
      <c r="L14" t="s">
        <v>126</v>
      </c>
      <c r="M14">
        <f>SUM(M12:M13)</f>
        <v>9273347</v>
      </c>
    </row>
    <row r="15" spans="1:15" x14ac:dyDescent="0.25">
      <c r="B15" s="5" t="s">
        <v>73</v>
      </c>
      <c r="C15">
        <v>2010</v>
      </c>
      <c r="D15" t="s">
        <v>66</v>
      </c>
      <c r="E15" s="10">
        <v>0.93</v>
      </c>
      <c r="F15" t="s">
        <v>74</v>
      </c>
      <c r="G15" t="s">
        <v>55</v>
      </c>
      <c r="J15" s="17"/>
    </row>
    <row r="16" spans="1:15" x14ac:dyDescent="0.25">
      <c r="B16" s="11" t="s">
        <v>75</v>
      </c>
      <c r="C16" s="12"/>
      <c r="D16" s="12" t="s">
        <v>66</v>
      </c>
      <c r="E16" s="10">
        <v>0.93</v>
      </c>
      <c r="F16" s="12"/>
      <c r="G16" s="12" t="s">
        <v>76</v>
      </c>
      <c r="J16" s="17"/>
      <c r="L16" t="s">
        <v>131</v>
      </c>
      <c r="M16">
        <f>M14/1000000000</f>
        <v>9.2733469999999995E-3</v>
      </c>
    </row>
    <row r="17" spans="1:15" x14ac:dyDescent="0.25">
      <c r="B17" s="11" t="s">
        <v>77</v>
      </c>
      <c r="C17" s="12"/>
      <c r="D17" s="12" t="s">
        <v>66</v>
      </c>
      <c r="E17" s="10">
        <v>7.0000000000000007E-2</v>
      </c>
      <c r="F17" s="12"/>
      <c r="G17" s="12"/>
      <c r="J17" s="17"/>
    </row>
    <row r="18" spans="1:15" x14ac:dyDescent="0.25">
      <c r="B18" s="5" t="s">
        <v>78</v>
      </c>
      <c r="D18" t="s">
        <v>53</v>
      </c>
      <c r="E18">
        <f>(E15*E6)/100%</f>
        <v>342769.17000000004</v>
      </c>
      <c r="J18" s="17"/>
    </row>
    <row r="19" spans="1:15" x14ac:dyDescent="0.25">
      <c r="B19" s="5" t="s">
        <v>79</v>
      </c>
      <c r="D19" t="s">
        <v>53</v>
      </c>
      <c r="E19" s="9">
        <f>(E6*E17)/100%</f>
        <v>25799.83</v>
      </c>
      <c r="J19" s="17"/>
    </row>
    <row r="20" spans="1:15" x14ac:dyDescent="0.25">
      <c r="B20" s="6" t="s">
        <v>3</v>
      </c>
      <c r="J20" s="15" t="s">
        <v>122</v>
      </c>
      <c r="K20" s="6" t="s">
        <v>3</v>
      </c>
    </row>
    <row r="21" spans="1:15" x14ac:dyDescent="0.25">
      <c r="E21" s="9"/>
      <c r="J21" s="17"/>
    </row>
    <row r="22" spans="1:15" x14ac:dyDescent="0.25">
      <c r="E22" s="9"/>
      <c r="J22" s="17"/>
    </row>
    <row r="23" spans="1:15" x14ac:dyDescent="0.25">
      <c r="B23" t="s">
        <v>3</v>
      </c>
      <c r="D23" t="s">
        <v>57</v>
      </c>
      <c r="E23" s="9">
        <f>E6*E15*M30</f>
        <v>17138.458500000004</v>
      </c>
      <c r="G23" t="s">
        <v>55</v>
      </c>
      <c r="J23" s="17"/>
      <c r="K23" s="12" t="s">
        <v>132</v>
      </c>
      <c r="L23" t="s">
        <v>126</v>
      </c>
      <c r="M23">
        <f>E23*E26</f>
        <v>3067784.0715000005</v>
      </c>
    </row>
    <row r="24" spans="1:15" x14ac:dyDescent="0.25">
      <c r="B24" t="s">
        <v>80</v>
      </c>
      <c r="D24" t="s">
        <v>61</v>
      </c>
      <c r="E24">
        <v>40</v>
      </c>
      <c r="G24" t="s">
        <v>81</v>
      </c>
      <c r="J24" s="20"/>
      <c r="K24" s="12"/>
      <c r="M24" s="12"/>
      <c r="N24" s="13"/>
      <c r="O24" s="13"/>
    </row>
    <row r="25" spans="1:15" x14ac:dyDescent="0.25">
      <c r="A25" s="13"/>
      <c r="B25" t="s">
        <v>82</v>
      </c>
      <c r="D25" t="s">
        <v>61</v>
      </c>
      <c r="E25" s="12">
        <v>277</v>
      </c>
      <c r="G25" t="s">
        <v>81</v>
      </c>
      <c r="J25" s="21" t="s">
        <v>133</v>
      </c>
      <c r="K25" s="12" t="s">
        <v>134</v>
      </c>
      <c r="L25" t="s">
        <v>126</v>
      </c>
      <c r="M25" s="12">
        <f>SUM(M23:M24)</f>
        <v>3067784.0715000005</v>
      </c>
      <c r="N25" s="13"/>
      <c r="O25" s="13"/>
    </row>
    <row r="26" spans="1:15" x14ac:dyDescent="0.25">
      <c r="A26" s="13"/>
      <c r="B26" t="s">
        <v>83</v>
      </c>
      <c r="D26" t="s">
        <v>61</v>
      </c>
      <c r="E26" s="12">
        <v>179</v>
      </c>
      <c r="G26" t="s">
        <v>81</v>
      </c>
      <c r="J26" s="21"/>
      <c r="K26" s="12"/>
      <c r="M26" s="12"/>
      <c r="N26" s="13"/>
      <c r="O26" s="13"/>
    </row>
    <row r="27" spans="1:15" x14ac:dyDescent="0.25">
      <c r="A27" s="13"/>
      <c r="E27" s="12"/>
      <c r="J27" s="21"/>
      <c r="K27" s="12"/>
      <c r="L27" t="s">
        <v>135</v>
      </c>
      <c r="M27" s="12">
        <f>M25/1000000</f>
        <v>3.0677840715000007</v>
      </c>
      <c r="N27" s="13"/>
      <c r="O27" s="13"/>
    </row>
    <row r="28" spans="1:15" x14ac:dyDescent="0.25">
      <c r="A28" s="13"/>
      <c r="E28" s="12"/>
      <c r="J28" s="20"/>
      <c r="K28" s="12"/>
      <c r="M28" s="12"/>
      <c r="N28" s="13"/>
      <c r="O28" s="13"/>
    </row>
    <row r="29" spans="1:15" x14ac:dyDescent="0.25">
      <c r="A29" s="13"/>
      <c r="E29" s="12"/>
      <c r="J29" s="20"/>
      <c r="K29" s="12" t="s">
        <v>136</v>
      </c>
      <c r="L29" s="12" t="s">
        <v>137</v>
      </c>
      <c r="M29" s="12">
        <f>(E25-E24)/365</f>
        <v>0.64931506849315068</v>
      </c>
      <c r="N29" s="13"/>
      <c r="O29" s="13"/>
    </row>
    <row r="30" spans="1:15" x14ac:dyDescent="0.25">
      <c r="A30" s="13"/>
      <c r="B30" s="12" t="s">
        <v>84</v>
      </c>
      <c r="C30" s="12">
        <v>2010</v>
      </c>
      <c r="D30" s="12" t="s">
        <v>66</v>
      </c>
      <c r="E30" s="10">
        <v>0.1</v>
      </c>
      <c r="F30" s="12"/>
      <c r="G30" s="12" t="s">
        <v>55</v>
      </c>
      <c r="J30" s="20"/>
      <c r="K30" s="12" t="s">
        <v>138</v>
      </c>
      <c r="L30" s="12" t="s">
        <v>66</v>
      </c>
      <c r="M30" s="12">
        <f>E30/2</f>
        <v>0.05</v>
      </c>
      <c r="N30" s="13"/>
      <c r="O30" s="13"/>
    </row>
    <row r="31" spans="1:15" x14ac:dyDescent="0.25">
      <c r="A31" s="13"/>
      <c r="B31" s="12" t="s">
        <v>85</v>
      </c>
      <c r="C31" s="12">
        <v>2010</v>
      </c>
      <c r="D31" s="12" t="s">
        <v>66</v>
      </c>
      <c r="E31" s="10">
        <v>0.1</v>
      </c>
      <c r="F31" s="12"/>
      <c r="G31" s="12" t="s">
        <v>55</v>
      </c>
      <c r="J31" s="20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4"/>
      <c r="F32" s="13"/>
      <c r="G32" s="13"/>
      <c r="J32" s="21"/>
      <c r="K32" s="12"/>
      <c r="L32" s="12"/>
      <c r="M32" s="12"/>
      <c r="N32" s="12"/>
      <c r="O32" s="12"/>
    </row>
    <row r="33" spans="1:15" x14ac:dyDescent="0.25">
      <c r="A33" s="12"/>
      <c r="B33" s="12"/>
      <c r="C33" s="12"/>
      <c r="D33" s="12"/>
      <c r="E33" s="12"/>
      <c r="F33" s="12"/>
      <c r="G33" s="12"/>
      <c r="J33" s="21"/>
      <c r="K33" s="12"/>
      <c r="L33" s="12"/>
      <c r="M33" s="12"/>
      <c r="N33" s="12"/>
      <c r="O33" s="12"/>
    </row>
    <row r="34" spans="1:15" x14ac:dyDescent="0.25">
      <c r="A34" s="12"/>
      <c r="B34" s="12"/>
      <c r="C34" s="12"/>
      <c r="D34" s="12"/>
      <c r="E34" s="12"/>
      <c r="F34" s="12"/>
      <c r="G34" s="12"/>
      <c r="J34" s="15" t="s">
        <v>122</v>
      </c>
      <c r="K34" s="6" t="s">
        <v>4</v>
      </c>
    </row>
    <row r="35" spans="1:15" x14ac:dyDescent="0.25">
      <c r="B35" s="6" t="s">
        <v>4</v>
      </c>
      <c r="J35" s="17"/>
    </row>
    <row r="36" spans="1:15" x14ac:dyDescent="0.25">
      <c r="B36" t="s">
        <v>4</v>
      </c>
      <c r="D36" t="s">
        <v>53</v>
      </c>
      <c r="E36" s="9">
        <f>E23*M43</f>
        <v>856.9229250000003</v>
      </c>
      <c r="G36" t="s">
        <v>55</v>
      </c>
      <c r="J36" s="17"/>
      <c r="K36" t="s">
        <v>139</v>
      </c>
      <c r="M36">
        <f>E36*E40</f>
        <v>293924.56327500008</v>
      </c>
    </row>
    <row r="37" spans="1:15" x14ac:dyDescent="0.25">
      <c r="B37" s="5"/>
      <c r="E37" s="9"/>
      <c r="J37" s="17"/>
    </row>
    <row r="38" spans="1:15" x14ac:dyDescent="0.25">
      <c r="B38" t="s">
        <v>86</v>
      </c>
      <c r="D38" t="s">
        <v>61</v>
      </c>
      <c r="E38" s="12">
        <v>277</v>
      </c>
      <c r="G38" t="s">
        <v>81</v>
      </c>
      <c r="J38" s="21" t="s">
        <v>133</v>
      </c>
      <c r="K38" s="12" t="s">
        <v>140</v>
      </c>
      <c r="L38" s="12" t="s">
        <v>141</v>
      </c>
      <c r="M38" s="12">
        <f>SUM(M36:M37)</f>
        <v>293924.56327500008</v>
      </c>
      <c r="N38" s="13"/>
      <c r="O38" s="13"/>
    </row>
    <row r="39" spans="1:15" x14ac:dyDescent="0.25">
      <c r="A39" s="13"/>
      <c r="B39" t="s">
        <v>87</v>
      </c>
      <c r="D39" t="s">
        <v>61</v>
      </c>
      <c r="E39" s="12">
        <v>388</v>
      </c>
      <c r="G39" t="s">
        <v>81</v>
      </c>
      <c r="J39" s="20"/>
      <c r="K39" s="13"/>
      <c r="L39" s="13"/>
      <c r="M39" s="13"/>
      <c r="N39" s="13"/>
      <c r="O39" s="13"/>
    </row>
    <row r="40" spans="1:15" x14ac:dyDescent="0.25">
      <c r="A40" s="13"/>
      <c r="B40" t="s">
        <v>88</v>
      </c>
      <c r="D40" t="s">
        <v>61</v>
      </c>
      <c r="E40" s="12">
        <v>343</v>
      </c>
      <c r="G40" t="s">
        <v>81</v>
      </c>
      <c r="J40" s="20"/>
      <c r="K40" s="13"/>
      <c r="L40" s="12" t="s">
        <v>135</v>
      </c>
      <c r="M40" s="12">
        <f>M38/1000000</f>
        <v>0.29392456327500011</v>
      </c>
      <c r="N40" s="13"/>
      <c r="O40" s="13"/>
    </row>
    <row r="41" spans="1:15" x14ac:dyDescent="0.25">
      <c r="A41" s="13"/>
      <c r="E41" s="12"/>
      <c r="J41" s="20"/>
      <c r="K41" s="13"/>
      <c r="L41" s="13"/>
      <c r="M41" s="13"/>
      <c r="N41" s="13"/>
      <c r="O41" s="13"/>
    </row>
    <row r="42" spans="1:15" x14ac:dyDescent="0.25">
      <c r="A42" s="13"/>
      <c r="E42" s="12"/>
      <c r="J42" s="20"/>
      <c r="K42" s="12" t="s">
        <v>142</v>
      </c>
      <c r="L42" s="12" t="s">
        <v>137</v>
      </c>
      <c r="M42" s="12">
        <f>(E39-E38)/365</f>
        <v>0.30410958904109592</v>
      </c>
      <c r="N42" s="13"/>
      <c r="O42" s="13"/>
    </row>
    <row r="43" spans="1:15" x14ac:dyDescent="0.25">
      <c r="A43" s="13"/>
      <c r="J43" s="20"/>
      <c r="K43" s="12" t="s">
        <v>143</v>
      </c>
      <c r="L43" s="12" t="s">
        <v>66</v>
      </c>
      <c r="M43" s="12">
        <f>E44/2</f>
        <v>0.05</v>
      </c>
      <c r="N43" s="13"/>
      <c r="O43" s="13"/>
    </row>
    <row r="44" spans="1:15" x14ac:dyDescent="0.25">
      <c r="A44" s="13"/>
      <c r="B44" s="11" t="s">
        <v>84</v>
      </c>
      <c r="C44" s="12">
        <v>2010</v>
      </c>
      <c r="D44" s="12" t="s">
        <v>66</v>
      </c>
      <c r="E44" s="10">
        <v>0.1</v>
      </c>
      <c r="F44" s="12"/>
      <c r="G44" s="12" t="s">
        <v>55</v>
      </c>
      <c r="J44" s="20"/>
      <c r="K44" s="12"/>
      <c r="L44" s="12"/>
      <c r="M44" s="12"/>
      <c r="N44" s="13"/>
      <c r="O44" s="13"/>
    </row>
    <row r="45" spans="1:15" x14ac:dyDescent="0.25">
      <c r="A45" s="13"/>
      <c r="B45" s="12" t="s">
        <v>89</v>
      </c>
      <c r="C45" s="12">
        <v>2010</v>
      </c>
      <c r="D45" s="12" t="s">
        <v>66</v>
      </c>
      <c r="E45" s="10">
        <v>0.1</v>
      </c>
      <c r="F45" s="12"/>
      <c r="G45" s="12" t="s">
        <v>55</v>
      </c>
      <c r="J45" s="17"/>
      <c r="K45" t="s">
        <v>144</v>
      </c>
      <c r="L45" s="12" t="s">
        <v>23</v>
      </c>
      <c r="M45">
        <f>E6*E14</f>
        <v>55285.35</v>
      </c>
    </row>
    <row r="46" spans="1:15" x14ac:dyDescent="0.25">
      <c r="A46" s="2" t="s">
        <v>5</v>
      </c>
      <c r="J46" s="17"/>
      <c r="L46" s="12" t="s">
        <v>141</v>
      </c>
      <c r="M46">
        <f>M45*E39</f>
        <v>21450715.800000001</v>
      </c>
    </row>
    <row r="47" spans="1:15" x14ac:dyDescent="0.25">
      <c r="A47" s="2"/>
      <c r="J47" s="17"/>
      <c r="L47" s="12" t="s">
        <v>135</v>
      </c>
      <c r="M47">
        <f>M46/1000000</f>
        <v>21.450715800000001</v>
      </c>
    </row>
    <row r="48" spans="1:15" x14ac:dyDescent="0.25">
      <c r="B48" t="s">
        <v>90</v>
      </c>
      <c r="C48" t="s">
        <v>91</v>
      </c>
      <c r="D48" t="s">
        <v>92</v>
      </c>
      <c r="E48">
        <f>'Variables calculations'!D3*(E10)^0.75</f>
        <v>39.831010632420579</v>
      </c>
      <c r="G48" t="s">
        <v>93</v>
      </c>
      <c r="J48" s="17"/>
    </row>
    <row r="49" spans="2:7" x14ac:dyDescent="0.25">
      <c r="B49" t="s">
        <v>94</v>
      </c>
      <c r="C49" t="s">
        <v>91</v>
      </c>
      <c r="D49" t="s">
        <v>92</v>
      </c>
      <c r="E49">
        <f>'Variables calculations'!D2*('Data herd'!E10)^0.75</f>
        <v>33.22690524258919</v>
      </c>
      <c r="G49" t="s">
        <v>93</v>
      </c>
    </row>
    <row r="50" spans="2:7" x14ac:dyDescent="0.25">
      <c r="B50" t="s">
        <v>95</v>
      </c>
      <c r="C50" t="s">
        <v>91</v>
      </c>
      <c r="D50" t="s">
        <v>92</v>
      </c>
      <c r="E50">
        <f>'Variables calculations'!D4*('Data herd'!E11)^0.75</f>
        <v>46.471822871902113</v>
      </c>
      <c r="G50" t="s">
        <v>93</v>
      </c>
    </row>
    <row r="51" spans="2:7" x14ac:dyDescent="0.25">
      <c r="B51" t="s">
        <v>96</v>
      </c>
      <c r="C51" t="s">
        <v>91</v>
      </c>
      <c r="D51" t="s">
        <v>92</v>
      </c>
      <c r="E51">
        <f>'Variables calculations'!D2*('Data herd'!E26)^0.75</f>
        <v>15.757802208705906</v>
      </c>
      <c r="G51" t="s">
        <v>93</v>
      </c>
    </row>
    <row r="52" spans="2:7" x14ac:dyDescent="0.25">
      <c r="B52" t="s">
        <v>97</v>
      </c>
      <c r="C52" t="s">
        <v>91</v>
      </c>
      <c r="D52" t="s">
        <v>92</v>
      </c>
      <c r="E52">
        <f>'Variables calculations'!D2*('Data herd'!E40)^0.75</f>
        <v>25.664124990467663</v>
      </c>
      <c r="G52" t="s">
        <v>93</v>
      </c>
    </row>
    <row r="53" spans="2:7" x14ac:dyDescent="0.25">
      <c r="B53" t="s">
        <v>98</v>
      </c>
      <c r="C53" t="s">
        <v>91</v>
      </c>
      <c r="D53" t="s">
        <v>92</v>
      </c>
      <c r="E53">
        <f>'Variables calculations'!D4*('Data herd'!E40)^0.75</f>
        <v>29.489833063580853</v>
      </c>
      <c r="G53" t="s">
        <v>93</v>
      </c>
    </row>
    <row r="55" spans="2:7" x14ac:dyDescent="0.25">
      <c r="B55" t="s">
        <v>99</v>
      </c>
      <c r="D55" t="s">
        <v>92</v>
      </c>
      <c r="E55">
        <f>'Variables calculations'!$D$6*('Data herd'!E48)</f>
        <v>6.771271807511499</v>
      </c>
      <c r="G55" t="s">
        <v>93</v>
      </c>
    </row>
    <row r="56" spans="2:7" x14ac:dyDescent="0.25">
      <c r="B56" t="s">
        <v>100</v>
      </c>
      <c r="D56" t="s">
        <v>92</v>
      </c>
      <c r="E56">
        <f>'Variables calculations'!$D$6*('Data herd'!E49)</f>
        <v>5.6485738912401624</v>
      </c>
    </row>
    <row r="57" spans="2:7" x14ac:dyDescent="0.25">
      <c r="B57" t="s">
        <v>101</v>
      </c>
      <c r="D57" t="s">
        <v>92</v>
      </c>
      <c r="E57">
        <f>'Variables calculations'!$D$6*('Data herd'!E50)</f>
        <v>7.90020988822336</v>
      </c>
      <c r="G57" t="s">
        <v>93</v>
      </c>
    </row>
    <row r="58" spans="2:7" x14ac:dyDescent="0.25">
      <c r="B58" t="s">
        <v>102</v>
      </c>
      <c r="D58" t="s">
        <v>92</v>
      </c>
      <c r="E58">
        <f>'Variables calculations'!$D$6*('Data herd'!E51)</f>
        <v>2.6788263754800044</v>
      </c>
      <c r="G58" t="s">
        <v>93</v>
      </c>
    </row>
    <row r="59" spans="2:7" x14ac:dyDescent="0.25">
      <c r="B59" t="s">
        <v>103</v>
      </c>
      <c r="D59" t="s">
        <v>92</v>
      </c>
      <c r="E59">
        <f>'Variables calculations'!$D$6*('Data herd'!E52)</f>
        <v>4.3629012483795027</v>
      </c>
      <c r="G59" t="s">
        <v>93</v>
      </c>
    </row>
    <row r="60" spans="2:7" x14ac:dyDescent="0.25">
      <c r="B60" t="s">
        <v>104</v>
      </c>
      <c r="D60" t="s">
        <v>92</v>
      </c>
      <c r="E60">
        <f>'Variables calculations'!$D$6*('Data herd'!E53)</f>
        <v>5.0132716208087453</v>
      </c>
    </row>
    <row r="62" spans="2:7" x14ac:dyDescent="0.25">
      <c r="B62" t="s">
        <v>105</v>
      </c>
      <c r="D62" t="s">
        <v>92</v>
      </c>
      <c r="E62">
        <f>22.02*((E26/('Variables calculations'!D9*E10))^0.75)*(M29^1.097)</f>
        <v>7.6872187497771272</v>
      </c>
      <c r="G62" t="s">
        <v>93</v>
      </c>
    </row>
    <row r="63" spans="2:7" x14ac:dyDescent="0.25">
      <c r="B63" t="s">
        <v>106</v>
      </c>
      <c r="D63" t="s">
        <v>92</v>
      </c>
      <c r="E63">
        <f>22.02*((E40/('Variables calculations'!D9*E10))^0.75)*(M42^1.097)</f>
        <v>5.4477908837843181</v>
      </c>
      <c r="G63" t="s">
        <v>93</v>
      </c>
    </row>
    <row r="64" spans="2:7" x14ac:dyDescent="0.25">
      <c r="B64" t="s">
        <v>107</v>
      </c>
      <c r="D64" t="s">
        <v>92</v>
      </c>
      <c r="E64">
        <f>22.02*((E40/('Variables calculations'!D10*E10))^0.75)*(M42^1.097)</f>
        <v>4.0193144489282266</v>
      </c>
      <c r="G64" t="s">
        <v>93</v>
      </c>
    </row>
    <row r="67" spans="2:7" x14ac:dyDescent="0.25">
      <c r="B67" t="s">
        <v>108</v>
      </c>
      <c r="D67" t="s">
        <v>92</v>
      </c>
      <c r="E67">
        <f>'Variables calculations'!D18*(1.47+0.4*'Variables calculations'!D17)</f>
        <v>64.050038356164379</v>
      </c>
      <c r="G67" t="s">
        <v>93</v>
      </c>
    </row>
    <row r="70" spans="2:7" x14ac:dyDescent="0.25">
      <c r="B70" t="s">
        <v>109</v>
      </c>
      <c r="D70" t="s">
        <v>92</v>
      </c>
      <c r="E70">
        <f>'Variables calculations'!D20*E48</f>
        <v>3.9831010632420583</v>
      </c>
      <c r="G70" t="s">
        <v>93</v>
      </c>
    </row>
    <row r="73" spans="2:7" x14ac:dyDescent="0.25">
      <c r="B73" t="s">
        <v>110</v>
      </c>
      <c r="D73" t="s">
        <v>92</v>
      </c>
      <c r="E73">
        <f>(1.123-(4.092*10^-3*'Variables calculations'!D12)+(1.126*10^-5*('Variables calculations'!D12)^2)-(25.4/'Variables calculations'!D12))</f>
        <v>0.51382426923076929</v>
      </c>
      <c r="G73" t="s">
        <v>93</v>
      </c>
    </row>
    <row r="74" spans="2:7" x14ac:dyDescent="0.25">
      <c r="B74" t="s">
        <v>111</v>
      </c>
      <c r="D74" t="s">
        <v>92</v>
      </c>
      <c r="E74">
        <f>(1.123-(4.092*10^-3*'Variables calculations'!D13)+(1.126*10^-5*('Variables calculations'!D13)^2)-(25.4/'Variables calculations'!D13))</f>
        <v>0.54077083333333342</v>
      </c>
      <c r="G74" t="s">
        <v>93</v>
      </c>
    </row>
    <row r="75" spans="2:7" x14ac:dyDescent="0.25">
      <c r="B75" t="s">
        <v>112</v>
      </c>
      <c r="D75" t="s">
        <v>92</v>
      </c>
      <c r="E75">
        <f>(1.123-(4.092*10^-3*'Variables calculations'!D14)+(1.126*10^-5*('Variables calculations'!D14)^2)-(25.4/'Variables calculations'!D14))</f>
        <v>0.52887685714285726</v>
      </c>
      <c r="G75" t="s">
        <v>93</v>
      </c>
    </row>
    <row r="77" spans="2:7" x14ac:dyDescent="0.25">
      <c r="B77" t="s">
        <v>113</v>
      </c>
      <c r="D77" t="s">
        <v>92</v>
      </c>
      <c r="E77">
        <f>(1.1164-(5.16*10^-3*'Variables calculations'!D12)+(1.308*10^-5*('Variables calculations'!D12)^2)-37.4/'Variables calculations'!D12)</f>
        <v>0.2608783846153846</v>
      </c>
      <c r="G77" t="s">
        <v>93</v>
      </c>
    </row>
    <row r="78" spans="2:7" x14ac:dyDescent="0.25">
      <c r="B78" t="s">
        <v>114</v>
      </c>
      <c r="D78" t="s">
        <v>92</v>
      </c>
      <c r="E78">
        <f>(1.1164-(5.16*10^-3*'Variables calculations'!D13)+(1.308*10^-5*('Variables calculations'!D13)^2)-37.4/'Variables calculations'!D13)</f>
        <v>0.30430833333333346</v>
      </c>
      <c r="G78" t="s">
        <v>93</v>
      </c>
    </row>
    <row r="79" spans="2:7" x14ac:dyDescent="0.25">
      <c r="B79" t="s">
        <v>115</v>
      </c>
      <c r="D79" t="s">
        <v>92</v>
      </c>
      <c r="E79">
        <f>(1.1164-(5.16*10^-3*'Variables calculations'!D14)+(1.308*10^-5*('Variables calculations'!D14)^2)-37.4/'Variables calculations'!D14)</f>
        <v>0.28500628571428588</v>
      </c>
      <c r="G79" t="s">
        <v>93</v>
      </c>
    </row>
    <row r="82" spans="2:7" x14ac:dyDescent="0.25">
      <c r="B82" t="s">
        <v>116</v>
      </c>
      <c r="D82" t="s">
        <v>92</v>
      </c>
      <c r="E82">
        <f>(((E48+E55+E67+E70)/E73)/('Variables calculations'!D12/100))</f>
        <v>343.23444421948358</v>
      </c>
      <c r="G82" t="s">
        <v>93</v>
      </c>
    </row>
    <row r="83" spans="2:7" x14ac:dyDescent="0.25">
      <c r="B83" t="s">
        <v>117</v>
      </c>
      <c r="D83" t="s">
        <v>92</v>
      </c>
      <c r="E83" s="11">
        <f>(((E49+E55)/E73)/('Variables calculations'!D12/100))</f>
        <v>119.76012167015399</v>
      </c>
      <c r="G83" t="s">
        <v>93</v>
      </c>
    </row>
    <row r="84" spans="2:7" x14ac:dyDescent="0.25">
      <c r="B84" t="s">
        <v>118</v>
      </c>
      <c r="D84" t="s">
        <v>92</v>
      </c>
      <c r="E84">
        <f>(((E50+E57)/E73)/('Variables calculations'!D12/100))</f>
        <v>162.79745076006742</v>
      </c>
      <c r="G84" t="s">
        <v>93</v>
      </c>
    </row>
    <row r="85" spans="2:7" x14ac:dyDescent="0.25">
      <c r="B85" t="s">
        <v>119</v>
      </c>
      <c r="D85" t="s">
        <v>92</v>
      </c>
      <c r="E85" s="11">
        <f>(((E51+E58)/E74)+(E62/E78))/('Variables calculations'!D13/100)</f>
        <v>79.139360208788162</v>
      </c>
      <c r="G85" t="s">
        <v>93</v>
      </c>
    </row>
    <row r="86" spans="2:7" x14ac:dyDescent="0.25">
      <c r="B86" t="s">
        <v>120</v>
      </c>
      <c r="D86" t="s">
        <v>92</v>
      </c>
      <c r="E86" s="11">
        <f>(((E52+E59)/E75)+(E63/E79))/('Variables calculations'!D14/100)</f>
        <v>108.41387835102427</v>
      </c>
      <c r="G86" t="s">
        <v>93</v>
      </c>
    </row>
    <row r="87" spans="2:7" x14ac:dyDescent="0.25">
      <c r="B87" t="s">
        <v>121</v>
      </c>
      <c r="D87" t="s">
        <v>92</v>
      </c>
      <c r="E87">
        <f>(((E53+E59)/E75)+(E64/E79))/('Variables calculations'!D14/100)</f>
        <v>111.58753368677266</v>
      </c>
      <c r="G87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2" sqref="M3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W63" sqref="W6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opLeftCell="A135" zoomScale="90" zoomScaleNormal="90" workbookViewId="0">
      <selection activeCell="R154" sqref="R154"/>
    </sheetView>
  </sheetViews>
  <sheetFormatPr defaultRowHeight="15" x14ac:dyDescent="0.25"/>
  <cols>
    <col min="1" max="1" width="25.5703125" customWidth="1"/>
    <col min="4" max="4" width="24" customWidth="1"/>
    <col min="6" max="6" width="16.140625" customWidth="1"/>
    <col min="8" max="8" width="12.42578125" customWidth="1"/>
    <col min="14" max="14" width="35.85546875" style="17" customWidth="1"/>
    <col min="15" max="15" width="22.140625" customWidth="1"/>
    <col min="17" max="17" width="22.28515625" customWidth="1"/>
    <col min="18" max="18" width="18.140625" customWidth="1"/>
  </cols>
  <sheetData>
    <row r="1" spans="1:20" ht="15.75" thickTop="1" x14ac:dyDescent="0.25">
      <c r="A1" s="2" t="s">
        <v>13</v>
      </c>
      <c r="N1" s="31" t="s">
        <v>222</v>
      </c>
      <c r="O1" s="8" t="s">
        <v>28</v>
      </c>
      <c r="P1" s="8" t="s">
        <v>7</v>
      </c>
      <c r="Q1" s="8" t="s">
        <v>8</v>
      </c>
      <c r="R1" s="8" t="s">
        <v>9</v>
      </c>
      <c r="S1" s="32" t="s">
        <v>29</v>
      </c>
      <c r="T1" s="8" t="s">
        <v>124</v>
      </c>
    </row>
    <row r="2" spans="1:20" s="4" customFormat="1" x14ac:dyDescent="0.25">
      <c r="A2" s="3"/>
      <c r="N2" s="19"/>
    </row>
    <row r="3" spans="1:20" s="4" customFormat="1" x14ac:dyDescent="0.25">
      <c r="A3" s="3"/>
      <c r="N3" s="19"/>
    </row>
    <row r="4" spans="1:20" s="4" customFormat="1" x14ac:dyDescent="0.25">
      <c r="A4" s="2" t="s">
        <v>14</v>
      </c>
      <c r="N4" s="19"/>
    </row>
    <row r="5" spans="1:20" s="4" customFormat="1" x14ac:dyDescent="0.25">
      <c r="A5" s="3"/>
      <c r="N5" s="19"/>
    </row>
    <row r="6" spans="1:20" s="4" customFormat="1" ht="15.75" thickBot="1" x14ac:dyDescent="0.3">
      <c r="A6" s="3"/>
      <c r="N6" s="19"/>
    </row>
    <row r="7" spans="1:20" s="4" customFormat="1" ht="15.75" thickTop="1" x14ac:dyDescent="0.25">
      <c r="A7" s="2" t="s">
        <v>15</v>
      </c>
      <c r="N7" s="31" t="s">
        <v>222</v>
      </c>
      <c r="O7" s="8" t="s">
        <v>28</v>
      </c>
      <c r="P7" s="8" t="s">
        <v>7</v>
      </c>
      <c r="Q7" s="8" t="s">
        <v>8</v>
      </c>
      <c r="R7" s="8" t="s">
        <v>9</v>
      </c>
      <c r="S7" s="32" t="s">
        <v>29</v>
      </c>
      <c r="T7" s="8" t="s">
        <v>124</v>
      </c>
    </row>
    <row r="8" spans="1:20" s="4" customFormat="1" x14ac:dyDescent="0.25">
      <c r="A8" s="6" t="s">
        <v>2</v>
      </c>
      <c r="N8" s="33" t="s">
        <v>2</v>
      </c>
      <c r="O8"/>
      <c r="P8"/>
      <c r="Q8"/>
      <c r="R8"/>
      <c r="S8"/>
      <c r="T8"/>
    </row>
    <row r="9" spans="1:20" s="5" customFormat="1" x14ac:dyDescent="0.25">
      <c r="N9" s="17" t="s">
        <v>193</v>
      </c>
      <c r="O9" t="s">
        <v>196</v>
      </c>
      <c r="P9"/>
      <c r="Q9" t="s">
        <v>223</v>
      </c>
      <c r="R9">
        <f>'Variables calculations'!D45</f>
        <v>16.80566008418775</v>
      </c>
      <c r="S9"/>
      <c r="T9" t="s">
        <v>224</v>
      </c>
    </row>
    <row r="10" spans="1:20" s="5" customFormat="1" x14ac:dyDescent="0.25">
      <c r="N10" s="17"/>
      <c r="O10" t="s">
        <v>197</v>
      </c>
      <c r="P10"/>
      <c r="Q10" t="s">
        <v>223</v>
      </c>
      <c r="R10">
        <f>'Variables calculations'!D46</f>
        <v>0</v>
      </c>
      <c r="S10"/>
      <c r="T10" t="s">
        <v>224</v>
      </c>
    </row>
    <row r="11" spans="1:20" s="5" customFormat="1" x14ac:dyDescent="0.25">
      <c r="A11" s="6" t="s">
        <v>3</v>
      </c>
      <c r="N11" s="17"/>
      <c r="O11" t="s">
        <v>225</v>
      </c>
      <c r="P11"/>
      <c r="Q11" t="s">
        <v>223</v>
      </c>
      <c r="R11">
        <f>'Variables calculations'!D47</f>
        <v>1.4668461995699924</v>
      </c>
      <c r="S11"/>
      <c r="T11" t="s">
        <v>224</v>
      </c>
    </row>
    <row r="12" spans="1:20" s="5" customFormat="1" x14ac:dyDescent="0.25">
      <c r="N12" s="34"/>
      <c r="O12" s="4"/>
      <c r="P12" s="4"/>
      <c r="Q12" s="4"/>
      <c r="R12" s="4"/>
      <c r="S12" s="4"/>
      <c r="T12" s="4"/>
    </row>
    <row r="13" spans="1:20" s="5" customFormat="1" x14ac:dyDescent="0.25">
      <c r="A13" s="6" t="s">
        <v>4</v>
      </c>
      <c r="N13" s="17" t="s">
        <v>199</v>
      </c>
      <c r="O13" t="s">
        <v>196</v>
      </c>
      <c r="P13"/>
      <c r="Q13" t="s">
        <v>223</v>
      </c>
      <c r="R13">
        <f>'Variables calculations'!D51</f>
        <v>5.8637701732014236</v>
      </c>
      <c r="S13"/>
      <c r="T13" t="s">
        <v>224</v>
      </c>
    </row>
    <row r="14" spans="1:20" s="5" customFormat="1" x14ac:dyDescent="0.25">
      <c r="N14" s="17"/>
      <c r="O14" t="s">
        <v>197</v>
      </c>
      <c r="P14"/>
      <c r="Q14" t="s">
        <v>223</v>
      </c>
      <c r="R14">
        <f>'Variables calculations'!D52</f>
        <v>0</v>
      </c>
      <c r="S14"/>
      <c r="T14" t="s">
        <v>224</v>
      </c>
    </row>
    <row r="15" spans="1:20" x14ac:dyDescent="0.25">
      <c r="O15" t="s">
        <v>225</v>
      </c>
      <c r="Q15" t="s">
        <v>223</v>
      </c>
      <c r="R15">
        <f>'Variables calculations'!D53</f>
        <v>0.51180667409816272</v>
      </c>
      <c r="T15" t="s">
        <v>224</v>
      </c>
    </row>
    <row r="17" spans="14:20" x14ac:dyDescent="0.25">
      <c r="N17" s="17" t="s">
        <v>200</v>
      </c>
      <c r="O17" t="s">
        <v>196</v>
      </c>
      <c r="Q17" t="s">
        <v>223</v>
      </c>
      <c r="R17">
        <f>'Variables calculations'!D77</f>
        <v>7.9709908668038114</v>
      </c>
      <c r="T17" t="s">
        <v>224</v>
      </c>
    </row>
    <row r="18" spans="14:20" x14ac:dyDescent="0.25">
      <c r="O18" t="s">
        <v>197</v>
      </c>
      <c r="Q18" t="s">
        <v>223</v>
      </c>
      <c r="R18">
        <f>'Variables calculations'!D78</f>
        <v>0</v>
      </c>
      <c r="T18" t="s">
        <v>224</v>
      </c>
    </row>
    <row r="19" spans="14:20" x14ac:dyDescent="0.25">
      <c r="O19" t="s">
        <v>225</v>
      </c>
      <c r="Q19" t="s">
        <v>223</v>
      </c>
      <c r="R19">
        <f>'Variables calculations'!D79</f>
        <v>0.69573093833900401</v>
      </c>
      <c r="T19" t="s">
        <v>224</v>
      </c>
    </row>
    <row r="21" spans="14:20" x14ac:dyDescent="0.25">
      <c r="N21" s="17" t="s">
        <v>193</v>
      </c>
      <c r="O21" t="s">
        <v>196</v>
      </c>
      <c r="Q21" t="s">
        <v>141</v>
      </c>
      <c r="R21">
        <f>R9*365*'Data herd'!$E$18</f>
        <v>2102568687.8010955</v>
      </c>
    </row>
    <row r="22" spans="14:20" x14ac:dyDescent="0.25">
      <c r="O22" t="s">
        <v>197</v>
      </c>
      <c r="Q22" t="s">
        <v>141</v>
      </c>
      <c r="R22">
        <f>R10*365*'Data herd'!$E$18</f>
        <v>0</v>
      </c>
    </row>
    <row r="23" spans="14:20" x14ac:dyDescent="0.25">
      <c r="O23" t="s">
        <v>226</v>
      </c>
      <c r="Q23" t="s">
        <v>141</v>
      </c>
      <c r="R23">
        <f>R11*365*'Data herd'!$E$18</f>
        <v>183518223.83565518</v>
      </c>
    </row>
    <row r="25" spans="14:20" x14ac:dyDescent="0.25">
      <c r="N25" s="17" t="s">
        <v>199</v>
      </c>
      <c r="O25" t="s">
        <v>196</v>
      </c>
      <c r="Q25" t="s">
        <v>141</v>
      </c>
      <c r="R25">
        <f>R13*365*('Data herd'!$E$19)</f>
        <v>55218759.874098562</v>
      </c>
    </row>
    <row r="26" spans="14:20" x14ac:dyDescent="0.25">
      <c r="O26" t="s">
        <v>197</v>
      </c>
      <c r="Q26" t="s">
        <v>141</v>
      </c>
      <c r="R26">
        <f>R14*365*('Data herd'!$E$19)</f>
        <v>0</v>
      </c>
    </row>
    <row r="27" spans="14:20" x14ac:dyDescent="0.25">
      <c r="O27" t="s">
        <v>225</v>
      </c>
      <c r="Q27" t="s">
        <v>141</v>
      </c>
      <c r="R27">
        <f>R15*365*('Data herd'!$E$19)</f>
        <v>4819651.6923782704</v>
      </c>
    </row>
    <row r="29" spans="14:20" x14ac:dyDescent="0.25">
      <c r="N29" s="17" t="s">
        <v>200</v>
      </c>
      <c r="O29" t="s">
        <v>196</v>
      </c>
      <c r="Q29" t="s">
        <v>141</v>
      </c>
      <c r="R29">
        <f>R17*365*'Data herd'!$E$7</f>
        <v>42893456.197490335</v>
      </c>
    </row>
    <row r="30" spans="14:20" x14ac:dyDescent="0.25">
      <c r="O30" t="s">
        <v>197</v>
      </c>
      <c r="Q30" t="s">
        <v>141</v>
      </c>
      <c r="R30">
        <f>R18*365*'Data herd'!$E$7</f>
        <v>0</v>
      </c>
    </row>
    <row r="31" spans="14:20" x14ac:dyDescent="0.25">
      <c r="O31" t="s">
        <v>225</v>
      </c>
      <c r="Q31" t="s">
        <v>141</v>
      </c>
      <c r="R31">
        <f>R19*365*'Data herd'!$E$7</f>
        <v>3743863.8467351566</v>
      </c>
    </row>
    <row r="33" spans="14:20" x14ac:dyDescent="0.25">
      <c r="N33" s="17" t="s">
        <v>227</v>
      </c>
      <c r="O33" t="s">
        <v>196</v>
      </c>
      <c r="Q33" t="s">
        <v>141</v>
      </c>
      <c r="R33">
        <f>R21+R25+R29</f>
        <v>2200680903.8726845</v>
      </c>
    </row>
    <row r="34" spans="14:20" x14ac:dyDescent="0.25">
      <c r="O34" t="s">
        <v>197</v>
      </c>
      <c r="Q34" t="s">
        <v>141</v>
      </c>
      <c r="R34">
        <f>R22+R26+R30</f>
        <v>0</v>
      </c>
    </row>
    <row r="35" spans="14:20" x14ac:dyDescent="0.25">
      <c r="O35" t="s">
        <v>225</v>
      </c>
      <c r="Q35" t="s">
        <v>141</v>
      </c>
      <c r="R35">
        <f>R23+R27+R31</f>
        <v>192081739.37476861</v>
      </c>
    </row>
    <row r="36" spans="14:20" x14ac:dyDescent="0.25">
      <c r="O36" t="s">
        <v>228</v>
      </c>
      <c r="Q36" t="s">
        <v>141</v>
      </c>
      <c r="R36">
        <f>SUM(R33:R35)</f>
        <v>2392762643.2474532</v>
      </c>
    </row>
    <row r="38" spans="14:20" x14ac:dyDescent="0.25">
      <c r="N38" s="17" t="s">
        <v>227</v>
      </c>
      <c r="O38" t="s">
        <v>196</v>
      </c>
      <c r="Q38" t="s">
        <v>131</v>
      </c>
      <c r="R38">
        <f>R33/1000000000</f>
        <v>2.2006809038726844</v>
      </c>
    </row>
    <row r="39" spans="14:20" x14ac:dyDescent="0.25">
      <c r="O39" t="s">
        <v>197</v>
      </c>
      <c r="Q39" t="s">
        <v>131</v>
      </c>
      <c r="R39">
        <f t="shared" ref="R39:R40" si="0">R34/1000000000</f>
        <v>0</v>
      </c>
    </row>
    <row r="40" spans="14:20" x14ac:dyDescent="0.25">
      <c r="O40" t="s">
        <v>225</v>
      </c>
      <c r="Q40" t="s">
        <v>131</v>
      </c>
      <c r="R40">
        <f t="shared" si="0"/>
        <v>0.19208173937476861</v>
      </c>
    </row>
    <row r="41" spans="14:20" x14ac:dyDescent="0.25">
      <c r="O41" t="s">
        <v>228</v>
      </c>
      <c r="Q41" t="s">
        <v>131</v>
      </c>
      <c r="R41">
        <f>R36/1000000000</f>
        <v>2.3927626432474534</v>
      </c>
    </row>
    <row r="42" spans="14:20" x14ac:dyDescent="0.25">
      <c r="N42" s="33" t="s">
        <v>3</v>
      </c>
    </row>
    <row r="43" spans="14:20" x14ac:dyDescent="0.25">
      <c r="N43" s="34"/>
      <c r="O43" t="s">
        <v>196</v>
      </c>
      <c r="Q43" t="s">
        <v>223</v>
      </c>
      <c r="R43">
        <f>'Variables calculations'!D106</f>
        <v>2.5926117931367823</v>
      </c>
      <c r="T43" t="s">
        <v>224</v>
      </c>
    </row>
    <row r="44" spans="14:20" x14ac:dyDescent="0.25">
      <c r="N44" s="34"/>
      <c r="O44" t="s">
        <v>197</v>
      </c>
      <c r="Q44" t="s">
        <v>223</v>
      </c>
      <c r="R44">
        <f>'Variables calculations'!D107</f>
        <v>0.2417610134226385</v>
      </c>
      <c r="T44" t="s">
        <v>224</v>
      </c>
    </row>
    <row r="45" spans="14:20" x14ac:dyDescent="0.25">
      <c r="N45" s="34"/>
      <c r="O45" t="s">
        <v>226</v>
      </c>
      <c r="Q45" t="s">
        <v>223</v>
      </c>
      <c r="R45">
        <f>'Variables calculations'!D108</f>
        <v>0.137220246312663</v>
      </c>
      <c r="T45" t="s">
        <v>224</v>
      </c>
    </row>
    <row r="46" spans="14:20" x14ac:dyDescent="0.25">
      <c r="N46" s="34"/>
      <c r="O46" t="s">
        <v>229</v>
      </c>
      <c r="Q46" t="s">
        <v>223</v>
      </c>
      <c r="R46">
        <f>'Variables calculations'!D109</f>
        <v>1.4223628724668225</v>
      </c>
      <c r="T46" t="s">
        <v>224</v>
      </c>
    </row>
    <row r="47" spans="14:20" x14ac:dyDescent="0.25">
      <c r="N47" s="34"/>
      <c r="O47" t="s">
        <v>31</v>
      </c>
      <c r="Q47" t="s">
        <v>223</v>
      </c>
      <c r="R47">
        <f>'Variables calculations'!D110</f>
        <v>4.393955925338906</v>
      </c>
    </row>
    <row r="48" spans="14:20" x14ac:dyDescent="0.25">
      <c r="N48" s="34"/>
    </row>
    <row r="49" spans="14:20" x14ac:dyDescent="0.25">
      <c r="N49" s="34"/>
      <c r="O49" t="s">
        <v>196</v>
      </c>
      <c r="Q49" t="s">
        <v>141</v>
      </c>
      <c r="R49">
        <f>R43*365*'Data herd'!$E$23</f>
        <v>16218179.912499148</v>
      </c>
    </row>
    <row r="50" spans="14:20" x14ac:dyDescent="0.25">
      <c r="N50" s="34"/>
      <c r="O50" t="s">
        <v>197</v>
      </c>
      <c r="Q50" t="s">
        <v>141</v>
      </c>
      <c r="R50">
        <f>R44*365*'Data herd'!$E$23</f>
        <v>1512345.0498435693</v>
      </c>
    </row>
    <row r="51" spans="14:20" x14ac:dyDescent="0.25">
      <c r="N51" s="34"/>
      <c r="O51" t="s">
        <v>226</v>
      </c>
      <c r="Q51" t="s">
        <v>141</v>
      </c>
      <c r="R51">
        <f>R45*365*'Data herd'!$E$23</f>
        <v>858386.37632811407</v>
      </c>
    </row>
    <row r="52" spans="14:20" x14ac:dyDescent="0.25">
      <c r="N52" s="34"/>
      <c r="O52" t="s">
        <v>229</v>
      </c>
      <c r="Q52" t="s">
        <v>141</v>
      </c>
      <c r="R52">
        <f>R46*365*'Data herd'!$E$23</f>
        <v>8897644.0775254052</v>
      </c>
    </row>
    <row r="53" spans="14:20" x14ac:dyDescent="0.25">
      <c r="N53" s="34"/>
      <c r="O53" t="s">
        <v>230</v>
      </c>
      <c r="Q53" t="s">
        <v>141</v>
      </c>
      <c r="R53">
        <f>R47*365*'Data herd'!$E$23</f>
        <v>27486555.416196235</v>
      </c>
    </row>
    <row r="54" spans="14:20" x14ac:dyDescent="0.25">
      <c r="N54" s="34"/>
    </row>
    <row r="55" spans="14:20" x14ac:dyDescent="0.25">
      <c r="N55" s="34"/>
      <c r="O55" t="s">
        <v>196</v>
      </c>
      <c r="Q55" t="s">
        <v>131</v>
      </c>
      <c r="R55">
        <f>R49/1000000000</f>
        <v>1.6218179912499148E-2</v>
      </c>
    </row>
    <row r="56" spans="14:20" x14ac:dyDescent="0.25">
      <c r="O56" t="s">
        <v>197</v>
      </c>
      <c r="Q56" t="s">
        <v>131</v>
      </c>
      <c r="R56">
        <f t="shared" ref="R56:R58" si="1">R50/1000000000</f>
        <v>1.5123450498435694E-3</v>
      </c>
    </row>
    <row r="57" spans="14:20" x14ac:dyDescent="0.25">
      <c r="O57" t="s">
        <v>226</v>
      </c>
      <c r="Q57" t="s">
        <v>131</v>
      </c>
      <c r="R57">
        <f t="shared" si="1"/>
        <v>8.5838637632811412E-4</v>
      </c>
    </row>
    <row r="58" spans="14:20" x14ac:dyDescent="0.25">
      <c r="O58" t="s">
        <v>229</v>
      </c>
      <c r="Q58" t="s">
        <v>131</v>
      </c>
      <c r="R58">
        <f t="shared" si="1"/>
        <v>8.8976440775254059E-3</v>
      </c>
    </row>
    <row r="59" spans="14:20" x14ac:dyDescent="0.25">
      <c r="O59" t="s">
        <v>230</v>
      </c>
      <c r="Q59" t="s">
        <v>131</v>
      </c>
      <c r="R59">
        <f>R53/1000000000</f>
        <v>2.7486555416196233E-2</v>
      </c>
    </row>
    <row r="62" spans="14:20" x14ac:dyDescent="0.25">
      <c r="N62" s="33" t="s">
        <v>4</v>
      </c>
    </row>
    <row r="63" spans="14:20" x14ac:dyDescent="0.25">
      <c r="N63" s="17" t="s">
        <v>220</v>
      </c>
      <c r="O63" t="s">
        <v>196</v>
      </c>
      <c r="Q63" t="s">
        <v>223</v>
      </c>
      <c r="R63">
        <f>'Variables calculations'!D138</f>
        <v>5.308228293110135</v>
      </c>
      <c r="T63" t="s">
        <v>224</v>
      </c>
    </row>
    <row r="64" spans="14:20" x14ac:dyDescent="0.25">
      <c r="O64" t="s">
        <v>197</v>
      </c>
      <c r="Q64" t="s">
        <v>223</v>
      </c>
      <c r="R64">
        <f>'Variables calculations'!D139</f>
        <v>0</v>
      </c>
      <c r="T64" t="s">
        <v>224</v>
      </c>
    </row>
    <row r="65" spans="14:20" x14ac:dyDescent="0.25">
      <c r="O65" t="s">
        <v>226</v>
      </c>
      <c r="Q65" t="s">
        <v>223</v>
      </c>
      <c r="R65">
        <f>'Variables calculations'!D140</f>
        <v>0.46331738588028426</v>
      </c>
      <c r="T65" t="s">
        <v>224</v>
      </c>
    </row>
    <row r="66" spans="14:20" x14ac:dyDescent="0.25">
      <c r="N66" s="34"/>
    </row>
    <row r="67" spans="14:20" x14ac:dyDescent="0.25">
      <c r="N67" s="17" t="s">
        <v>231</v>
      </c>
      <c r="O67" t="s">
        <v>196</v>
      </c>
      <c r="Q67" t="s">
        <v>223</v>
      </c>
      <c r="R67">
        <f>'Variables calculations'!D145</f>
        <v>5.4636187957103068</v>
      </c>
      <c r="T67" t="s">
        <v>224</v>
      </c>
    </row>
    <row r="68" spans="14:20" x14ac:dyDescent="0.25">
      <c r="O68" t="s">
        <v>197</v>
      </c>
      <c r="Q68" t="s">
        <v>223</v>
      </c>
      <c r="R68">
        <f>'Variables calculations'!D146</f>
        <v>0</v>
      </c>
      <c r="T68" t="s">
        <v>224</v>
      </c>
    </row>
    <row r="69" spans="14:20" x14ac:dyDescent="0.25">
      <c r="O69" t="s">
        <v>226</v>
      </c>
      <c r="Q69" t="s">
        <v>223</v>
      </c>
      <c r="R69">
        <f>'Variables calculations'!D147</f>
        <v>0.47688031450352797</v>
      </c>
      <c r="T69" t="s">
        <v>224</v>
      </c>
    </row>
    <row r="71" spans="14:20" x14ac:dyDescent="0.25">
      <c r="N71" s="17" t="s">
        <v>220</v>
      </c>
      <c r="O71" t="s">
        <v>196</v>
      </c>
      <c r="Q71" t="s">
        <v>141</v>
      </c>
      <c r="R71">
        <f>R63*365*('Data herd'!$E$36/2)</f>
        <v>830145.50907869451</v>
      </c>
    </row>
    <row r="72" spans="14:20" x14ac:dyDescent="0.25">
      <c r="O72" t="s">
        <v>197</v>
      </c>
      <c r="Q72" t="s">
        <v>141</v>
      </c>
      <c r="R72">
        <f>R64*365*('Data herd'!$E$36/2)</f>
        <v>0</v>
      </c>
    </row>
    <row r="73" spans="14:20" x14ac:dyDescent="0.25">
      <c r="O73" t="s">
        <v>226</v>
      </c>
      <c r="Q73" t="s">
        <v>141</v>
      </c>
      <c r="R73">
        <f>R65*365*('Data herd'!$E$36/2)</f>
        <v>72457.48033591939</v>
      </c>
    </row>
    <row r="75" spans="14:20" x14ac:dyDescent="0.25">
      <c r="N75" s="17" t="s">
        <v>231</v>
      </c>
      <c r="O75" t="s">
        <v>196</v>
      </c>
      <c r="Q75" t="s">
        <v>141</v>
      </c>
      <c r="R75">
        <f>R67*365*('Data herd'!$E$36/2)</f>
        <v>854446.78640967258</v>
      </c>
    </row>
    <row r="76" spans="14:20" x14ac:dyDescent="0.25">
      <c r="O76" t="s">
        <v>197</v>
      </c>
      <c r="Q76" t="s">
        <v>141</v>
      </c>
      <c r="R76">
        <f>R68*365*('Data herd'!$E$36/2)</f>
        <v>0</v>
      </c>
    </row>
    <row r="77" spans="14:20" x14ac:dyDescent="0.25">
      <c r="O77" t="s">
        <v>226</v>
      </c>
      <c r="Q77" t="s">
        <v>141</v>
      </c>
      <c r="R77">
        <f>R69*365*('Data herd'!$E$36/2)</f>
        <v>74578.5655012192</v>
      </c>
    </row>
    <row r="79" spans="14:20" x14ac:dyDescent="0.25">
      <c r="N79" s="17" t="s">
        <v>232</v>
      </c>
      <c r="O79" t="s">
        <v>196</v>
      </c>
      <c r="Q79" t="s">
        <v>141</v>
      </c>
      <c r="R79">
        <f>R71+R75</f>
        <v>1684592.2954883671</v>
      </c>
    </row>
    <row r="80" spans="14:20" x14ac:dyDescent="0.25">
      <c r="O80" t="s">
        <v>197</v>
      </c>
      <c r="Q80" t="s">
        <v>141</v>
      </c>
      <c r="R80">
        <f>R72+R76</f>
        <v>0</v>
      </c>
    </row>
    <row r="81" spans="1:18" x14ac:dyDescent="0.25">
      <c r="O81" t="s">
        <v>226</v>
      </c>
      <c r="Q81" t="s">
        <v>141</v>
      </c>
      <c r="R81">
        <f>R73+R77</f>
        <v>147036.0458371386</v>
      </c>
    </row>
    <row r="82" spans="1:18" x14ac:dyDescent="0.25">
      <c r="O82" t="s">
        <v>31</v>
      </c>
      <c r="R82">
        <f>SUM(R79:R81)</f>
        <v>1831628.3413255056</v>
      </c>
    </row>
    <row r="84" spans="1:18" x14ac:dyDescent="0.25">
      <c r="N84" s="17" t="s">
        <v>232</v>
      </c>
      <c r="O84" t="s">
        <v>196</v>
      </c>
      <c r="Q84" t="s">
        <v>131</v>
      </c>
      <c r="R84">
        <f>R79/1000000000</f>
        <v>1.684592295488367E-3</v>
      </c>
    </row>
    <row r="85" spans="1:18" x14ac:dyDescent="0.25">
      <c r="O85" t="s">
        <v>197</v>
      </c>
      <c r="Q85" t="s">
        <v>131</v>
      </c>
      <c r="R85">
        <f t="shared" ref="R85:R87" si="2">R80/1000000000</f>
        <v>0</v>
      </c>
    </row>
    <row r="86" spans="1:18" x14ac:dyDescent="0.25">
      <c r="O86" t="s">
        <v>226</v>
      </c>
      <c r="Q86" t="s">
        <v>131</v>
      </c>
      <c r="R86">
        <f>R81/1000000000</f>
        <v>1.470360458371386E-4</v>
      </c>
    </row>
    <row r="87" spans="1:18" x14ac:dyDescent="0.25">
      <c r="O87" t="s">
        <v>31</v>
      </c>
      <c r="Q87" t="s">
        <v>131</v>
      </c>
      <c r="R87">
        <f t="shared" si="2"/>
        <v>1.8316283413255057E-3</v>
      </c>
    </row>
    <row r="88" spans="1:18" x14ac:dyDescent="0.25">
      <c r="A88" s="1" t="s">
        <v>6</v>
      </c>
      <c r="C88" t="s">
        <v>7</v>
      </c>
      <c r="D88" t="s">
        <v>8</v>
      </c>
      <c r="E88" t="s">
        <v>9</v>
      </c>
      <c r="F88" t="s">
        <v>10</v>
      </c>
      <c r="G88" t="s">
        <v>11</v>
      </c>
      <c r="H88" t="s">
        <v>12</v>
      </c>
      <c r="N88" s="15" t="s">
        <v>122</v>
      </c>
      <c r="O88" s="8" t="s">
        <v>28</v>
      </c>
      <c r="P88" s="8" t="s">
        <v>7</v>
      </c>
      <c r="Q88" s="8" t="s">
        <v>8</v>
      </c>
      <c r="R88" s="8" t="s">
        <v>9</v>
      </c>
    </row>
    <row r="89" spans="1:18" x14ac:dyDescent="0.25">
      <c r="A89" t="s">
        <v>17</v>
      </c>
      <c r="C89">
        <v>2015</v>
      </c>
      <c r="D89" t="s">
        <v>18</v>
      </c>
      <c r="E89">
        <v>11118000</v>
      </c>
      <c r="G89" t="s">
        <v>16</v>
      </c>
    </row>
    <row r="90" spans="1:18" x14ac:dyDescent="0.25">
      <c r="O90" t="s">
        <v>233</v>
      </c>
      <c r="Q90" t="s">
        <v>234</v>
      </c>
      <c r="R90">
        <f>E95*'Data herd'!E2</f>
        <v>210843540</v>
      </c>
    </row>
    <row r="91" spans="1:18" x14ac:dyDescent="0.25">
      <c r="A91" s="8" t="s">
        <v>33</v>
      </c>
      <c r="B91" t="s">
        <v>34</v>
      </c>
      <c r="C91">
        <v>2013</v>
      </c>
      <c r="D91" t="s">
        <v>40</v>
      </c>
      <c r="E91">
        <v>1.1499999999999999</v>
      </c>
      <c r="G91" t="s">
        <v>35</v>
      </c>
      <c r="Q91" t="s">
        <v>235</v>
      </c>
      <c r="R91">
        <f>R90/1000000</f>
        <v>210.84353999999999</v>
      </c>
    </row>
    <row r="92" spans="1:18" x14ac:dyDescent="0.25">
      <c r="A92" s="8"/>
      <c r="B92" t="s">
        <v>36</v>
      </c>
      <c r="C92">
        <v>2013</v>
      </c>
      <c r="D92" t="s">
        <v>40</v>
      </c>
      <c r="E92">
        <v>1.34</v>
      </c>
      <c r="G92" t="s">
        <v>35</v>
      </c>
      <c r="N92" s="33" t="s">
        <v>2</v>
      </c>
    </row>
    <row r="93" spans="1:18" x14ac:dyDescent="0.25">
      <c r="A93" s="8"/>
      <c r="B93" t="s">
        <v>37</v>
      </c>
      <c r="C93">
        <v>2013</v>
      </c>
      <c r="D93" t="s">
        <v>40</v>
      </c>
      <c r="E93">
        <v>1.68</v>
      </c>
      <c r="G93" t="s">
        <v>35</v>
      </c>
    </row>
    <row r="94" spans="1:18" x14ac:dyDescent="0.25">
      <c r="A94" s="8"/>
      <c r="B94" t="s">
        <v>31</v>
      </c>
      <c r="C94">
        <v>2013</v>
      </c>
      <c r="D94" t="s">
        <v>40</v>
      </c>
      <c r="E94">
        <f>SUM(E91:E93)</f>
        <v>4.17</v>
      </c>
      <c r="G94" t="s">
        <v>38</v>
      </c>
      <c r="N94" s="17" t="s">
        <v>133</v>
      </c>
      <c r="O94" t="s">
        <v>236</v>
      </c>
      <c r="Q94" t="s">
        <v>141</v>
      </c>
      <c r="R94">
        <f>'Data herd'!M14</f>
        <v>9273347</v>
      </c>
    </row>
    <row r="95" spans="1:18" x14ac:dyDescent="0.25">
      <c r="A95" s="8"/>
      <c r="B95" t="s">
        <v>31</v>
      </c>
      <c r="C95">
        <v>2013</v>
      </c>
      <c r="D95" t="s">
        <v>41</v>
      </c>
      <c r="E95">
        <f>E94*1800</f>
        <v>7506</v>
      </c>
      <c r="G95" t="s">
        <v>39</v>
      </c>
    </row>
    <row r="96" spans="1:18" x14ac:dyDescent="0.25">
      <c r="O96" t="s">
        <v>237</v>
      </c>
      <c r="Q96" t="s">
        <v>238</v>
      </c>
      <c r="R96">
        <f>R94/(SUM(R94,R103,R111))</f>
        <v>0.73393796339743111</v>
      </c>
    </row>
    <row r="98" spans="14:18" x14ac:dyDescent="0.25">
      <c r="O98" t="s">
        <v>239</v>
      </c>
      <c r="Q98" t="s">
        <v>234</v>
      </c>
      <c r="R98">
        <f>R90*R96</f>
        <v>154746078.34310481</v>
      </c>
    </row>
    <row r="99" spans="14:18" x14ac:dyDescent="0.25">
      <c r="Q99" t="s">
        <v>235</v>
      </c>
      <c r="R99">
        <f>R98/1000000</f>
        <v>154.74607834310481</v>
      </c>
    </row>
    <row r="101" spans="14:18" x14ac:dyDescent="0.25">
      <c r="N101" s="33" t="s">
        <v>3</v>
      </c>
    </row>
    <row r="103" spans="14:18" x14ac:dyDescent="0.25">
      <c r="N103" s="17" t="s">
        <v>133</v>
      </c>
      <c r="O103" t="s">
        <v>240</v>
      </c>
      <c r="Q103" t="s">
        <v>141</v>
      </c>
      <c r="R103">
        <f>'Data herd'!M25</f>
        <v>3067784.0715000005</v>
      </c>
    </row>
    <row r="105" spans="14:18" x14ac:dyDescent="0.25">
      <c r="O105" t="s">
        <v>237</v>
      </c>
      <c r="Q105" t="s">
        <v>238</v>
      </c>
      <c r="R105">
        <f>R103/(SUM(R94,R103,R111))</f>
        <v>0.24279941142931347</v>
      </c>
    </row>
    <row r="107" spans="14:18" x14ac:dyDescent="0.25">
      <c r="O107" t="s">
        <v>241</v>
      </c>
      <c r="Q107" t="s">
        <v>234</v>
      </c>
      <c r="R107">
        <f>R90*R105</f>
        <v>51192687.415672913</v>
      </c>
    </row>
    <row r="108" spans="14:18" x14ac:dyDescent="0.25">
      <c r="Q108" t="s">
        <v>235</v>
      </c>
      <c r="R108">
        <f>R107/1000000</f>
        <v>51.192687415672914</v>
      </c>
    </row>
    <row r="109" spans="14:18" x14ac:dyDescent="0.25">
      <c r="N109" s="33" t="s">
        <v>4</v>
      </c>
    </row>
    <row r="111" spans="14:18" x14ac:dyDescent="0.25">
      <c r="N111" s="17" t="s">
        <v>133</v>
      </c>
      <c r="O111" t="s">
        <v>242</v>
      </c>
      <c r="Q111" t="s">
        <v>141</v>
      </c>
      <c r="R111">
        <f>'Data herd'!M38</f>
        <v>293924.56327500008</v>
      </c>
    </row>
    <row r="113" spans="1:18" x14ac:dyDescent="0.25">
      <c r="O113" t="s">
        <v>237</v>
      </c>
      <c r="Q113" t="s">
        <v>238</v>
      </c>
      <c r="R113">
        <f>R111/(SUM(R94,R103,R111))</f>
        <v>2.3262625173255454E-2</v>
      </c>
    </row>
    <row r="115" spans="1:18" x14ac:dyDescent="0.25">
      <c r="O115" t="s">
        <v>243</v>
      </c>
      <c r="Q115" t="s">
        <v>234</v>
      </c>
      <c r="R115">
        <f>R90*R113</f>
        <v>4904774.2412222931</v>
      </c>
    </row>
    <row r="116" spans="1:18" x14ac:dyDescent="0.25">
      <c r="A116" s="2" t="s">
        <v>42</v>
      </c>
      <c r="Q116" t="s">
        <v>235</v>
      </c>
      <c r="R116">
        <f>R115/1000000</f>
        <v>4.9047742412222934</v>
      </c>
    </row>
    <row r="117" spans="1:18" x14ac:dyDescent="0.25">
      <c r="N117" s="15" t="s">
        <v>122</v>
      </c>
    </row>
    <row r="118" spans="1:18" x14ac:dyDescent="0.25">
      <c r="A118" t="s">
        <v>43</v>
      </c>
      <c r="B118" t="s">
        <v>34</v>
      </c>
      <c r="C118">
        <v>2013</v>
      </c>
      <c r="D118" t="s">
        <v>44</v>
      </c>
      <c r="E118">
        <v>45.6</v>
      </c>
      <c r="G118" t="s">
        <v>45</v>
      </c>
    </row>
    <row r="119" spans="1:18" x14ac:dyDescent="0.25">
      <c r="B119" t="s">
        <v>46</v>
      </c>
      <c r="C119">
        <v>2013</v>
      </c>
      <c r="D119" t="s">
        <v>44</v>
      </c>
      <c r="E119">
        <v>35.5</v>
      </c>
      <c r="G119" t="s">
        <v>45</v>
      </c>
    </row>
    <row r="120" spans="1:18" x14ac:dyDescent="0.25">
      <c r="B120" t="s">
        <v>37</v>
      </c>
      <c r="C120">
        <v>2013</v>
      </c>
      <c r="D120" t="s">
        <v>44</v>
      </c>
      <c r="E120">
        <v>31</v>
      </c>
      <c r="G120" t="s">
        <v>45</v>
      </c>
      <c r="O120" t="s">
        <v>244</v>
      </c>
      <c r="P120">
        <v>2013</v>
      </c>
      <c r="Q120" t="s">
        <v>245</v>
      </c>
      <c r="R120" s="38">
        <f>E121*'Data herd'!E2</f>
        <v>3148889</v>
      </c>
    </row>
    <row r="121" spans="1:18" x14ac:dyDescent="0.25">
      <c r="B121" t="s">
        <v>31</v>
      </c>
      <c r="C121">
        <v>2013</v>
      </c>
      <c r="D121" t="s">
        <v>44</v>
      </c>
      <c r="E121">
        <f>SUM(E118:E120)</f>
        <v>112.1</v>
      </c>
    </row>
    <row r="122" spans="1:18" x14ac:dyDescent="0.25">
      <c r="A122" t="s">
        <v>47</v>
      </c>
      <c r="B122" t="s">
        <v>34</v>
      </c>
      <c r="C122">
        <v>2013</v>
      </c>
      <c r="D122" t="s">
        <v>44</v>
      </c>
      <c r="E122">
        <v>41.4</v>
      </c>
      <c r="G122" t="s">
        <v>45</v>
      </c>
      <c r="N122" s="33" t="s">
        <v>2</v>
      </c>
    </row>
    <row r="123" spans="1:18" x14ac:dyDescent="0.25">
      <c r="B123" t="s">
        <v>36</v>
      </c>
      <c r="C123">
        <v>2013</v>
      </c>
      <c r="D123" t="s">
        <v>44</v>
      </c>
      <c r="E123">
        <v>31</v>
      </c>
      <c r="G123" t="s">
        <v>45</v>
      </c>
    </row>
    <row r="124" spans="1:18" x14ac:dyDescent="0.25">
      <c r="B124" t="s">
        <v>37</v>
      </c>
      <c r="C124">
        <v>2013</v>
      </c>
      <c r="D124" t="s">
        <v>44</v>
      </c>
      <c r="E124">
        <v>19.600000000000001</v>
      </c>
      <c r="G124" t="s">
        <v>45</v>
      </c>
      <c r="N124" s="17" t="s">
        <v>133</v>
      </c>
      <c r="O124" t="s">
        <v>236</v>
      </c>
      <c r="Q124" t="s">
        <v>141</v>
      </c>
      <c r="R124">
        <f>'Data herd'!M14</f>
        <v>9273347</v>
      </c>
    </row>
    <row r="126" spans="1:18" x14ac:dyDescent="0.25">
      <c r="O126" t="s">
        <v>237</v>
      </c>
      <c r="Q126" t="s">
        <v>238</v>
      </c>
      <c r="R126">
        <f>R124/(SUM(R130,R137,R124))</f>
        <v>0.733937963397431</v>
      </c>
    </row>
    <row r="127" spans="1:18" x14ac:dyDescent="0.25">
      <c r="O127" t="s">
        <v>246</v>
      </c>
      <c r="Q127" t="s">
        <v>245</v>
      </c>
      <c r="R127">
        <f>R120*R126</f>
        <v>2311089.1796245733</v>
      </c>
    </row>
    <row r="128" spans="1:18" x14ac:dyDescent="0.25">
      <c r="O128" t="s">
        <v>246</v>
      </c>
      <c r="Q128" t="s">
        <v>247</v>
      </c>
      <c r="R128">
        <f>R127*0.01</f>
        <v>23110.891796245734</v>
      </c>
    </row>
    <row r="129" spans="1:18" x14ac:dyDescent="0.25">
      <c r="N129" s="33" t="s">
        <v>3</v>
      </c>
    </row>
    <row r="130" spans="1:18" x14ac:dyDescent="0.25">
      <c r="N130" s="17" t="s">
        <v>133</v>
      </c>
      <c r="O130" t="s">
        <v>240</v>
      </c>
      <c r="Q130" t="s">
        <v>141</v>
      </c>
      <c r="R130">
        <f>'Data herd'!M25</f>
        <v>3067784.0715000005</v>
      </c>
    </row>
    <row r="132" spans="1:18" x14ac:dyDescent="0.25">
      <c r="O132" t="s">
        <v>237</v>
      </c>
      <c r="Q132" t="s">
        <v>238</v>
      </c>
      <c r="R132">
        <f>R130/(SUM(R130,R124,R137))</f>
        <v>0.24279941142931347</v>
      </c>
    </row>
    <row r="133" spans="1:18" x14ac:dyDescent="0.25">
      <c r="O133" t="s">
        <v>248</v>
      </c>
      <c r="Q133" t="s">
        <v>245</v>
      </c>
      <c r="R133">
        <f>R120*R132</f>
        <v>764548.39585623948</v>
      </c>
    </row>
    <row r="134" spans="1:18" x14ac:dyDescent="0.25">
      <c r="O134" t="s">
        <v>248</v>
      </c>
      <c r="Q134" t="s">
        <v>247</v>
      </c>
      <c r="R134">
        <f>R133*0.01</f>
        <v>7645.4839585623949</v>
      </c>
    </row>
    <row r="136" spans="1:18" x14ac:dyDescent="0.25">
      <c r="N136" s="33" t="s">
        <v>4</v>
      </c>
    </row>
    <row r="137" spans="1:18" x14ac:dyDescent="0.25">
      <c r="N137" s="17" t="s">
        <v>133</v>
      </c>
      <c r="O137" t="s">
        <v>242</v>
      </c>
      <c r="Q137" t="s">
        <v>141</v>
      </c>
      <c r="R137">
        <f>'Data herd'!M38</f>
        <v>293924.56327500008</v>
      </c>
    </row>
    <row r="139" spans="1:18" x14ac:dyDescent="0.25">
      <c r="O139" t="s">
        <v>237</v>
      </c>
      <c r="Q139" t="s">
        <v>238</v>
      </c>
      <c r="R139">
        <f>R137/(SUM(R124,R130,R137))</f>
        <v>2.3262625173255454E-2</v>
      </c>
    </row>
    <row r="140" spans="1:18" x14ac:dyDescent="0.25">
      <c r="O140" t="s">
        <v>249</v>
      </c>
      <c r="Q140" t="s">
        <v>245</v>
      </c>
      <c r="R140">
        <f>R120*R139</f>
        <v>73251.424519187189</v>
      </c>
    </row>
    <row r="141" spans="1:18" x14ac:dyDescent="0.25">
      <c r="O141" t="s">
        <v>249</v>
      </c>
      <c r="Q141" t="s">
        <v>247</v>
      </c>
      <c r="R141">
        <f>R140*0.01</f>
        <v>732.51424519187185</v>
      </c>
    </row>
    <row r="142" spans="1:18" x14ac:dyDescent="0.25">
      <c r="A142" s="2" t="s">
        <v>257</v>
      </c>
      <c r="B142" t="s">
        <v>258</v>
      </c>
      <c r="G142" s="39"/>
      <c r="N142" s="15" t="s">
        <v>122</v>
      </c>
    </row>
    <row r="143" spans="1:18" x14ac:dyDescent="0.25">
      <c r="A143" s="8"/>
      <c r="B143" t="s">
        <v>259</v>
      </c>
      <c r="C143" t="s">
        <v>91</v>
      </c>
      <c r="D143" t="s">
        <v>260</v>
      </c>
      <c r="E143">
        <v>20</v>
      </c>
      <c r="G143" s="39" t="s">
        <v>261</v>
      </c>
      <c r="N143" s="33" t="s">
        <v>2</v>
      </c>
    </row>
    <row r="144" spans="1:18" x14ac:dyDescent="0.25">
      <c r="A144" s="8"/>
      <c r="B144" t="s">
        <v>259</v>
      </c>
      <c r="C144" t="s">
        <v>91</v>
      </c>
      <c r="D144" t="s">
        <v>262</v>
      </c>
      <c r="E144">
        <v>7300</v>
      </c>
      <c r="G144" s="39" t="s">
        <v>261</v>
      </c>
      <c r="O144" s="36" t="s">
        <v>263</v>
      </c>
      <c r="Q144" t="s">
        <v>264</v>
      </c>
      <c r="R144">
        <f>E144*'Data herd'!E6</f>
        <v>2690553700</v>
      </c>
    </row>
    <row r="145" spans="1:20" x14ac:dyDescent="0.25">
      <c r="A145" s="8"/>
      <c r="B145" t="s">
        <v>265</v>
      </c>
      <c r="D145" t="s">
        <v>260</v>
      </c>
      <c r="E145">
        <v>20</v>
      </c>
      <c r="G145" s="39" t="s">
        <v>261</v>
      </c>
      <c r="O145" s="16" t="s">
        <v>211</v>
      </c>
      <c r="Q145" t="s">
        <v>264</v>
      </c>
      <c r="R145">
        <f>E146*'Data herd'!E7</f>
        <v>107623900</v>
      </c>
    </row>
    <row r="146" spans="1:20" x14ac:dyDescent="0.25">
      <c r="A146" s="8"/>
      <c r="B146" t="s">
        <v>265</v>
      </c>
      <c r="D146" t="s">
        <v>262</v>
      </c>
      <c r="E146">
        <v>7300</v>
      </c>
      <c r="G146" s="39" t="s">
        <v>261</v>
      </c>
      <c r="N146" s="19"/>
      <c r="O146" t="s">
        <v>230</v>
      </c>
      <c r="Q146" t="s">
        <v>264</v>
      </c>
      <c r="R146">
        <f>SUM(R144:R145)</f>
        <v>2798177600</v>
      </c>
    </row>
    <row r="147" spans="1:20" x14ac:dyDescent="0.25">
      <c r="A147" s="8"/>
      <c r="B147" t="s">
        <v>266</v>
      </c>
      <c r="D147" t="s">
        <v>260</v>
      </c>
      <c r="E147">
        <v>5</v>
      </c>
      <c r="G147" s="39" t="s">
        <v>261</v>
      </c>
      <c r="Q147" t="s">
        <v>267</v>
      </c>
      <c r="R147" s="23">
        <f>R146/1000000000</f>
        <v>2.7981775999999998</v>
      </c>
    </row>
    <row r="148" spans="1:20" x14ac:dyDescent="0.25">
      <c r="A148" s="8"/>
      <c r="B148" t="s">
        <v>266</v>
      </c>
      <c r="D148" t="s">
        <v>262</v>
      </c>
      <c r="E148">
        <v>1825</v>
      </c>
      <c r="G148" s="39" t="s">
        <v>261</v>
      </c>
      <c r="N148" s="33" t="s">
        <v>3</v>
      </c>
    </row>
    <row r="149" spans="1:20" x14ac:dyDescent="0.25">
      <c r="G149" s="39"/>
      <c r="O149" t="s">
        <v>3</v>
      </c>
      <c r="Q149" t="s">
        <v>264</v>
      </c>
      <c r="R149">
        <f>E148*'Data herd'!E23</f>
        <v>31277686.762500007</v>
      </c>
    </row>
    <row r="150" spans="1:20" x14ac:dyDescent="0.25">
      <c r="G150" s="39"/>
      <c r="Q150" t="s">
        <v>267</v>
      </c>
      <c r="R150">
        <f>R149/1000000000</f>
        <v>3.1277686762500007E-2</v>
      </c>
    </row>
    <row r="151" spans="1:20" x14ac:dyDescent="0.25">
      <c r="G151" s="39"/>
      <c r="N151" s="33" t="s">
        <v>4</v>
      </c>
    </row>
    <row r="152" spans="1:20" x14ac:dyDescent="0.25">
      <c r="O152" t="s">
        <v>268</v>
      </c>
      <c r="Q152" t="s">
        <v>264</v>
      </c>
      <c r="R152">
        <f>E144*('Data herd'!E36/2)</f>
        <v>3127768.6762500009</v>
      </c>
    </row>
    <row r="153" spans="1:20" x14ac:dyDescent="0.25">
      <c r="O153" t="s">
        <v>269</v>
      </c>
      <c r="Q153" t="s">
        <v>264</v>
      </c>
      <c r="R153">
        <f>E146*('Data herd'!E7/2)</f>
        <v>53811950</v>
      </c>
    </row>
    <row r="154" spans="1:20" x14ac:dyDescent="0.25">
      <c r="O154" t="s">
        <v>228</v>
      </c>
      <c r="Q154" t="s">
        <v>264</v>
      </c>
      <c r="R154">
        <f>SUM(R152:R153)</f>
        <v>56939718.676250003</v>
      </c>
    </row>
    <row r="155" spans="1:20" x14ac:dyDescent="0.25">
      <c r="Q155" t="s">
        <v>267</v>
      </c>
      <c r="R155">
        <f>R154/1000000000</f>
        <v>5.6939718676250001E-2</v>
      </c>
    </row>
    <row r="156" spans="1:20" ht="15.75" thickBot="1" x14ac:dyDescent="0.3"/>
    <row r="157" spans="1:20" ht="15.75" thickTop="1" x14ac:dyDescent="0.25">
      <c r="A157" s="2" t="s">
        <v>13</v>
      </c>
      <c r="B157" t="s">
        <v>258</v>
      </c>
      <c r="N157" s="31" t="s">
        <v>222</v>
      </c>
      <c r="O157" s="8" t="s">
        <v>28</v>
      </c>
      <c r="P157" s="8" t="s">
        <v>7</v>
      </c>
      <c r="Q157" s="8" t="s">
        <v>8</v>
      </c>
      <c r="R157" s="8" t="s">
        <v>9</v>
      </c>
      <c r="S157" s="32" t="s">
        <v>29</v>
      </c>
      <c r="T157" s="8" t="s">
        <v>124</v>
      </c>
    </row>
    <row r="159" spans="1:20" x14ac:dyDescent="0.25">
      <c r="A159" t="s">
        <v>270</v>
      </c>
      <c r="B159" t="s">
        <v>271</v>
      </c>
      <c r="C159" t="s">
        <v>91</v>
      </c>
      <c r="D159" t="s">
        <v>272</v>
      </c>
      <c r="E159">
        <v>28</v>
      </c>
      <c r="G159" s="39" t="s">
        <v>273</v>
      </c>
      <c r="H159" s="39"/>
      <c r="I159" s="36"/>
      <c r="N159" t="s">
        <v>30</v>
      </c>
      <c r="O159" t="s">
        <v>2</v>
      </c>
      <c r="P159">
        <v>2015</v>
      </c>
      <c r="Q159" t="s">
        <v>32</v>
      </c>
      <c r="R159">
        <v>684250</v>
      </c>
      <c r="T159" t="s">
        <v>24</v>
      </c>
    </row>
    <row r="160" spans="1:20" x14ac:dyDescent="0.25">
      <c r="N160"/>
      <c r="O160" t="s">
        <v>3</v>
      </c>
      <c r="P160">
        <v>2015</v>
      </c>
      <c r="Q160" t="s">
        <v>32</v>
      </c>
      <c r="R160">
        <v>91790</v>
      </c>
      <c r="T160" t="s">
        <v>24</v>
      </c>
    </row>
    <row r="161" spans="14:20" x14ac:dyDescent="0.25">
      <c r="N161"/>
      <c r="O161" t="s">
        <v>4</v>
      </c>
      <c r="P161">
        <v>2015</v>
      </c>
      <c r="Q161" t="s">
        <v>32</v>
      </c>
      <c r="R161">
        <v>12240</v>
      </c>
      <c r="T161" t="s">
        <v>24</v>
      </c>
    </row>
    <row r="162" spans="14:20" x14ac:dyDescent="0.25">
      <c r="N162"/>
      <c r="O162" t="s">
        <v>31</v>
      </c>
      <c r="P162">
        <v>2015</v>
      </c>
      <c r="Q162" t="s">
        <v>32</v>
      </c>
      <c r="R162">
        <f>SUM(R159:R161)</f>
        <v>788280</v>
      </c>
      <c r="T162" t="s">
        <v>24</v>
      </c>
    </row>
    <row r="164" spans="14:20" x14ac:dyDescent="0.25">
      <c r="N164" s="17" t="s">
        <v>274</v>
      </c>
      <c r="O164" t="s">
        <v>2</v>
      </c>
      <c r="Q164" t="s">
        <v>275</v>
      </c>
      <c r="R164">
        <f>$E$159*R159</f>
        <v>19159000</v>
      </c>
    </row>
    <row r="165" spans="14:20" x14ac:dyDescent="0.25">
      <c r="O165" t="s">
        <v>3</v>
      </c>
      <c r="Q165" t="s">
        <v>275</v>
      </c>
      <c r="R165">
        <f t="shared" ref="R165:R167" si="3">$E$159*R160</f>
        <v>2570120</v>
      </c>
    </row>
    <row r="166" spans="14:20" x14ac:dyDescent="0.25">
      <c r="O166" t="s">
        <v>4</v>
      </c>
      <c r="Q166" t="s">
        <v>275</v>
      </c>
      <c r="R166">
        <f t="shared" si="3"/>
        <v>342720</v>
      </c>
    </row>
    <row r="167" spans="14:20" x14ac:dyDescent="0.25">
      <c r="O167" t="s">
        <v>31</v>
      </c>
      <c r="Q167" t="s">
        <v>275</v>
      </c>
      <c r="R167">
        <f t="shared" si="3"/>
        <v>22071840</v>
      </c>
    </row>
    <row r="168" spans="14:20" x14ac:dyDescent="0.25">
      <c r="O168" t="s">
        <v>2</v>
      </c>
      <c r="Q168" t="s">
        <v>276</v>
      </c>
      <c r="R168">
        <f>R164/1000</f>
        <v>19159</v>
      </c>
    </row>
    <row r="169" spans="14:20" x14ac:dyDescent="0.25">
      <c r="O169" t="s">
        <v>3</v>
      </c>
      <c r="Q169" t="s">
        <v>276</v>
      </c>
      <c r="R169">
        <f t="shared" ref="R169:R171" si="4">R165/1000</f>
        <v>2570.12</v>
      </c>
    </row>
    <row r="170" spans="14:20" x14ac:dyDescent="0.25">
      <c r="O170" t="s">
        <v>4</v>
      </c>
      <c r="Q170" t="s">
        <v>276</v>
      </c>
      <c r="R170">
        <f t="shared" si="4"/>
        <v>342.72</v>
      </c>
    </row>
    <row r="171" spans="14:20" x14ac:dyDescent="0.25">
      <c r="O171" t="s">
        <v>31</v>
      </c>
      <c r="Q171" t="s">
        <v>276</v>
      </c>
      <c r="R171">
        <f t="shared" si="4"/>
        <v>22071.84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7" workbookViewId="0">
      <selection activeCell="R25" sqref="R25"/>
    </sheetView>
  </sheetViews>
  <sheetFormatPr defaultRowHeight="15" x14ac:dyDescent="0.25"/>
  <cols>
    <col min="1" max="1" width="22.85546875" customWidth="1"/>
    <col min="2" max="2" width="14.42578125" customWidth="1"/>
    <col min="4" max="4" width="13" customWidth="1"/>
    <col min="10" max="10" width="15" style="17" customWidth="1"/>
    <col min="12" max="12" width="16.5703125" customWidth="1"/>
    <col min="13" max="13" width="11.28515625" customWidth="1"/>
    <col min="14" max="14" width="18.42578125" customWidth="1"/>
  </cols>
  <sheetData>
    <row r="1" spans="1:16" ht="15.75" thickTop="1" x14ac:dyDescent="0.25">
      <c r="A1" s="2" t="s">
        <v>27</v>
      </c>
      <c r="B1" s="7" t="s">
        <v>28</v>
      </c>
      <c r="C1" s="7" t="s">
        <v>7</v>
      </c>
      <c r="D1" s="7" t="s">
        <v>8</v>
      </c>
      <c r="E1" s="7" t="s">
        <v>9</v>
      </c>
      <c r="F1" s="7" t="s">
        <v>29</v>
      </c>
      <c r="G1" s="7" t="s">
        <v>11</v>
      </c>
      <c r="H1" s="8" t="s">
        <v>12</v>
      </c>
      <c r="J1" s="15" t="s">
        <v>122</v>
      </c>
      <c r="K1" s="8" t="s">
        <v>28</v>
      </c>
      <c r="L1" s="8" t="s">
        <v>7</v>
      </c>
      <c r="M1" s="8" t="s">
        <v>8</v>
      </c>
      <c r="N1" s="8" t="s">
        <v>9</v>
      </c>
      <c r="O1" s="32" t="s">
        <v>29</v>
      </c>
      <c r="P1" s="8" t="s">
        <v>124</v>
      </c>
    </row>
    <row r="2" spans="1:16" x14ac:dyDescent="0.25">
      <c r="A2" t="s">
        <v>30</v>
      </c>
      <c r="B2" t="s">
        <v>2</v>
      </c>
      <c r="C2">
        <v>2015</v>
      </c>
      <c r="D2" t="s">
        <v>32</v>
      </c>
      <c r="E2">
        <v>684250</v>
      </c>
      <c r="G2" t="s">
        <v>24</v>
      </c>
    </row>
    <row r="3" spans="1:16" x14ac:dyDescent="0.25">
      <c r="B3" t="s">
        <v>3</v>
      </c>
      <c r="C3">
        <v>2015</v>
      </c>
      <c r="D3" t="s">
        <v>32</v>
      </c>
      <c r="E3">
        <v>91790</v>
      </c>
      <c r="G3" t="s">
        <v>24</v>
      </c>
      <c r="J3" s="17" t="s">
        <v>250</v>
      </c>
      <c r="K3" t="s">
        <v>2</v>
      </c>
      <c r="L3">
        <v>2015</v>
      </c>
      <c r="M3" t="s">
        <v>141</v>
      </c>
      <c r="N3">
        <f>E2*1000</f>
        <v>684250000</v>
      </c>
    </row>
    <row r="4" spans="1:16" x14ac:dyDescent="0.25">
      <c r="B4" t="s">
        <v>4</v>
      </c>
      <c r="C4">
        <v>2015</v>
      </c>
      <c r="D4" t="s">
        <v>32</v>
      </c>
      <c r="E4">
        <v>12240</v>
      </c>
      <c r="G4" t="s">
        <v>24</v>
      </c>
      <c r="K4" t="s">
        <v>3</v>
      </c>
      <c r="L4">
        <v>2015</v>
      </c>
      <c r="M4" t="s">
        <v>141</v>
      </c>
      <c r="N4">
        <f t="shared" ref="N4:N5" si="0">E3*1000</f>
        <v>91790000</v>
      </c>
    </row>
    <row r="5" spans="1:16" x14ac:dyDescent="0.25">
      <c r="B5" t="s">
        <v>31</v>
      </c>
      <c r="C5">
        <v>2015</v>
      </c>
      <c r="D5" t="s">
        <v>32</v>
      </c>
      <c r="E5">
        <f>SUM(E2:E4)</f>
        <v>788280</v>
      </c>
      <c r="G5" t="s">
        <v>24</v>
      </c>
      <c r="K5" t="s">
        <v>4</v>
      </c>
      <c r="L5">
        <v>2015</v>
      </c>
      <c r="M5" t="s">
        <v>141</v>
      </c>
      <c r="N5">
        <f t="shared" si="0"/>
        <v>12240000</v>
      </c>
    </row>
    <row r="6" spans="1:16" x14ac:dyDescent="0.25">
      <c r="K6" t="s">
        <v>31</v>
      </c>
      <c r="L6">
        <v>2015</v>
      </c>
      <c r="M6" t="s">
        <v>141</v>
      </c>
      <c r="N6">
        <f>E5*1000</f>
        <v>788280000</v>
      </c>
    </row>
    <row r="7" spans="1:16" x14ac:dyDescent="0.25">
      <c r="A7" t="s">
        <v>30</v>
      </c>
      <c r="B7" t="s">
        <v>2</v>
      </c>
      <c r="C7">
        <v>2015</v>
      </c>
      <c r="D7" t="s">
        <v>23</v>
      </c>
      <c r="E7">
        <v>2008830</v>
      </c>
      <c r="G7" t="s">
        <v>24</v>
      </c>
    </row>
    <row r="8" spans="1:16" x14ac:dyDescent="0.25">
      <c r="B8" t="s">
        <v>3</v>
      </c>
      <c r="C8">
        <v>2015</v>
      </c>
      <c r="D8" t="s">
        <v>23</v>
      </c>
      <c r="E8">
        <v>629880</v>
      </c>
      <c r="G8" t="s">
        <v>24</v>
      </c>
      <c r="K8" t="s">
        <v>2</v>
      </c>
      <c r="L8">
        <v>2015</v>
      </c>
      <c r="M8" t="s">
        <v>251</v>
      </c>
      <c r="N8">
        <f>N3/1000000</f>
        <v>684.25</v>
      </c>
    </row>
    <row r="9" spans="1:16" x14ac:dyDescent="0.25">
      <c r="B9" t="s">
        <v>4</v>
      </c>
      <c r="C9">
        <v>2015</v>
      </c>
      <c r="D9" t="s">
        <v>23</v>
      </c>
      <c r="E9">
        <v>72950</v>
      </c>
      <c r="G9" t="s">
        <v>24</v>
      </c>
      <c r="K9" t="s">
        <v>3</v>
      </c>
      <c r="L9">
        <v>2015</v>
      </c>
      <c r="M9" t="s">
        <v>251</v>
      </c>
      <c r="N9">
        <f t="shared" ref="N9" si="1">N4/1000000</f>
        <v>91.79</v>
      </c>
    </row>
    <row r="10" spans="1:16" x14ac:dyDescent="0.25">
      <c r="K10" t="s">
        <v>4</v>
      </c>
      <c r="L10">
        <v>2015</v>
      </c>
      <c r="M10" t="s">
        <v>251</v>
      </c>
      <c r="N10">
        <f>N5/1000000</f>
        <v>12.24</v>
      </c>
    </row>
    <row r="11" spans="1:16" x14ac:dyDescent="0.25">
      <c r="A11" s="1" t="s">
        <v>277</v>
      </c>
      <c r="B11" s="40" t="s">
        <v>278</v>
      </c>
      <c r="I11" s="41"/>
      <c r="J11" s="35" t="s">
        <v>122</v>
      </c>
    </row>
    <row r="12" spans="1:16" x14ac:dyDescent="0.25">
      <c r="I12" s="41"/>
      <c r="J12" s="37" t="s">
        <v>2</v>
      </c>
    </row>
    <row r="13" spans="1:16" x14ac:dyDescent="0.25">
      <c r="A13" t="s">
        <v>279</v>
      </c>
      <c r="B13" t="s">
        <v>280</v>
      </c>
      <c r="D13" t="s">
        <v>281</v>
      </c>
      <c r="E13">
        <v>13610000</v>
      </c>
      <c r="G13" s="39" t="s">
        <v>282</v>
      </c>
      <c r="I13" s="41"/>
      <c r="J13" s="36" t="s">
        <v>133</v>
      </c>
      <c r="K13" t="s">
        <v>2</v>
      </c>
      <c r="M13" t="s">
        <v>141</v>
      </c>
      <c r="N13">
        <f>'Data herd'!M14</f>
        <v>9273347</v>
      </c>
    </row>
    <row r="14" spans="1:16" x14ac:dyDescent="0.25">
      <c r="A14" t="s">
        <v>279</v>
      </c>
      <c r="B14" t="s">
        <v>283</v>
      </c>
      <c r="D14" t="s">
        <v>281</v>
      </c>
      <c r="E14">
        <v>25120000</v>
      </c>
      <c r="G14" s="39" t="s">
        <v>282</v>
      </c>
      <c r="I14" s="41"/>
      <c r="J14" s="36"/>
      <c r="K14" t="s">
        <v>284</v>
      </c>
      <c r="M14">
        <f>N13/(SUM(N13,N23,N32))</f>
        <v>0.73393796339743111</v>
      </c>
    </row>
    <row r="15" spans="1:16" x14ac:dyDescent="0.25">
      <c r="B15" t="s">
        <v>31</v>
      </c>
      <c r="D15" t="s">
        <v>281</v>
      </c>
      <c r="E15">
        <f>SUM(E13,E14)</f>
        <v>38730000</v>
      </c>
      <c r="G15" s="39" t="s">
        <v>282</v>
      </c>
      <c r="I15" s="41"/>
      <c r="J15" s="36"/>
    </row>
    <row r="16" spans="1:16" x14ac:dyDescent="0.25">
      <c r="I16" s="41"/>
      <c r="J16" s="36"/>
      <c r="K16" t="s">
        <v>285</v>
      </c>
      <c r="M16" t="s">
        <v>286</v>
      </c>
      <c r="N16">
        <f>E14*M14</f>
        <v>18436521.640543468</v>
      </c>
    </row>
    <row r="17" spans="9:14" x14ac:dyDescent="0.25">
      <c r="I17" s="41"/>
      <c r="J17" s="36"/>
      <c r="K17" t="s">
        <v>287</v>
      </c>
      <c r="M17" t="s">
        <v>286</v>
      </c>
      <c r="N17">
        <f>E13*M14</f>
        <v>9988895.6818390377</v>
      </c>
    </row>
    <row r="18" spans="9:14" x14ac:dyDescent="0.25">
      <c r="I18" s="41"/>
      <c r="J18" s="36"/>
      <c r="K18" t="s">
        <v>31</v>
      </c>
      <c r="M18" t="s">
        <v>286</v>
      </c>
      <c r="N18">
        <f>SUM(N16:N17)</f>
        <v>28425417.322382506</v>
      </c>
    </row>
    <row r="19" spans="9:14" x14ac:dyDescent="0.25">
      <c r="I19" s="41"/>
      <c r="J19" s="36"/>
      <c r="K19" t="s">
        <v>31</v>
      </c>
      <c r="M19" t="s">
        <v>131</v>
      </c>
      <c r="N19">
        <f>N18/1000000</f>
        <v>28.425417322382508</v>
      </c>
    </row>
    <row r="20" spans="9:14" x14ac:dyDescent="0.25">
      <c r="I20" s="41"/>
      <c r="J20" s="36"/>
    </row>
    <row r="21" spans="9:14" x14ac:dyDescent="0.25">
      <c r="I21" s="41"/>
      <c r="J21" s="36"/>
    </row>
    <row r="22" spans="9:14" x14ac:dyDescent="0.25">
      <c r="I22" s="41"/>
      <c r="J22" s="6" t="s">
        <v>3</v>
      </c>
    </row>
    <row r="23" spans="9:14" x14ac:dyDescent="0.25">
      <c r="I23" s="41"/>
      <c r="J23" t="s">
        <v>288</v>
      </c>
      <c r="K23" t="s">
        <v>3</v>
      </c>
      <c r="M23" t="str">
        <f>'[1]Data herd'!K12</f>
        <v>Kg/year</v>
      </c>
      <c r="N23">
        <f>'Data herd'!M25</f>
        <v>3067784.0715000005</v>
      </c>
    </row>
    <row r="24" spans="9:14" x14ac:dyDescent="0.25">
      <c r="I24" s="41"/>
      <c r="J24"/>
      <c r="K24" t="s">
        <v>284</v>
      </c>
      <c r="M24">
        <f>N23/(SUM(N13,N23,N32))</f>
        <v>0.24279941142931347</v>
      </c>
    </row>
    <row r="25" spans="9:14" x14ac:dyDescent="0.25">
      <c r="I25" s="41"/>
      <c r="J25"/>
    </row>
    <row r="26" spans="9:14" x14ac:dyDescent="0.25">
      <c r="I26" s="41"/>
      <c r="J26"/>
      <c r="K26" t="s">
        <v>283</v>
      </c>
      <c r="M26" t="s">
        <v>286</v>
      </c>
      <c r="N26">
        <f>E14*M24</f>
        <v>6099121.2151043545</v>
      </c>
    </row>
    <row r="27" spans="9:14" x14ac:dyDescent="0.25">
      <c r="I27" s="41"/>
      <c r="J27"/>
      <c r="K27" t="s">
        <v>280</v>
      </c>
      <c r="M27" t="s">
        <v>286</v>
      </c>
      <c r="N27">
        <f>E13*M24</f>
        <v>3304499.9895529561</v>
      </c>
    </row>
    <row r="28" spans="9:14" x14ac:dyDescent="0.25">
      <c r="I28" s="41"/>
      <c r="J28"/>
      <c r="K28" t="s">
        <v>31</v>
      </c>
      <c r="M28" t="s">
        <v>286</v>
      </c>
      <c r="N28">
        <f>SUM(N26:N27)</f>
        <v>9403621.2046573106</v>
      </c>
    </row>
    <row r="29" spans="9:14" x14ac:dyDescent="0.25">
      <c r="I29" s="41"/>
      <c r="J29"/>
      <c r="K29" t="s">
        <v>31</v>
      </c>
      <c r="M29" t="s">
        <v>131</v>
      </c>
      <c r="N29">
        <f>N28/1000000</f>
        <v>9.4036212046573109</v>
      </c>
    </row>
    <row r="30" spans="9:14" x14ac:dyDescent="0.25">
      <c r="I30" s="41"/>
      <c r="J30"/>
    </row>
    <row r="31" spans="9:14" x14ac:dyDescent="0.25">
      <c r="I31" s="41"/>
      <c r="J31" s="6" t="s">
        <v>4</v>
      </c>
    </row>
    <row r="32" spans="9:14" x14ac:dyDescent="0.25">
      <c r="I32" s="41"/>
      <c r="J32" t="s">
        <v>133</v>
      </c>
      <c r="K32" t="s">
        <v>4</v>
      </c>
      <c r="M32" t="str">
        <f>'[1]Data herd'!K25</f>
        <v>Kg/year</v>
      </c>
      <c r="N32">
        <f>'Data herd'!M36</f>
        <v>293924.56327500008</v>
      </c>
    </row>
    <row r="33" spans="9:14" x14ac:dyDescent="0.25">
      <c r="I33" s="41"/>
      <c r="J33"/>
      <c r="K33" t="s">
        <v>284</v>
      </c>
      <c r="M33">
        <f>N32/(SUM(N13,N23,N32))</f>
        <v>2.3262625173255454E-2</v>
      </c>
    </row>
    <row r="34" spans="9:14" x14ac:dyDescent="0.25">
      <c r="I34" s="41"/>
      <c r="J34"/>
    </row>
    <row r="35" spans="9:14" x14ac:dyDescent="0.25">
      <c r="I35" s="41"/>
      <c r="J35"/>
      <c r="K35" t="s">
        <v>285</v>
      </c>
      <c r="M35" t="s">
        <v>286</v>
      </c>
      <c r="N35">
        <f>E14*M33</f>
        <v>584357.14435217704</v>
      </c>
    </row>
    <row r="36" spans="9:14" x14ac:dyDescent="0.25">
      <c r="I36" s="41"/>
      <c r="J36"/>
      <c r="K36" t="s">
        <v>287</v>
      </c>
      <c r="M36" t="s">
        <v>286</v>
      </c>
      <c r="N36">
        <f>E13*M33</f>
        <v>316604.3286080067</v>
      </c>
    </row>
    <row r="37" spans="9:14" x14ac:dyDescent="0.25">
      <c r="I37" s="41"/>
      <c r="J37"/>
      <c r="K37" t="s">
        <v>228</v>
      </c>
      <c r="M37" t="s">
        <v>286</v>
      </c>
      <c r="N37">
        <f>SUM(N35:N36)</f>
        <v>900961.47296018375</v>
      </c>
    </row>
    <row r="38" spans="9:14" x14ac:dyDescent="0.25">
      <c r="I38" s="41"/>
      <c r="J38"/>
      <c r="K38" t="s">
        <v>31</v>
      </c>
      <c r="M38" t="s">
        <v>131</v>
      </c>
      <c r="N38">
        <f>N37/1000000</f>
        <v>0.9009614729601837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29" sqref="J29"/>
    </sheetView>
  </sheetViews>
  <sheetFormatPr defaultRowHeight="15" x14ac:dyDescent="0.25"/>
  <cols>
    <col min="1" max="1" width="15.42578125" customWidth="1"/>
    <col min="2" max="2" width="22.28515625" customWidth="1"/>
    <col min="4" max="4" width="16.42578125" customWidth="1"/>
    <col min="6" max="6" width="20.140625" customWidth="1"/>
    <col min="7" max="7" width="19" customWidth="1"/>
    <col min="8" max="8" width="16.28515625" customWidth="1"/>
    <col min="9" max="9" width="19.85546875" style="17" customWidth="1"/>
    <col min="10" max="10" width="23.28515625" customWidth="1"/>
    <col min="11" max="11" width="14.140625" customWidth="1"/>
    <col min="12" max="12" width="16.28515625" customWidth="1"/>
    <col min="13" max="13" width="10" bestFit="1" customWidth="1"/>
  </cols>
  <sheetData>
    <row r="1" spans="1:15" x14ac:dyDescent="0.25">
      <c r="A1" s="6" t="s">
        <v>20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5" t="s">
        <v>122</v>
      </c>
      <c r="J1" s="8" t="s">
        <v>28</v>
      </c>
      <c r="K1" s="8" t="s">
        <v>7</v>
      </c>
      <c r="L1" s="8" t="s">
        <v>8</v>
      </c>
      <c r="M1" s="8" t="s">
        <v>9</v>
      </c>
      <c r="N1" s="32" t="s">
        <v>29</v>
      </c>
      <c r="O1" s="8" t="s">
        <v>124</v>
      </c>
    </row>
    <row r="2" spans="1:15" x14ac:dyDescent="0.25">
      <c r="A2" t="s">
        <v>21</v>
      </c>
      <c r="B2" t="s">
        <v>26</v>
      </c>
      <c r="C2">
        <v>2007</v>
      </c>
      <c r="D2" t="s">
        <v>23</v>
      </c>
      <c r="E2">
        <v>50700</v>
      </c>
      <c r="G2" t="s">
        <v>24</v>
      </c>
      <c r="I2" s="17" t="s">
        <v>252</v>
      </c>
      <c r="J2" t="s">
        <v>26</v>
      </c>
      <c r="K2">
        <v>2007</v>
      </c>
      <c r="L2" t="s">
        <v>141</v>
      </c>
      <c r="M2">
        <f>SUM(M3:M4)</f>
        <v>2476425</v>
      </c>
    </row>
    <row r="3" spans="1:15" x14ac:dyDescent="0.25">
      <c r="B3" t="s">
        <v>2</v>
      </c>
      <c r="C3">
        <v>2007</v>
      </c>
      <c r="D3" t="s">
        <v>23</v>
      </c>
      <c r="E3">
        <v>4450</v>
      </c>
      <c r="G3" t="s">
        <v>24</v>
      </c>
      <c r="J3" t="s">
        <v>253</v>
      </c>
      <c r="K3">
        <v>2007</v>
      </c>
      <c r="L3" t="s">
        <v>141</v>
      </c>
      <c r="M3">
        <f>(E3/2)*'Data herd'!E10</f>
        <v>1076900</v>
      </c>
    </row>
    <row r="4" spans="1:15" x14ac:dyDescent="0.25">
      <c r="B4" t="s">
        <v>25</v>
      </c>
      <c r="C4">
        <v>2007</v>
      </c>
      <c r="D4" t="s">
        <v>23</v>
      </c>
      <c r="E4">
        <v>45370</v>
      </c>
      <c r="G4" t="s">
        <v>24</v>
      </c>
      <c r="J4" t="s">
        <v>254</v>
      </c>
      <c r="K4">
        <v>2007</v>
      </c>
      <c r="L4" t="s">
        <v>141</v>
      </c>
      <c r="M4">
        <f>(E3/2)*'Data herd'!E11</f>
        <v>1399525</v>
      </c>
    </row>
    <row r="5" spans="1:15" x14ac:dyDescent="0.25">
      <c r="J5" t="s">
        <v>255</v>
      </c>
      <c r="K5">
        <v>2007</v>
      </c>
      <c r="L5" t="s">
        <v>141</v>
      </c>
    </row>
    <row r="7" spans="1:15" x14ac:dyDescent="0.25">
      <c r="J7" t="s">
        <v>256</v>
      </c>
      <c r="L7" t="s">
        <v>135</v>
      </c>
      <c r="M7">
        <f>M2/1000000</f>
        <v>2.4764249999999999</v>
      </c>
    </row>
    <row r="11" spans="1:15" x14ac:dyDescent="0.25">
      <c r="I11" s="15" t="s">
        <v>122</v>
      </c>
      <c r="J11" s="8" t="s">
        <v>28</v>
      </c>
      <c r="K11" s="8" t="s">
        <v>7</v>
      </c>
      <c r="L11" s="8" t="s">
        <v>8</v>
      </c>
      <c r="M11" s="8" t="s">
        <v>9</v>
      </c>
      <c r="N11" s="32" t="s">
        <v>29</v>
      </c>
      <c r="O11" s="8" t="s">
        <v>124</v>
      </c>
    </row>
    <row r="12" spans="1:15" x14ac:dyDescent="0.25">
      <c r="A12" s="6" t="s">
        <v>19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s="17" t="s">
        <v>252</v>
      </c>
      <c r="J12" t="s">
        <v>26</v>
      </c>
      <c r="K12">
        <v>2007</v>
      </c>
      <c r="L12" t="s">
        <v>141</v>
      </c>
      <c r="M12">
        <f>SUM(M13:M14)</f>
        <v>428799945</v>
      </c>
    </row>
    <row r="13" spans="1:15" x14ac:dyDescent="0.25">
      <c r="A13" t="s">
        <v>21</v>
      </c>
      <c r="B13" t="s">
        <v>22</v>
      </c>
      <c r="C13">
        <v>2007</v>
      </c>
      <c r="D13" t="s">
        <v>23</v>
      </c>
      <c r="E13">
        <v>1229480</v>
      </c>
      <c r="G13" t="s">
        <v>24</v>
      </c>
      <c r="J13" t="s">
        <v>253</v>
      </c>
      <c r="K13">
        <v>2007</v>
      </c>
      <c r="L13" t="s">
        <v>141</v>
      </c>
      <c r="M13">
        <f>(E14/2)*'Data herd'!E10</f>
        <v>186468260</v>
      </c>
    </row>
    <row r="14" spans="1:15" x14ac:dyDescent="0.25">
      <c r="B14" t="s">
        <v>2</v>
      </c>
      <c r="C14">
        <v>2007</v>
      </c>
      <c r="D14" t="s">
        <v>23</v>
      </c>
      <c r="E14">
        <v>770530</v>
      </c>
      <c r="G14" t="s">
        <v>24</v>
      </c>
      <c r="J14" t="s">
        <v>254</v>
      </c>
      <c r="K14">
        <v>2007</v>
      </c>
      <c r="L14" t="s">
        <v>141</v>
      </c>
      <c r="M14">
        <f>(E14/2)*'Data herd'!E11</f>
        <v>242331685</v>
      </c>
    </row>
    <row r="15" spans="1:15" x14ac:dyDescent="0.25">
      <c r="B15" t="s">
        <v>25</v>
      </c>
      <c r="C15">
        <v>2007</v>
      </c>
      <c r="D15" t="s">
        <v>23</v>
      </c>
      <c r="E15">
        <v>458960</v>
      </c>
      <c r="G15" t="s">
        <v>24</v>
      </c>
      <c r="J15" t="s">
        <v>255</v>
      </c>
      <c r="K15">
        <v>2007</v>
      </c>
      <c r="L15" t="s">
        <v>141</v>
      </c>
    </row>
    <row r="17" spans="10:13" x14ac:dyDescent="0.25">
      <c r="J17" t="s">
        <v>256</v>
      </c>
      <c r="L17" t="s">
        <v>135</v>
      </c>
      <c r="M17">
        <f>M12/1000000</f>
        <v>428.79994499999998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21" workbookViewId="0">
      <selection activeCell="D102" sqref="D102"/>
    </sheetView>
  </sheetViews>
  <sheetFormatPr defaultRowHeight="15" x14ac:dyDescent="0.25"/>
  <cols>
    <col min="1" max="1" width="32.140625" customWidth="1"/>
    <col min="2" max="2" width="28.140625" customWidth="1"/>
    <col min="3" max="3" width="25.5703125" customWidth="1"/>
    <col min="4" max="4" width="22.42578125" customWidth="1"/>
    <col min="5" max="5" width="17.7109375" customWidth="1"/>
    <col min="7" max="7" width="20.28515625" customWidth="1"/>
    <col min="8" max="8" width="19.7109375" customWidth="1"/>
    <col min="9" max="9" width="19.140625" customWidth="1"/>
  </cols>
  <sheetData>
    <row r="1" spans="1:5" x14ac:dyDescent="0.25">
      <c r="A1" s="2" t="s">
        <v>145</v>
      </c>
      <c r="C1" t="s">
        <v>8</v>
      </c>
      <c r="D1" t="s">
        <v>9</v>
      </c>
      <c r="E1" t="s">
        <v>11</v>
      </c>
    </row>
    <row r="2" spans="1:5" x14ac:dyDescent="0.25">
      <c r="A2" t="s">
        <v>146</v>
      </c>
      <c r="B2" t="s">
        <v>147</v>
      </c>
      <c r="C2" t="s">
        <v>148</v>
      </c>
      <c r="D2">
        <v>0.32200000000000001</v>
      </c>
      <c r="E2" t="s">
        <v>149</v>
      </c>
    </row>
    <row r="3" spans="1:5" x14ac:dyDescent="0.25">
      <c r="B3" t="s">
        <v>150</v>
      </c>
      <c r="C3" t="s">
        <v>148</v>
      </c>
      <c r="D3">
        <v>0.38600000000000001</v>
      </c>
      <c r="E3" t="s">
        <v>149</v>
      </c>
    </row>
    <row r="4" spans="1:5" x14ac:dyDescent="0.25">
      <c r="B4" t="s">
        <v>151</v>
      </c>
      <c r="C4" t="s">
        <v>148</v>
      </c>
      <c r="D4">
        <v>0.37</v>
      </c>
      <c r="E4" t="s">
        <v>149</v>
      </c>
    </row>
    <row r="6" spans="1:5" x14ac:dyDescent="0.25">
      <c r="A6" t="s">
        <v>152</v>
      </c>
      <c r="B6" t="s">
        <v>153</v>
      </c>
      <c r="C6" t="s">
        <v>91</v>
      </c>
      <c r="D6">
        <v>0.17</v>
      </c>
      <c r="E6" t="s">
        <v>149</v>
      </c>
    </row>
    <row r="9" spans="1:5" x14ac:dyDescent="0.25">
      <c r="A9" t="s">
        <v>154</v>
      </c>
      <c r="B9" t="s">
        <v>155</v>
      </c>
      <c r="C9" t="s">
        <v>91</v>
      </c>
      <c r="D9">
        <v>0.8</v>
      </c>
      <c r="E9" t="s">
        <v>149</v>
      </c>
    </row>
    <row r="10" spans="1:5" x14ac:dyDescent="0.25">
      <c r="B10" t="s">
        <v>156</v>
      </c>
      <c r="C10" t="s">
        <v>91</v>
      </c>
      <c r="D10">
        <v>1.2</v>
      </c>
      <c r="E10" t="s">
        <v>149</v>
      </c>
    </row>
    <row r="12" spans="1:5" x14ac:dyDescent="0.25">
      <c r="A12" t="s">
        <v>157</v>
      </c>
      <c r="B12" t="s">
        <v>158</v>
      </c>
      <c r="C12" t="s">
        <v>66</v>
      </c>
      <c r="D12" s="22">
        <v>65</v>
      </c>
      <c r="E12" t="s">
        <v>149</v>
      </c>
    </row>
    <row r="13" spans="1:5" x14ac:dyDescent="0.25">
      <c r="A13" t="s">
        <v>157</v>
      </c>
      <c r="B13" t="s">
        <v>159</v>
      </c>
      <c r="C13" t="s">
        <v>66</v>
      </c>
      <c r="D13" s="22">
        <v>75</v>
      </c>
      <c r="E13" t="s">
        <v>149</v>
      </c>
    </row>
    <row r="14" spans="1:5" x14ac:dyDescent="0.25">
      <c r="A14" t="s">
        <v>157</v>
      </c>
      <c r="B14" t="s">
        <v>160</v>
      </c>
      <c r="C14" t="s">
        <v>66</v>
      </c>
      <c r="D14" s="22">
        <v>70</v>
      </c>
      <c r="E14" t="s">
        <v>149</v>
      </c>
    </row>
    <row r="17" spans="1:9" x14ac:dyDescent="0.25">
      <c r="A17" t="s">
        <v>161</v>
      </c>
      <c r="B17" t="s">
        <v>162</v>
      </c>
      <c r="C17" t="s">
        <v>66</v>
      </c>
      <c r="D17">
        <v>4.0599999999999996</v>
      </c>
      <c r="E17" t="s">
        <v>55</v>
      </c>
    </row>
    <row r="18" spans="1:9" x14ac:dyDescent="0.25">
      <c r="A18" t="s">
        <v>161</v>
      </c>
      <c r="B18" t="s">
        <v>163</v>
      </c>
      <c r="C18" t="s">
        <v>164</v>
      </c>
      <c r="D18" s="23">
        <f>7556/365</f>
        <v>20.701369863013699</v>
      </c>
      <c r="E18" t="s">
        <v>55</v>
      </c>
    </row>
    <row r="20" spans="1:9" x14ac:dyDescent="0.25">
      <c r="A20" t="s">
        <v>165</v>
      </c>
      <c r="B20" t="s">
        <v>166</v>
      </c>
      <c r="C20" t="s">
        <v>167</v>
      </c>
      <c r="D20">
        <v>0.1</v>
      </c>
      <c r="E20" t="s">
        <v>149</v>
      </c>
    </row>
    <row r="22" spans="1:9" x14ac:dyDescent="0.25">
      <c r="A22" s="2" t="s">
        <v>168</v>
      </c>
    </row>
    <row r="23" spans="1:9" x14ac:dyDescent="0.25">
      <c r="A23" s="6" t="s">
        <v>2</v>
      </c>
    </row>
    <row r="24" spans="1:9" x14ac:dyDescent="0.25">
      <c r="A24" s="24" t="s">
        <v>169</v>
      </c>
      <c r="B24" s="25">
        <f>'Data herd'!E82</f>
        <v>343.23444421948358</v>
      </c>
    </row>
    <row r="25" spans="1:9" x14ac:dyDescent="0.25">
      <c r="A25" s="24" t="s">
        <v>170</v>
      </c>
      <c r="B25" s="25">
        <f>'Data herd'!E83</f>
        <v>119.76012167015399</v>
      </c>
    </row>
    <row r="26" spans="1:9" x14ac:dyDescent="0.25">
      <c r="A26" s="26" t="s">
        <v>171</v>
      </c>
      <c r="C26" t="s">
        <v>172</v>
      </c>
      <c r="D26" t="s">
        <v>173</v>
      </c>
      <c r="E26" t="s">
        <v>174</v>
      </c>
      <c r="G26" t="s">
        <v>175</v>
      </c>
      <c r="I26" t="s">
        <v>176</v>
      </c>
    </row>
    <row r="27" spans="1:9" x14ac:dyDescent="0.25">
      <c r="B27" s="27" t="s">
        <v>177</v>
      </c>
      <c r="C27">
        <v>18.7</v>
      </c>
      <c r="D27">
        <v>15.5</v>
      </c>
      <c r="E27">
        <f t="shared" ref="E27:E42" si="0">D27/100</f>
        <v>0.155</v>
      </c>
      <c r="F27">
        <f>$B$24*E27</f>
        <v>53.201338854019951</v>
      </c>
      <c r="G27">
        <f>F27/C27</f>
        <v>2.8449913825679118</v>
      </c>
      <c r="H27">
        <f>$B$25*E27</f>
        <v>18.562818858873868</v>
      </c>
      <c r="I27">
        <f>H27/C27</f>
        <v>0.99266411010020683</v>
      </c>
    </row>
    <row r="28" spans="1:9" x14ac:dyDescent="0.25">
      <c r="B28" s="27" t="s">
        <v>178</v>
      </c>
      <c r="C28">
        <f>(C31+C27)/2</f>
        <v>18.799999999999997</v>
      </c>
      <c r="D28">
        <v>21.1</v>
      </c>
      <c r="E28">
        <f t="shared" si="0"/>
        <v>0.21100000000000002</v>
      </c>
      <c r="F28">
        <f t="shared" ref="F28:F42" si="1">$B$24*E28</f>
        <v>72.422467730311041</v>
      </c>
      <c r="G28">
        <f t="shared" ref="G28:G42" si="2">F28/C28</f>
        <v>3.8522589218250558</v>
      </c>
      <c r="H28">
        <f t="shared" ref="H28:H42" si="3">$B$25*E28</f>
        <v>25.269385672402496</v>
      </c>
      <c r="I28">
        <f t="shared" ref="I28:I42" si="4">H28/C28</f>
        <v>1.3441162591703457</v>
      </c>
    </row>
    <row r="29" spans="1:9" x14ac:dyDescent="0.25">
      <c r="B29" s="27" t="s">
        <v>179</v>
      </c>
      <c r="C29">
        <v>18.5</v>
      </c>
      <c r="D29">
        <v>1.7</v>
      </c>
      <c r="E29">
        <f t="shared" si="0"/>
        <v>1.7000000000000001E-2</v>
      </c>
      <c r="F29">
        <f t="shared" si="1"/>
        <v>5.8349855517312212</v>
      </c>
      <c r="G29">
        <f t="shared" si="2"/>
        <v>0.31540462441790384</v>
      </c>
      <c r="H29">
        <f t="shared" si="3"/>
        <v>2.035922068392618</v>
      </c>
      <c r="I29">
        <f t="shared" si="4"/>
        <v>0.11004984153473611</v>
      </c>
    </row>
    <row r="30" spans="1:9" x14ac:dyDescent="0.25">
      <c r="B30" s="27" t="s">
        <v>180</v>
      </c>
      <c r="C30">
        <f>(C31+C29)/2</f>
        <v>18.7</v>
      </c>
      <c r="D30">
        <v>2.2999999999999998</v>
      </c>
      <c r="E30">
        <f t="shared" si="0"/>
        <v>2.3E-2</v>
      </c>
      <c r="F30">
        <f t="shared" si="1"/>
        <v>7.8943922170481224</v>
      </c>
      <c r="G30">
        <f t="shared" si="2"/>
        <v>0.42216001160685146</v>
      </c>
      <c r="H30">
        <f t="shared" si="3"/>
        <v>2.7544827984135418</v>
      </c>
      <c r="I30">
        <f t="shared" si="4"/>
        <v>0.14729854536970813</v>
      </c>
    </row>
    <row r="31" spans="1:9" x14ac:dyDescent="0.25">
      <c r="B31" s="27" t="s">
        <v>181</v>
      </c>
      <c r="C31">
        <v>18.899999999999999</v>
      </c>
      <c r="D31">
        <v>46.9</v>
      </c>
      <c r="E31">
        <f t="shared" si="0"/>
        <v>0.46899999999999997</v>
      </c>
      <c r="F31">
        <f t="shared" si="1"/>
        <v>160.97695433893779</v>
      </c>
      <c r="G31">
        <f t="shared" si="2"/>
        <v>8.51729917137237</v>
      </c>
      <c r="H31">
        <f t="shared" si="3"/>
        <v>56.167497063302221</v>
      </c>
      <c r="I31">
        <f t="shared" si="4"/>
        <v>2.9718252414445621</v>
      </c>
    </row>
    <row r="32" spans="1:9" x14ac:dyDescent="0.25">
      <c r="B32" s="27" t="s">
        <v>182</v>
      </c>
      <c r="C32">
        <v>18.899999999999999</v>
      </c>
      <c r="D32">
        <v>4.7</v>
      </c>
      <c r="E32">
        <f t="shared" si="0"/>
        <v>4.7E-2</v>
      </c>
      <c r="F32">
        <f t="shared" si="1"/>
        <v>16.13201887831573</v>
      </c>
      <c r="G32">
        <f t="shared" si="2"/>
        <v>0.85354597239765773</v>
      </c>
      <c r="H32">
        <f t="shared" si="3"/>
        <v>5.6287257184972379</v>
      </c>
      <c r="I32">
        <f t="shared" si="4"/>
        <v>0.29781617558186446</v>
      </c>
    </row>
    <row r="33" spans="1:9" x14ac:dyDescent="0.25">
      <c r="B33" s="27" t="s">
        <v>183</v>
      </c>
      <c r="C33">
        <v>16.7</v>
      </c>
      <c r="D33">
        <v>0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25">
      <c r="B34" s="27" t="s">
        <v>184</v>
      </c>
      <c r="C34">
        <v>18.600000000000001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B35" s="27" t="s">
        <v>185</v>
      </c>
      <c r="C35">
        <v>18.3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25">
      <c r="B36" s="27" t="s">
        <v>186</v>
      </c>
      <c r="C36">
        <v>19.7</v>
      </c>
      <c r="D36"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B37" s="27" t="s">
        <v>187</v>
      </c>
      <c r="C37">
        <v>21.5</v>
      </c>
      <c r="D37">
        <v>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B38" s="27" t="s">
        <v>188</v>
      </c>
      <c r="C38">
        <v>17.100000000000001</v>
      </c>
      <c r="D38">
        <v>3.1</v>
      </c>
      <c r="E38">
        <f t="shared" si="0"/>
        <v>3.1E-2</v>
      </c>
      <c r="F38">
        <f t="shared" si="1"/>
        <v>10.640267770803991</v>
      </c>
      <c r="G38">
        <f t="shared" si="2"/>
        <v>0.62223788133356672</v>
      </c>
      <c r="H38">
        <f t="shared" si="3"/>
        <v>3.7125637717747737</v>
      </c>
      <c r="I38">
        <f t="shared" si="4"/>
        <v>0.21710899250144874</v>
      </c>
    </row>
    <row r="39" spans="1:9" x14ac:dyDescent="0.25">
      <c r="B39" s="27" t="s">
        <v>189</v>
      </c>
      <c r="C39">
        <v>18.899999999999999</v>
      </c>
      <c r="D39">
        <v>0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x14ac:dyDescent="0.25">
      <c r="B40" s="27" t="s">
        <v>190</v>
      </c>
      <c r="C40">
        <v>15.5</v>
      </c>
      <c r="D40">
        <v>0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25">
      <c r="B41" s="27" t="s">
        <v>191</v>
      </c>
      <c r="C41">
        <v>18.7</v>
      </c>
      <c r="D41"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B42" s="27" t="s">
        <v>192</v>
      </c>
      <c r="C42">
        <v>19.100000000000001</v>
      </c>
      <c r="D42">
        <v>4.7</v>
      </c>
      <c r="E42">
        <f t="shared" si="0"/>
        <v>4.7E-2</v>
      </c>
      <c r="F42">
        <f t="shared" si="1"/>
        <v>16.13201887831573</v>
      </c>
      <c r="G42">
        <f t="shared" si="2"/>
        <v>0.84460831823642557</v>
      </c>
      <c r="H42">
        <f t="shared" si="3"/>
        <v>5.6287257184972379</v>
      </c>
      <c r="I42">
        <f t="shared" si="4"/>
        <v>0.294697681596714</v>
      </c>
    </row>
    <row r="43" spans="1:9" ht="15.75" thickBot="1" x14ac:dyDescent="0.3"/>
    <row r="44" spans="1:9" ht="15.75" thickBot="1" x14ac:dyDescent="0.3">
      <c r="A44" s="28" t="s">
        <v>193</v>
      </c>
      <c r="B44" s="28"/>
      <c r="C44" s="28" t="s">
        <v>194</v>
      </c>
      <c r="D44" s="28" t="s">
        <v>195</v>
      </c>
    </row>
    <row r="45" spans="1:9" ht="15.75" thickBot="1" x14ac:dyDescent="0.3">
      <c r="A45" s="28"/>
      <c r="B45" s="28" t="s">
        <v>196</v>
      </c>
      <c r="C45" s="28">
        <f>SUM(D27:D33)</f>
        <v>92.2</v>
      </c>
      <c r="D45" s="28">
        <f>SUM(G27:G33)</f>
        <v>16.80566008418775</v>
      </c>
    </row>
    <row r="46" spans="1:9" ht="15.75" thickBot="1" x14ac:dyDescent="0.3">
      <c r="A46" s="28"/>
      <c r="B46" s="28" t="s">
        <v>197</v>
      </c>
      <c r="C46" s="28">
        <f>SUM(D34:D35)</f>
        <v>0</v>
      </c>
      <c r="D46" s="28">
        <f>SUM(G34:G35)</f>
        <v>0</v>
      </c>
    </row>
    <row r="47" spans="1:9" ht="15.75" thickBot="1" x14ac:dyDescent="0.3">
      <c r="A47" s="28"/>
      <c r="B47" s="28" t="s">
        <v>198</v>
      </c>
      <c r="C47" s="28">
        <f>SUM(D36:D42)</f>
        <v>7.8000000000000007</v>
      </c>
      <c r="D47" s="28">
        <f>SUM(G36:G42)</f>
        <v>1.4668461995699924</v>
      </c>
    </row>
    <row r="48" spans="1:9" ht="15.75" thickBot="1" x14ac:dyDescent="0.3">
      <c r="A48" s="28" t="s">
        <v>31</v>
      </c>
      <c r="B48" s="28"/>
      <c r="C48" s="28">
        <f>SUM(C45:C47)</f>
        <v>100</v>
      </c>
      <c r="D48" s="28">
        <f>SUM(D45:D47)</f>
        <v>18.272506283757743</v>
      </c>
    </row>
    <row r="49" spans="1:7" ht="15.75" thickBot="1" x14ac:dyDescent="0.3"/>
    <row r="50" spans="1:7" ht="15.75" thickBot="1" x14ac:dyDescent="0.3">
      <c r="A50" s="28" t="s">
        <v>199</v>
      </c>
      <c r="B50" s="28"/>
      <c r="C50" s="28" t="s">
        <v>194</v>
      </c>
      <c r="D50" s="28" t="s">
        <v>195</v>
      </c>
    </row>
    <row r="51" spans="1:7" ht="15.75" thickBot="1" x14ac:dyDescent="0.3">
      <c r="A51" s="28"/>
      <c r="B51" s="28" t="s">
        <v>196</v>
      </c>
      <c r="C51" s="28">
        <f>SUM(D27:D33)</f>
        <v>92.2</v>
      </c>
      <c r="D51" s="28">
        <f>SUM(I27:I33)</f>
        <v>5.8637701732014236</v>
      </c>
    </row>
    <row r="52" spans="1:7" ht="15.75" thickBot="1" x14ac:dyDescent="0.3">
      <c r="A52" s="28"/>
      <c r="B52" s="28" t="s">
        <v>197</v>
      </c>
      <c r="C52" s="28">
        <f>SUM(D34:D35)</f>
        <v>0</v>
      </c>
      <c r="D52" s="28">
        <f>SUM(I34:I35)</f>
        <v>0</v>
      </c>
    </row>
    <row r="53" spans="1:7" ht="15.75" thickBot="1" x14ac:dyDescent="0.3">
      <c r="A53" s="28"/>
      <c r="B53" s="28" t="s">
        <v>198</v>
      </c>
      <c r="C53" s="28">
        <f>SUM(D35:D42)</f>
        <v>7.8000000000000007</v>
      </c>
      <c r="D53" s="28">
        <f>SUM(I36:I42)</f>
        <v>0.51180667409816272</v>
      </c>
    </row>
    <row r="54" spans="1:7" ht="15.75" thickBot="1" x14ac:dyDescent="0.3">
      <c r="A54" s="28" t="s">
        <v>31</v>
      </c>
      <c r="B54" s="28"/>
      <c r="C54" s="28">
        <f>SUM(C51:C53)</f>
        <v>100</v>
      </c>
      <c r="D54" s="28">
        <f>SUM(D51:D53)</f>
        <v>6.3755768472995866</v>
      </c>
    </row>
    <row r="56" spans="1:7" x14ac:dyDescent="0.25">
      <c r="A56" s="6" t="s">
        <v>200</v>
      </c>
    </row>
    <row r="57" spans="1:7" x14ac:dyDescent="0.25">
      <c r="A57" s="6" t="s">
        <v>201</v>
      </c>
      <c r="B57" s="24">
        <f>'Data herd'!E84</f>
        <v>162.79745076006742</v>
      </c>
    </row>
    <row r="58" spans="1:7" x14ac:dyDescent="0.25">
      <c r="C58" t="s">
        <v>172</v>
      </c>
      <c r="D58" t="s">
        <v>173</v>
      </c>
      <c r="E58" t="s">
        <v>202</v>
      </c>
      <c r="G58" t="s">
        <v>203</v>
      </c>
    </row>
    <row r="59" spans="1:7" x14ac:dyDescent="0.25">
      <c r="B59" s="27" t="s">
        <v>177</v>
      </c>
      <c r="C59">
        <v>18.7</v>
      </c>
      <c r="D59">
        <v>15.5</v>
      </c>
      <c r="E59">
        <f t="shared" ref="E59:E74" si="5">D59/100</f>
        <v>0.155</v>
      </c>
      <c r="F59">
        <f>$B$57*E59</f>
        <v>25.233604867810449</v>
      </c>
      <c r="G59">
        <f>F59/C59</f>
        <v>1.3493906346422702</v>
      </c>
    </row>
    <row r="60" spans="1:7" x14ac:dyDescent="0.25">
      <c r="B60" s="27" t="s">
        <v>204</v>
      </c>
      <c r="C60">
        <f>(C63+C59)/2</f>
        <v>18.799999999999997</v>
      </c>
      <c r="D60">
        <v>21.1</v>
      </c>
      <c r="E60">
        <f t="shared" si="5"/>
        <v>0.21100000000000002</v>
      </c>
      <c r="F60">
        <f t="shared" ref="F60:F74" si="6">$B$57*E60</f>
        <v>34.350262110374231</v>
      </c>
      <c r="G60">
        <f t="shared" ref="G60:G74" si="7">F60/C60</f>
        <v>1.827141601615651</v>
      </c>
    </row>
    <row r="61" spans="1:7" x14ac:dyDescent="0.25">
      <c r="B61" s="27" t="s">
        <v>205</v>
      </c>
      <c r="C61">
        <v>18.5</v>
      </c>
      <c r="D61">
        <v>1.7</v>
      </c>
      <c r="E61">
        <f t="shared" si="5"/>
        <v>1.7000000000000001E-2</v>
      </c>
      <c r="F61">
        <f t="shared" si="6"/>
        <v>2.7675566629211463</v>
      </c>
      <c r="G61">
        <f t="shared" si="7"/>
        <v>0.1495976574551971</v>
      </c>
    </row>
    <row r="62" spans="1:7" x14ac:dyDescent="0.25">
      <c r="B62" s="27" t="s">
        <v>206</v>
      </c>
      <c r="C62">
        <f>(C63+C61)/2</f>
        <v>18.7</v>
      </c>
      <c r="D62">
        <v>2.2999999999999998</v>
      </c>
      <c r="E62">
        <f t="shared" si="5"/>
        <v>2.3E-2</v>
      </c>
      <c r="F62">
        <f t="shared" si="6"/>
        <v>3.7443413674815504</v>
      </c>
      <c r="G62">
        <f t="shared" si="7"/>
        <v>0.20023215868885297</v>
      </c>
    </row>
    <row r="63" spans="1:7" x14ac:dyDescent="0.25">
      <c r="B63" s="27" t="s">
        <v>181</v>
      </c>
      <c r="C63">
        <v>18.899999999999999</v>
      </c>
      <c r="D63">
        <v>46.9</v>
      </c>
      <c r="E63">
        <f t="shared" si="5"/>
        <v>0.46899999999999997</v>
      </c>
      <c r="F63">
        <f t="shared" si="6"/>
        <v>76.352004406471622</v>
      </c>
      <c r="G63">
        <f t="shared" si="7"/>
        <v>4.0397885929350066</v>
      </c>
    </row>
    <row r="64" spans="1:7" x14ac:dyDescent="0.25">
      <c r="B64" s="27" t="s">
        <v>207</v>
      </c>
      <c r="C64">
        <v>18.899999999999999</v>
      </c>
      <c r="D64">
        <v>4.7</v>
      </c>
      <c r="E64">
        <f t="shared" si="5"/>
        <v>4.7E-2</v>
      </c>
      <c r="F64">
        <f t="shared" si="6"/>
        <v>7.6514801857231687</v>
      </c>
      <c r="G64">
        <f t="shared" si="7"/>
        <v>0.40484022146683435</v>
      </c>
    </row>
    <row r="65" spans="1:7" x14ac:dyDescent="0.25">
      <c r="B65" s="27" t="s">
        <v>183</v>
      </c>
      <c r="C65">
        <v>16.7</v>
      </c>
      <c r="D65">
        <v>0</v>
      </c>
      <c r="E65">
        <f t="shared" si="5"/>
        <v>0</v>
      </c>
      <c r="F65">
        <f t="shared" si="6"/>
        <v>0</v>
      </c>
      <c r="G65">
        <f t="shared" si="7"/>
        <v>0</v>
      </c>
    </row>
    <row r="66" spans="1:7" x14ac:dyDescent="0.25">
      <c r="B66" s="27" t="s">
        <v>184</v>
      </c>
      <c r="C66">
        <v>18.600000000000001</v>
      </c>
      <c r="D66">
        <v>0</v>
      </c>
      <c r="E66">
        <f t="shared" si="5"/>
        <v>0</v>
      </c>
      <c r="F66">
        <f t="shared" si="6"/>
        <v>0</v>
      </c>
      <c r="G66">
        <f t="shared" si="7"/>
        <v>0</v>
      </c>
    </row>
    <row r="67" spans="1:7" x14ac:dyDescent="0.25">
      <c r="B67" s="27" t="s">
        <v>197</v>
      </c>
      <c r="C67">
        <v>18.3</v>
      </c>
      <c r="D67">
        <v>0</v>
      </c>
      <c r="E67">
        <f t="shared" si="5"/>
        <v>0</v>
      </c>
      <c r="F67">
        <f t="shared" si="6"/>
        <v>0</v>
      </c>
      <c r="G67">
        <f t="shared" si="7"/>
        <v>0</v>
      </c>
    </row>
    <row r="68" spans="1:7" x14ac:dyDescent="0.25">
      <c r="B68" s="27" t="s">
        <v>186</v>
      </c>
      <c r="C68">
        <v>19.7</v>
      </c>
      <c r="D68"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25">
      <c r="B69" s="27" t="s">
        <v>187</v>
      </c>
      <c r="C69">
        <v>21.5</v>
      </c>
      <c r="D69"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B70" s="27" t="s">
        <v>188</v>
      </c>
      <c r="C70">
        <v>17.100000000000001</v>
      </c>
      <c r="D70">
        <v>3.1</v>
      </c>
      <c r="E70">
        <f t="shared" si="5"/>
        <v>3.1E-2</v>
      </c>
      <c r="F70">
        <f t="shared" si="6"/>
        <v>5.0467209735620902</v>
      </c>
      <c r="G70">
        <f t="shared" si="7"/>
        <v>0.29512988149485903</v>
      </c>
    </row>
    <row r="71" spans="1:7" x14ac:dyDescent="0.25">
      <c r="B71" s="27" t="s">
        <v>208</v>
      </c>
      <c r="C71">
        <v>18.899999999999999</v>
      </c>
      <c r="D71">
        <v>0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25">
      <c r="B72" s="27" t="s">
        <v>209</v>
      </c>
      <c r="C72">
        <v>15.5</v>
      </c>
      <c r="D72">
        <v>0</v>
      </c>
      <c r="E72">
        <f t="shared" si="5"/>
        <v>0</v>
      </c>
      <c r="F72">
        <f t="shared" si="6"/>
        <v>0</v>
      </c>
      <c r="G72">
        <f t="shared" si="7"/>
        <v>0</v>
      </c>
    </row>
    <row r="73" spans="1:7" x14ac:dyDescent="0.25">
      <c r="B73" s="27" t="s">
        <v>191</v>
      </c>
      <c r="C73">
        <v>18.7</v>
      </c>
      <c r="D73"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25">
      <c r="B74" s="27" t="s">
        <v>210</v>
      </c>
      <c r="C74">
        <v>19.100000000000001</v>
      </c>
      <c r="D74">
        <v>4.7</v>
      </c>
      <c r="E74">
        <f t="shared" si="5"/>
        <v>4.7E-2</v>
      </c>
      <c r="F74">
        <f t="shared" si="6"/>
        <v>7.6514801857231687</v>
      </c>
      <c r="G74">
        <f t="shared" si="7"/>
        <v>0.40060105684414493</v>
      </c>
    </row>
    <row r="75" spans="1:7" ht="15.75" thickBot="1" x14ac:dyDescent="0.3">
      <c r="C75" s="29"/>
      <c r="D75" s="29"/>
    </row>
    <row r="76" spans="1:7" ht="15.75" thickBot="1" x14ac:dyDescent="0.3">
      <c r="A76" s="28" t="s">
        <v>211</v>
      </c>
      <c r="B76" s="28"/>
      <c r="C76" s="28" t="s">
        <v>194</v>
      </c>
      <c r="D76" s="28" t="s">
        <v>195</v>
      </c>
    </row>
    <row r="77" spans="1:7" ht="15.75" thickBot="1" x14ac:dyDescent="0.3">
      <c r="A77" s="28"/>
      <c r="B77" s="28" t="s">
        <v>196</v>
      </c>
      <c r="C77" s="28">
        <f>SUM(D59:D65)</f>
        <v>92.2</v>
      </c>
      <c r="D77" s="28">
        <f>SUM(G59:G65)</f>
        <v>7.9709908668038114</v>
      </c>
    </row>
    <row r="78" spans="1:7" ht="15.75" thickBot="1" x14ac:dyDescent="0.3">
      <c r="A78" s="28"/>
      <c r="B78" s="28" t="s">
        <v>197</v>
      </c>
      <c r="C78" s="28">
        <f>SUM(D66:D67)</f>
        <v>0</v>
      </c>
      <c r="D78" s="28">
        <f>SUM(G66:G67)</f>
        <v>0</v>
      </c>
    </row>
    <row r="79" spans="1:7" ht="15.75" thickBot="1" x14ac:dyDescent="0.3">
      <c r="A79" s="28"/>
      <c r="B79" s="28" t="s">
        <v>198</v>
      </c>
      <c r="C79" s="28">
        <f>SUM(D68:D74)</f>
        <v>7.8000000000000007</v>
      </c>
      <c r="D79" s="28">
        <f>SUM(G68:G74)</f>
        <v>0.69573093833900401</v>
      </c>
    </row>
    <row r="80" spans="1:7" ht="15.75" thickBot="1" x14ac:dyDescent="0.3">
      <c r="A80" s="28" t="s">
        <v>31</v>
      </c>
      <c r="B80" s="28"/>
      <c r="C80" s="28">
        <f>SUM(C77:C79)</f>
        <v>100</v>
      </c>
      <c r="D80" s="28">
        <f>SUM(D77:D79)</f>
        <v>8.6667218051428154</v>
      </c>
    </row>
    <row r="82" spans="1:7" x14ac:dyDescent="0.25">
      <c r="A82" s="6" t="s">
        <v>3</v>
      </c>
    </row>
    <row r="83" spans="1:7" x14ac:dyDescent="0.25">
      <c r="A83" s="6" t="s">
        <v>212</v>
      </c>
      <c r="B83" s="30">
        <f>'Data herd'!E85-C103</f>
        <v>55.639360208788162</v>
      </c>
    </row>
    <row r="84" spans="1:7" x14ac:dyDescent="0.25">
      <c r="A84" s="6" t="s">
        <v>213</v>
      </c>
      <c r="B84" s="30">
        <f>'Data herd'!E85</f>
        <v>79.139360208788162</v>
      </c>
    </row>
    <row r="85" spans="1:7" x14ac:dyDescent="0.25">
      <c r="C85" t="s">
        <v>172</v>
      </c>
      <c r="D85" t="s">
        <v>173</v>
      </c>
      <c r="E85" t="s">
        <v>202</v>
      </c>
      <c r="G85" t="s">
        <v>203</v>
      </c>
    </row>
    <row r="86" spans="1:7" x14ac:dyDescent="0.25">
      <c r="B86" s="27" t="s">
        <v>177</v>
      </c>
      <c r="C86">
        <v>18.7</v>
      </c>
      <c r="D86">
        <v>43.8</v>
      </c>
      <c r="E86">
        <f>D86/100</f>
        <v>0.43799999999999994</v>
      </c>
      <c r="F86">
        <f>$B$83*E86</f>
        <v>24.370039771449211</v>
      </c>
      <c r="G86">
        <f>F86/C86</f>
        <v>1.3032106829651984</v>
      </c>
    </row>
    <row r="87" spans="1:7" x14ac:dyDescent="0.25">
      <c r="B87" s="27" t="s">
        <v>204</v>
      </c>
      <c r="C87">
        <f>(C90+C86)/2</f>
        <v>18.799999999999997</v>
      </c>
      <c r="D87">
        <v>12</v>
      </c>
      <c r="E87">
        <f t="shared" ref="E87:E101" si="8">D87/100</f>
        <v>0.12</v>
      </c>
      <c r="F87">
        <f t="shared" ref="F87:F100" si="9">$B$83*E87</f>
        <v>6.6767232250545794</v>
      </c>
      <c r="G87">
        <f t="shared" ref="G87:G101" si="10">F87/C87</f>
        <v>0.35514485239652022</v>
      </c>
    </row>
    <row r="88" spans="1:7" x14ac:dyDescent="0.25">
      <c r="B88" s="27" t="s">
        <v>205</v>
      </c>
      <c r="C88">
        <v>18.5</v>
      </c>
      <c r="D88">
        <v>1</v>
      </c>
      <c r="E88">
        <f t="shared" si="8"/>
        <v>0.01</v>
      </c>
      <c r="F88">
        <f t="shared" si="9"/>
        <v>0.55639360208788158</v>
      </c>
      <c r="G88">
        <f t="shared" si="10"/>
        <v>3.0075329842588195E-2</v>
      </c>
    </row>
    <row r="89" spans="1:7" x14ac:dyDescent="0.25">
      <c r="B89" s="27" t="s">
        <v>206</v>
      </c>
      <c r="C89">
        <f>(C90+C88)/2</f>
        <v>18.7</v>
      </c>
      <c r="D89">
        <v>1.3</v>
      </c>
      <c r="E89">
        <f t="shared" si="8"/>
        <v>1.3000000000000001E-2</v>
      </c>
      <c r="F89">
        <f t="shared" si="9"/>
        <v>0.72331168271424617</v>
      </c>
      <c r="G89">
        <f t="shared" si="10"/>
        <v>3.8679769129104077E-2</v>
      </c>
    </row>
    <row r="90" spans="1:7" x14ac:dyDescent="0.25">
      <c r="B90" s="27" t="s">
        <v>181</v>
      </c>
      <c r="C90">
        <v>18.899999999999999</v>
      </c>
      <c r="D90">
        <v>26.7</v>
      </c>
      <c r="E90">
        <f t="shared" si="8"/>
        <v>0.26700000000000002</v>
      </c>
      <c r="F90">
        <f t="shared" si="9"/>
        <v>14.855709175746441</v>
      </c>
      <c r="G90">
        <f t="shared" si="10"/>
        <v>0.78601635850510276</v>
      </c>
    </row>
    <row r="91" spans="1:7" x14ac:dyDescent="0.25">
      <c r="B91" s="27" t="s">
        <v>207</v>
      </c>
      <c r="C91">
        <v>18.899999999999999</v>
      </c>
      <c r="D91">
        <v>2.7</v>
      </c>
      <c r="E91">
        <f t="shared" si="8"/>
        <v>2.7000000000000003E-2</v>
      </c>
      <c r="F91">
        <f t="shared" si="9"/>
        <v>1.5022627256372805</v>
      </c>
      <c r="G91">
        <f t="shared" si="10"/>
        <v>7.9484800298268821E-2</v>
      </c>
    </row>
    <row r="92" spans="1:7" x14ac:dyDescent="0.25">
      <c r="B92" s="27" t="s">
        <v>183</v>
      </c>
      <c r="C92">
        <v>16.7</v>
      </c>
      <c r="D92">
        <v>0</v>
      </c>
      <c r="E92">
        <f t="shared" si="8"/>
        <v>0</v>
      </c>
      <c r="F92">
        <f t="shared" si="9"/>
        <v>0</v>
      </c>
      <c r="G92">
        <f t="shared" si="10"/>
        <v>0</v>
      </c>
    </row>
    <row r="93" spans="1:7" x14ac:dyDescent="0.25">
      <c r="B93" s="27" t="s">
        <v>184</v>
      </c>
      <c r="C93">
        <v>18.600000000000001</v>
      </c>
      <c r="D93">
        <v>3</v>
      </c>
      <c r="E93">
        <f t="shared" si="8"/>
        <v>0.03</v>
      </c>
      <c r="F93">
        <f t="shared" si="9"/>
        <v>1.6691808062636448</v>
      </c>
      <c r="G93">
        <f t="shared" si="10"/>
        <v>8.974090356256155E-2</v>
      </c>
    </row>
    <row r="94" spans="1:7" x14ac:dyDescent="0.25">
      <c r="B94" s="27" t="s">
        <v>197</v>
      </c>
      <c r="C94">
        <v>18.3</v>
      </c>
      <c r="D94">
        <v>5</v>
      </c>
      <c r="E94">
        <f t="shared" si="8"/>
        <v>0.05</v>
      </c>
      <c r="F94">
        <f t="shared" si="9"/>
        <v>2.7819680104394084</v>
      </c>
      <c r="G94">
        <f t="shared" si="10"/>
        <v>0.15202010986007697</v>
      </c>
    </row>
    <row r="95" spans="1:7" x14ac:dyDescent="0.25">
      <c r="B95" s="27" t="s">
        <v>186</v>
      </c>
      <c r="C95">
        <v>19.7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7" x14ac:dyDescent="0.25">
      <c r="B96" s="27" t="s">
        <v>187</v>
      </c>
      <c r="C96">
        <v>21.5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B97" s="27" t="s">
        <v>188</v>
      </c>
      <c r="C97">
        <v>17.100000000000001</v>
      </c>
      <c r="D97">
        <v>1.8</v>
      </c>
      <c r="E97">
        <f t="shared" si="8"/>
        <v>1.8000000000000002E-2</v>
      </c>
      <c r="F97">
        <f t="shared" si="9"/>
        <v>1.0015084837581871</v>
      </c>
      <c r="G97">
        <f t="shared" si="10"/>
        <v>5.856774758819807E-2</v>
      </c>
    </row>
    <row r="98" spans="1:7" x14ac:dyDescent="0.25">
      <c r="B98" s="27" t="s">
        <v>208</v>
      </c>
      <c r="C98">
        <v>18.899999999999999</v>
      </c>
      <c r="D98">
        <v>0</v>
      </c>
      <c r="E98">
        <f t="shared" si="8"/>
        <v>0</v>
      </c>
      <c r="F98">
        <f t="shared" si="9"/>
        <v>0</v>
      </c>
      <c r="G98">
        <f t="shared" si="10"/>
        <v>0</v>
      </c>
    </row>
    <row r="99" spans="1:7" x14ac:dyDescent="0.25">
      <c r="B99" s="27" t="s">
        <v>209</v>
      </c>
      <c r="C99">
        <v>15.5</v>
      </c>
      <c r="D99">
        <v>0</v>
      </c>
      <c r="E99">
        <f t="shared" si="8"/>
        <v>0</v>
      </c>
      <c r="F99">
        <f t="shared" si="9"/>
        <v>0</v>
      </c>
      <c r="G99">
        <f t="shared" si="10"/>
        <v>0</v>
      </c>
    </row>
    <row r="100" spans="1:7" x14ac:dyDescent="0.25">
      <c r="B100" s="27" t="s">
        <v>191</v>
      </c>
      <c r="C100">
        <v>18.7</v>
      </c>
      <c r="D100"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B101" s="27" t="s">
        <v>210</v>
      </c>
      <c r="C101">
        <v>19.100000000000001</v>
      </c>
      <c r="D101">
        <v>2.7</v>
      </c>
      <c r="E101">
        <f t="shared" si="8"/>
        <v>2.7000000000000003E-2</v>
      </c>
      <c r="F101">
        <f>$B$83*E101</f>
        <v>1.5022627256372805</v>
      </c>
      <c r="G101">
        <f t="shared" si="10"/>
        <v>7.8652498724464934E-2</v>
      </c>
    </row>
    <row r="102" spans="1:7" x14ac:dyDescent="0.25">
      <c r="B102" s="27"/>
    </row>
    <row r="103" spans="1:7" x14ac:dyDescent="0.25">
      <c r="B103" s="27" t="s">
        <v>214</v>
      </c>
      <c r="C103">
        <v>23.5</v>
      </c>
      <c r="D103">
        <f>(C103*100)/B83</f>
        <v>42.236287246682259</v>
      </c>
      <c r="E103">
        <f>D103/100</f>
        <v>0.42236287246682258</v>
      </c>
      <c r="F103">
        <f>B84*E103</f>
        <v>33.425527502970326</v>
      </c>
      <c r="G103">
        <f>F103/C103</f>
        <v>1.4223628724668225</v>
      </c>
    </row>
    <row r="104" spans="1:7" ht="15.75" thickBot="1" x14ac:dyDescent="0.3"/>
    <row r="105" spans="1:7" ht="15.75" thickBot="1" x14ac:dyDescent="0.3">
      <c r="A105" s="28" t="s">
        <v>3</v>
      </c>
      <c r="B105" s="28"/>
      <c r="C105" s="28" t="s">
        <v>194</v>
      </c>
      <c r="D105" s="28" t="s">
        <v>195</v>
      </c>
    </row>
    <row r="106" spans="1:7" ht="15.75" thickBot="1" x14ac:dyDescent="0.3">
      <c r="A106" s="28"/>
      <c r="B106" s="28" t="s">
        <v>196</v>
      </c>
      <c r="C106" s="28"/>
      <c r="D106" s="28">
        <f>SUM(G86:G92)</f>
        <v>2.5926117931367823</v>
      </c>
    </row>
    <row r="107" spans="1:7" ht="15.75" thickBot="1" x14ac:dyDescent="0.3">
      <c r="A107" s="28"/>
      <c r="B107" s="28" t="s">
        <v>197</v>
      </c>
      <c r="C107" s="28"/>
      <c r="D107" s="28">
        <f>SUM(G93:G94)</f>
        <v>0.2417610134226385</v>
      </c>
    </row>
    <row r="108" spans="1:7" ht="15.75" thickBot="1" x14ac:dyDescent="0.3">
      <c r="A108" s="28"/>
      <c r="B108" s="28" t="s">
        <v>198</v>
      </c>
      <c r="C108" s="28"/>
      <c r="D108" s="28">
        <f>SUM(G95:G101)</f>
        <v>0.137220246312663</v>
      </c>
    </row>
    <row r="109" spans="1:7" ht="15.75" thickBot="1" x14ac:dyDescent="0.3">
      <c r="A109" s="28"/>
      <c r="B109" s="28" t="s">
        <v>214</v>
      </c>
      <c r="C109" s="28"/>
      <c r="D109" s="28">
        <f>G103</f>
        <v>1.4223628724668225</v>
      </c>
    </row>
    <row r="110" spans="1:7" ht="15.75" thickBot="1" x14ac:dyDescent="0.3">
      <c r="A110" s="28" t="s">
        <v>31</v>
      </c>
      <c r="B110" s="28"/>
      <c r="C110" s="28"/>
      <c r="D110" s="28">
        <f>SUM(D106:D109)</f>
        <v>4.393955925338906</v>
      </c>
    </row>
    <row r="116" spans="1:9" x14ac:dyDescent="0.25">
      <c r="A116" s="6" t="s">
        <v>215</v>
      </c>
    </row>
    <row r="117" spans="1:9" x14ac:dyDescent="0.25">
      <c r="A117" s="24" t="s">
        <v>216</v>
      </c>
      <c r="B117" s="24">
        <f>'Data herd'!E86</f>
        <v>108.41387835102427</v>
      </c>
    </row>
    <row r="118" spans="1:9" x14ac:dyDescent="0.25">
      <c r="A118" s="24" t="s">
        <v>217</v>
      </c>
      <c r="B118" s="24">
        <f>'Data herd'!E87</f>
        <v>111.58753368677266</v>
      </c>
    </row>
    <row r="119" spans="1:9" x14ac:dyDescent="0.25">
      <c r="C119" t="s">
        <v>172</v>
      </c>
      <c r="D119" t="s">
        <v>173</v>
      </c>
      <c r="E119" t="s">
        <v>202</v>
      </c>
      <c r="G119" t="s">
        <v>218</v>
      </c>
      <c r="I119" t="s">
        <v>219</v>
      </c>
    </row>
    <row r="120" spans="1:9" x14ac:dyDescent="0.25">
      <c r="B120" s="27" t="s">
        <v>177</v>
      </c>
      <c r="C120">
        <v>18.7</v>
      </c>
      <c r="D120">
        <v>15.5</v>
      </c>
      <c r="E120">
        <f t="shared" ref="E120:E135" si="11">D120/100</f>
        <v>0.155</v>
      </c>
      <c r="F120">
        <f>$B$117*E120</f>
        <v>16.80415114440876</v>
      </c>
      <c r="G120">
        <f>F120/C120</f>
        <v>0.89861770825715293</v>
      </c>
      <c r="H120">
        <f>$B$118*E120</f>
        <v>17.296067721449763</v>
      </c>
      <c r="I120">
        <f>H120/C120</f>
        <v>0.92492340756415847</v>
      </c>
    </row>
    <row r="121" spans="1:9" x14ac:dyDescent="0.25">
      <c r="B121" s="27" t="s">
        <v>204</v>
      </c>
      <c r="C121">
        <f>(C124+C120)/2</f>
        <v>18.799999999999997</v>
      </c>
      <c r="D121">
        <v>21.1</v>
      </c>
      <c r="E121">
        <f t="shared" si="11"/>
        <v>0.21100000000000002</v>
      </c>
      <c r="F121">
        <f t="shared" ref="F121:F135" si="12">$B$117*E121</f>
        <v>22.875328332066122</v>
      </c>
      <c r="G121">
        <f t="shared" ref="G121:G135" si="13">F121/C121</f>
        <v>1.2167727836205386</v>
      </c>
      <c r="H121">
        <f t="shared" ref="H121:H135" si="14">$B$118*E121</f>
        <v>23.544969607909032</v>
      </c>
      <c r="I121">
        <f t="shared" ref="I121:I135" si="15">H121/C121</f>
        <v>1.2523920004206934</v>
      </c>
    </row>
    <row r="122" spans="1:9" x14ac:dyDescent="0.25">
      <c r="B122" s="27" t="s">
        <v>205</v>
      </c>
      <c r="C122">
        <v>18.5</v>
      </c>
      <c r="D122">
        <v>1.7</v>
      </c>
      <c r="E122">
        <f t="shared" si="11"/>
        <v>1.7000000000000001E-2</v>
      </c>
      <c r="F122">
        <f t="shared" si="12"/>
        <v>1.8430359319674126</v>
      </c>
      <c r="G122">
        <f t="shared" si="13"/>
        <v>9.9623563890130412E-2</v>
      </c>
      <c r="H122">
        <f t="shared" si="14"/>
        <v>1.8969880726751354</v>
      </c>
      <c r="I122">
        <f t="shared" si="15"/>
        <v>0.10253989582027759</v>
      </c>
    </row>
    <row r="123" spans="1:9" x14ac:dyDescent="0.25">
      <c r="B123" s="27" t="s">
        <v>206</v>
      </c>
      <c r="C123">
        <f>(C124+C122)/2</f>
        <v>18.7</v>
      </c>
      <c r="D123">
        <v>2.2999999999999998</v>
      </c>
      <c r="E123">
        <f t="shared" si="11"/>
        <v>2.3E-2</v>
      </c>
      <c r="F123">
        <f t="shared" si="12"/>
        <v>2.4935192020735579</v>
      </c>
      <c r="G123">
        <f t="shared" si="13"/>
        <v>0.13334327283815819</v>
      </c>
      <c r="H123">
        <f t="shared" si="14"/>
        <v>2.5665132747957711</v>
      </c>
      <c r="I123">
        <f t="shared" si="15"/>
        <v>0.13724669918693963</v>
      </c>
    </row>
    <row r="124" spans="1:9" x14ac:dyDescent="0.25">
      <c r="B124" s="27" t="s">
        <v>181</v>
      </c>
      <c r="C124">
        <v>18.899999999999999</v>
      </c>
      <c r="D124">
        <v>46.9</v>
      </c>
      <c r="E124">
        <f t="shared" si="11"/>
        <v>0.46899999999999997</v>
      </c>
      <c r="F124">
        <f t="shared" si="12"/>
        <v>50.84610894663038</v>
      </c>
      <c r="G124">
        <f t="shared" si="13"/>
        <v>2.6902703146365283</v>
      </c>
      <c r="H124">
        <f t="shared" si="14"/>
        <v>52.33455329909637</v>
      </c>
      <c r="I124">
        <f t="shared" si="15"/>
        <v>2.7690239840791731</v>
      </c>
    </row>
    <row r="125" spans="1:9" x14ac:dyDescent="0.25">
      <c r="B125" s="27" t="s">
        <v>207</v>
      </c>
      <c r="C125">
        <v>18.899999999999999</v>
      </c>
      <c r="D125">
        <v>4.7</v>
      </c>
      <c r="E125">
        <f t="shared" si="11"/>
        <v>4.7E-2</v>
      </c>
      <c r="F125">
        <f t="shared" si="12"/>
        <v>5.0954522824981403</v>
      </c>
      <c r="G125">
        <f t="shared" si="13"/>
        <v>0.2696006498676265</v>
      </c>
      <c r="H125">
        <f t="shared" si="14"/>
        <v>5.2446140832783152</v>
      </c>
      <c r="I125">
        <f t="shared" si="15"/>
        <v>0.27749280863906434</v>
      </c>
    </row>
    <row r="126" spans="1:9" x14ac:dyDescent="0.25">
      <c r="B126" s="27" t="s">
        <v>183</v>
      </c>
      <c r="C126">
        <v>16.7</v>
      </c>
      <c r="D126">
        <v>0</v>
      </c>
      <c r="E126">
        <f t="shared" si="11"/>
        <v>0</v>
      </c>
      <c r="F126">
        <f t="shared" si="12"/>
        <v>0</v>
      </c>
      <c r="G126">
        <f t="shared" si="13"/>
        <v>0</v>
      </c>
      <c r="H126">
        <f t="shared" si="14"/>
        <v>0</v>
      </c>
      <c r="I126">
        <f t="shared" si="15"/>
        <v>0</v>
      </c>
    </row>
    <row r="127" spans="1:9" x14ac:dyDescent="0.25">
      <c r="B127" s="27" t="s">
        <v>184</v>
      </c>
      <c r="C127">
        <v>18.600000000000001</v>
      </c>
      <c r="D127">
        <v>0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 x14ac:dyDescent="0.25">
      <c r="B128" s="27" t="s">
        <v>197</v>
      </c>
      <c r="C128">
        <v>18.3</v>
      </c>
      <c r="D128"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5">
      <c r="B129" s="27" t="s">
        <v>186</v>
      </c>
      <c r="C129">
        <v>19.7</v>
      </c>
      <c r="D129"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5">
      <c r="B130" s="27" t="s">
        <v>187</v>
      </c>
      <c r="C130">
        <v>21.5</v>
      </c>
      <c r="D130">
        <v>0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5">
      <c r="B131" s="27" t="s">
        <v>188</v>
      </c>
      <c r="C131">
        <v>17.100000000000001</v>
      </c>
      <c r="D131">
        <v>3.1</v>
      </c>
      <c r="E131">
        <f t="shared" si="11"/>
        <v>3.1E-2</v>
      </c>
      <c r="F131">
        <f t="shared" si="12"/>
        <v>3.3608302288817522</v>
      </c>
      <c r="G131">
        <f t="shared" si="13"/>
        <v>0.19653977946676912</v>
      </c>
      <c r="H131">
        <f t="shared" si="14"/>
        <v>3.4592135442899523</v>
      </c>
      <c r="I131">
        <f t="shared" si="15"/>
        <v>0.20229318972455859</v>
      </c>
    </row>
    <row r="132" spans="1:9" x14ac:dyDescent="0.25">
      <c r="B132" s="27" t="s">
        <v>208</v>
      </c>
      <c r="C132">
        <v>18.899999999999999</v>
      </c>
      <c r="D132">
        <v>0</v>
      </c>
      <c r="E132">
        <f t="shared" si="11"/>
        <v>0</v>
      </c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 x14ac:dyDescent="0.25">
      <c r="B133" s="27" t="s">
        <v>209</v>
      </c>
      <c r="C133">
        <v>15.5</v>
      </c>
      <c r="D133">
        <v>0</v>
      </c>
      <c r="E133">
        <f t="shared" si="11"/>
        <v>0</v>
      </c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 x14ac:dyDescent="0.25">
      <c r="B134" s="27" t="s">
        <v>191</v>
      </c>
      <c r="C134">
        <v>18.7</v>
      </c>
      <c r="D134"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25">
      <c r="B135" s="27" t="s">
        <v>210</v>
      </c>
      <c r="C135">
        <v>19.100000000000001</v>
      </c>
      <c r="D135">
        <v>4.7</v>
      </c>
      <c r="E135">
        <f t="shared" si="11"/>
        <v>4.7E-2</v>
      </c>
      <c r="F135">
        <f t="shared" si="12"/>
        <v>5.0954522824981403</v>
      </c>
      <c r="G135">
        <f t="shared" si="13"/>
        <v>0.26677760641351517</v>
      </c>
      <c r="H135">
        <f t="shared" si="14"/>
        <v>5.2446140832783152</v>
      </c>
      <c r="I135">
        <f t="shared" si="15"/>
        <v>0.27458712477896935</v>
      </c>
    </row>
    <row r="136" spans="1:9" ht="15.75" thickBot="1" x14ac:dyDescent="0.3"/>
    <row r="137" spans="1:9" ht="15.75" thickBot="1" x14ac:dyDescent="0.3">
      <c r="A137" s="28" t="s">
        <v>220</v>
      </c>
      <c r="B137" s="28"/>
      <c r="C137" s="28" t="s">
        <v>194</v>
      </c>
      <c r="D137" s="28" t="s">
        <v>195</v>
      </c>
    </row>
    <row r="138" spans="1:9" ht="15.75" thickBot="1" x14ac:dyDescent="0.3">
      <c r="A138" s="28"/>
      <c r="B138" s="28" t="s">
        <v>196</v>
      </c>
      <c r="C138" s="28">
        <f>SUM(D120:D126)</f>
        <v>92.2</v>
      </c>
      <c r="D138" s="28">
        <f>SUM(G120:G126)</f>
        <v>5.308228293110135</v>
      </c>
    </row>
    <row r="139" spans="1:9" ht="15.75" thickBot="1" x14ac:dyDescent="0.3">
      <c r="A139" s="28"/>
      <c r="B139" s="28" t="s">
        <v>197</v>
      </c>
      <c r="C139" s="28">
        <f>SUM(D127:D128)</f>
        <v>0</v>
      </c>
      <c r="D139" s="28">
        <f>SUM(G127:G128)</f>
        <v>0</v>
      </c>
    </row>
    <row r="140" spans="1:9" ht="15.75" thickBot="1" x14ac:dyDescent="0.3">
      <c r="A140" s="28"/>
      <c r="B140" s="28" t="s">
        <v>198</v>
      </c>
      <c r="C140" s="28">
        <f>SUM(D129:D135)</f>
        <v>7.8000000000000007</v>
      </c>
      <c r="D140" s="28">
        <f>SUM(G129:G135)</f>
        <v>0.46331738588028426</v>
      </c>
    </row>
    <row r="141" spans="1:9" ht="15.75" thickBot="1" x14ac:dyDescent="0.3">
      <c r="A141" s="28" t="s">
        <v>31</v>
      </c>
      <c r="B141" s="28"/>
      <c r="C141" s="28">
        <f>SUM(C138:C140)</f>
        <v>100</v>
      </c>
      <c r="D141" s="28">
        <f>SUM(D138:D140)</f>
        <v>5.7715456789904191</v>
      </c>
    </row>
    <row r="143" spans="1:9" ht="15.75" thickBot="1" x14ac:dyDescent="0.3"/>
    <row r="144" spans="1:9" ht="15.75" thickBot="1" x14ac:dyDescent="0.3">
      <c r="A144" s="28" t="s">
        <v>221</v>
      </c>
      <c r="B144" s="28"/>
      <c r="C144" s="28" t="s">
        <v>194</v>
      </c>
      <c r="D144" s="28" t="s">
        <v>195</v>
      </c>
    </row>
    <row r="145" spans="1:4" ht="15.75" thickBot="1" x14ac:dyDescent="0.3">
      <c r="A145" s="28"/>
      <c r="B145" s="28" t="s">
        <v>196</v>
      </c>
      <c r="C145" s="28">
        <f>SUM(D120:D126)</f>
        <v>92.2</v>
      </c>
      <c r="D145" s="28">
        <f>SUM(I120:I126)</f>
        <v>5.4636187957103068</v>
      </c>
    </row>
    <row r="146" spans="1:4" ht="15.75" thickBot="1" x14ac:dyDescent="0.3">
      <c r="A146" s="28"/>
      <c r="B146" s="28" t="s">
        <v>197</v>
      </c>
      <c r="C146" s="28">
        <f>SUM(D127:D128)</f>
        <v>0</v>
      </c>
      <c r="D146" s="28">
        <f>SUM(I127:I128)</f>
        <v>0</v>
      </c>
    </row>
    <row r="147" spans="1:4" ht="15.75" thickBot="1" x14ac:dyDescent="0.3">
      <c r="A147" s="28"/>
      <c r="B147" s="28" t="s">
        <v>198</v>
      </c>
      <c r="C147" s="28">
        <f>SUM(D129:D135)</f>
        <v>7.8000000000000007</v>
      </c>
      <c r="D147" s="28">
        <f>SUM(I129:I135)</f>
        <v>0.47688031450352797</v>
      </c>
    </row>
    <row r="148" spans="1:4" ht="15.75" thickBot="1" x14ac:dyDescent="0.3">
      <c r="A148" s="28" t="s">
        <v>31</v>
      </c>
      <c r="B148" s="28"/>
      <c r="C148" s="28">
        <f>SUM(C145:C147)</f>
        <v>100</v>
      </c>
      <c r="D148" s="28">
        <f>SUM(D145:D147)</f>
        <v>5.9404991102138345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S28" zoomScale="50" zoomScaleNormal="50" workbookViewId="0">
      <selection activeCell="BJ80" sqref="BJ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40" zoomScaleNormal="40"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herd</vt:lpstr>
      <vt:lpstr>Input</vt:lpstr>
      <vt:lpstr>Output</vt:lpstr>
      <vt:lpstr>Import &amp; Export</vt:lpstr>
      <vt:lpstr>Variables calculations</vt:lpstr>
      <vt:lpstr>SEM per week</vt:lpstr>
      <vt:lpstr>SEM per year (Potential)</vt:lpstr>
      <vt:lpstr>SEM Total</vt:lpstr>
      <vt:lpstr>Database Box 1 Adult Cattle</vt:lpstr>
      <vt:lpstr>Database box 2 Calves</vt:lpstr>
      <vt:lpstr>Database box 3 Young Cattle</vt:lpstr>
      <vt:lpstr>Database Country Level</vt:lpstr>
      <vt:lpstr>Database</vt:lpstr>
      <vt:lpstr>Data feed processing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Muscat, Abigail</dc:creator>
  <cp:lastModifiedBy>Muscat, Abigail</cp:lastModifiedBy>
  <dcterms:created xsi:type="dcterms:W3CDTF">2017-12-14T11:11:21Z</dcterms:created>
  <dcterms:modified xsi:type="dcterms:W3CDTF">2018-02-12T17:29:03Z</dcterms:modified>
</cp:coreProperties>
</file>