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musca002\My Documents\MAGIC\WP4 Case study\Spain\"/>
    </mc:Choice>
  </mc:AlternateContent>
  <bookViews>
    <workbookView xWindow="0" yWindow="0" windowWidth="21570" windowHeight="6855" activeTab="6"/>
  </bookViews>
  <sheets>
    <sheet name="Data herd" sheetId="1" r:id="rId1"/>
    <sheet name="Input" sheetId="2" r:id="rId2"/>
    <sheet name="Output" sheetId="3" r:id="rId3"/>
    <sheet name="Import &amp; Export" sheetId="4" r:id="rId4"/>
    <sheet name="Variables calculations" sheetId="5" r:id="rId5"/>
    <sheet name="SEM per week" sheetId="6" r:id="rId6"/>
    <sheet name="SEM per year (Potential)" sheetId="7" r:id="rId7"/>
    <sheet name="SEM Total" sheetId="8" r:id="rId8"/>
    <sheet name="Database Box 1 Adult Cattle" sheetId="15" r:id="rId9"/>
    <sheet name="Database box 2 Calves" sheetId="12" r:id="rId10"/>
    <sheet name="Database box 3 Young Cattle" sheetId="13" r:id="rId11"/>
    <sheet name="Database Country Level" sheetId="17" r:id="rId12"/>
    <sheet name="Database" sheetId="18" r:id="rId13"/>
    <sheet name="Data feed processing" sheetId="14" r:id="rId14"/>
  </sheets>
  <externalReferences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3" l="1"/>
  <c r="N23" i="3"/>
  <c r="N13" i="3"/>
  <c r="M32" i="3"/>
  <c r="M23" i="3"/>
  <c r="E15" i="3"/>
  <c r="P166" i="2"/>
  <c r="P170" i="2" s="1"/>
  <c r="P167" i="2"/>
  <c r="P171" i="2" s="1"/>
  <c r="P168" i="2"/>
  <c r="P165" i="2"/>
  <c r="P154" i="2"/>
  <c r="P153" i="2"/>
  <c r="P155" i="2" s="1"/>
  <c r="P156" i="2" s="1"/>
  <c r="P150" i="2"/>
  <c r="P146" i="2"/>
  <c r="P145" i="2"/>
  <c r="P169" i="2"/>
  <c r="P163" i="2"/>
  <c r="P172" i="2" s="1"/>
  <c r="P151" i="2"/>
  <c r="P147" i="2"/>
  <c r="P148" i="2" s="1"/>
  <c r="M14" i="3" l="1"/>
  <c r="N16" i="3" s="1"/>
  <c r="M24" i="3"/>
  <c r="N26" i="3" s="1"/>
  <c r="N27" i="3"/>
  <c r="N17" i="3"/>
  <c r="M33" i="3"/>
  <c r="N28" i="3" l="1"/>
  <c r="N29" i="3" s="1"/>
  <c r="N18" i="3"/>
  <c r="N19" i="3" s="1"/>
  <c r="N36" i="3"/>
  <c r="N35" i="3"/>
  <c r="N37" i="3" l="1"/>
  <c r="N38" i="3" s="1"/>
  <c r="N5" i="3" l="1"/>
  <c r="N4" i="3"/>
  <c r="N3" i="3"/>
  <c r="N9" i="3"/>
  <c r="N8" i="3"/>
  <c r="N2" i="3"/>
  <c r="N7" i="3" s="1"/>
  <c r="P55" i="2"/>
  <c r="P48" i="2"/>
  <c r="P42" i="2"/>
  <c r="P38" i="2"/>
  <c r="P44" i="2"/>
  <c r="P24" i="2"/>
  <c r="P16" i="2"/>
  <c r="P7" i="2"/>
  <c r="P9" i="2"/>
  <c r="E40" i="2"/>
  <c r="P50" i="2" l="1"/>
  <c r="P51" i="2" s="1"/>
  <c r="P52" i="2" s="1"/>
  <c r="P57" i="2"/>
  <c r="P58" i="2" s="1"/>
  <c r="P59" i="2" s="1"/>
  <c r="P45" i="2"/>
  <c r="P46" i="2" s="1"/>
  <c r="P18" i="2"/>
  <c r="P26" i="2"/>
  <c r="E18" i="1" l="1"/>
  <c r="E17" i="1"/>
  <c r="L36" i="1" l="1"/>
  <c r="E22" i="1" l="1"/>
  <c r="C147" i="5"/>
  <c r="C146" i="5"/>
  <c r="C145" i="5"/>
  <c r="C140" i="5"/>
  <c r="C139" i="5"/>
  <c r="C138" i="5"/>
  <c r="C141" i="5" s="1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C123" i="5"/>
  <c r="E122" i="5"/>
  <c r="E121" i="5"/>
  <c r="C121" i="5"/>
  <c r="E120" i="5"/>
  <c r="B118" i="5"/>
  <c r="H121" i="5" s="1"/>
  <c r="B117" i="5"/>
  <c r="F121" i="5" s="1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C89" i="5"/>
  <c r="E88" i="5"/>
  <c r="E87" i="5"/>
  <c r="C87" i="5"/>
  <c r="E86" i="5"/>
  <c r="C79" i="5"/>
  <c r="C78" i="5"/>
  <c r="C77" i="5"/>
  <c r="C80" i="5" s="1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C62" i="5"/>
  <c r="E61" i="5"/>
  <c r="E60" i="5"/>
  <c r="C60" i="5"/>
  <c r="E59" i="5"/>
  <c r="C53" i="5"/>
  <c r="C52" i="5"/>
  <c r="C51" i="5"/>
  <c r="C54" i="5" s="1"/>
  <c r="C47" i="5"/>
  <c r="C46" i="5"/>
  <c r="C45" i="5"/>
  <c r="C48" i="5" s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C30" i="5"/>
  <c r="E29" i="5"/>
  <c r="E28" i="5"/>
  <c r="C28" i="5"/>
  <c r="E27" i="5"/>
  <c r="E78" i="1"/>
  <c r="E77" i="1"/>
  <c r="E76" i="1"/>
  <c r="F120" i="5" l="1"/>
  <c r="F128" i="5"/>
  <c r="G128" i="5" s="1"/>
  <c r="D139" i="5" s="1"/>
  <c r="P118" i="2" s="1"/>
  <c r="P126" i="2" s="1"/>
  <c r="F134" i="5"/>
  <c r="G134" i="5" s="1"/>
  <c r="F126" i="5"/>
  <c r="F132" i="5"/>
  <c r="F124" i="5"/>
  <c r="G124" i="5" s="1"/>
  <c r="F130" i="5"/>
  <c r="F122" i="5"/>
  <c r="G122" i="5" s="1"/>
  <c r="H120" i="5"/>
  <c r="H134" i="5"/>
  <c r="I134" i="5" s="1"/>
  <c r="H132" i="5"/>
  <c r="I132" i="5" s="1"/>
  <c r="H130" i="5"/>
  <c r="H128" i="5"/>
  <c r="I128" i="5" s="1"/>
  <c r="H126" i="5"/>
  <c r="I126" i="5" s="1"/>
  <c r="H124" i="5"/>
  <c r="I124" i="5" s="1"/>
  <c r="H122" i="5"/>
  <c r="I122" i="5" s="1"/>
  <c r="I120" i="5"/>
  <c r="I121" i="5"/>
  <c r="F135" i="5"/>
  <c r="G135" i="5" s="1"/>
  <c r="F133" i="5"/>
  <c r="G133" i="5" s="1"/>
  <c r="F131" i="5"/>
  <c r="G131" i="5" s="1"/>
  <c r="F129" i="5"/>
  <c r="G129" i="5" s="1"/>
  <c r="F127" i="5"/>
  <c r="G127" i="5" s="1"/>
  <c r="F125" i="5"/>
  <c r="G125" i="5" s="1"/>
  <c r="F123" i="5"/>
  <c r="G123" i="5" s="1"/>
  <c r="H135" i="5"/>
  <c r="I135" i="5" s="1"/>
  <c r="H133" i="5"/>
  <c r="I133" i="5" s="1"/>
  <c r="H131" i="5"/>
  <c r="I131" i="5" s="1"/>
  <c r="H129" i="5"/>
  <c r="I129" i="5" s="1"/>
  <c r="H127" i="5"/>
  <c r="I127" i="5" s="1"/>
  <c r="H125" i="5"/>
  <c r="I125" i="5" s="1"/>
  <c r="H123" i="5"/>
  <c r="I123" i="5" s="1"/>
  <c r="I130" i="5"/>
  <c r="C148" i="5"/>
  <c r="G120" i="5"/>
  <c r="G121" i="5"/>
  <c r="G126" i="5"/>
  <c r="G130" i="5"/>
  <c r="G132" i="5"/>
  <c r="D146" i="5" l="1"/>
  <c r="P122" i="2" s="1"/>
  <c r="P130" i="2" s="1"/>
  <c r="P134" i="2" s="1"/>
  <c r="P139" i="2" s="1"/>
  <c r="D145" i="5"/>
  <c r="P121" i="2" s="1"/>
  <c r="P129" i="2" s="1"/>
  <c r="D147" i="5"/>
  <c r="P123" i="2" s="1"/>
  <c r="P131" i="2" s="1"/>
  <c r="D140" i="5"/>
  <c r="P119" i="2" s="1"/>
  <c r="P127" i="2" s="1"/>
  <c r="D138" i="5"/>
  <c r="D148" i="5" l="1"/>
  <c r="D141" i="5"/>
  <c r="P117" i="2"/>
  <c r="P125" i="2" s="1"/>
  <c r="P133" i="2" s="1"/>
  <c r="P135" i="2"/>
  <c r="P140" i="2" s="1"/>
  <c r="P138" i="2" l="1"/>
  <c r="P136" i="2"/>
  <c r="P141" i="2" s="1"/>
  <c r="E74" i="1"/>
  <c r="E73" i="1"/>
  <c r="E72" i="1"/>
  <c r="E66" i="1"/>
  <c r="E63" i="1"/>
  <c r="E62" i="1"/>
  <c r="E61" i="1"/>
  <c r="E57" i="1"/>
  <c r="E52" i="1"/>
  <c r="E51" i="1"/>
  <c r="E50" i="1"/>
  <c r="E49" i="1"/>
  <c r="E47" i="1"/>
  <c r="E48" i="1"/>
  <c r="D18" i="5"/>
  <c r="L23" i="1"/>
  <c r="L13" i="1"/>
  <c r="L12" i="1"/>
  <c r="E6" i="1"/>
  <c r="E5" i="1"/>
  <c r="L45" i="1"/>
  <c r="L46" i="1" s="1"/>
  <c r="L47" i="1" s="1"/>
  <c r="L43" i="1"/>
  <c r="L42" i="1"/>
  <c r="L30" i="1"/>
  <c r="L29" i="1"/>
  <c r="L25" i="1"/>
  <c r="L27" i="1" s="1"/>
  <c r="E82" i="1" l="1"/>
  <c r="B25" i="5" s="1"/>
  <c r="E85" i="1"/>
  <c r="E58" i="1"/>
  <c r="E81" i="1"/>
  <c r="B24" i="5" s="1"/>
  <c r="E86" i="1"/>
  <c r="E83" i="1"/>
  <c r="B57" i="5" s="1"/>
  <c r="E54" i="1"/>
  <c r="E69" i="1" s="1"/>
  <c r="E56" i="1"/>
  <c r="E84" i="1"/>
  <c r="E59" i="1"/>
  <c r="E55" i="1"/>
  <c r="E35" i="1"/>
  <c r="L38" i="1" s="1"/>
  <c r="L40" i="1" s="1"/>
  <c r="E7" i="1"/>
  <c r="L14" i="1"/>
  <c r="E7" i="2"/>
  <c r="E8" i="2" s="1"/>
  <c r="P3" i="2" s="1"/>
  <c r="P4" i="2" l="1"/>
  <c r="P11" i="2"/>
  <c r="P12" i="2" s="1"/>
  <c r="P28" i="2"/>
  <c r="P29" i="2" s="1"/>
  <c r="P20" i="2"/>
  <c r="P21" i="2" s="1"/>
  <c r="F63" i="5"/>
  <c r="G63" i="5" s="1"/>
  <c r="F68" i="5"/>
  <c r="G68" i="5" s="1"/>
  <c r="D79" i="5" s="1"/>
  <c r="P73" i="2" s="1"/>
  <c r="P85" i="2" s="1"/>
  <c r="F61" i="5"/>
  <c r="G61" i="5" s="1"/>
  <c r="F69" i="5"/>
  <c r="G69" i="5" s="1"/>
  <c r="F73" i="5"/>
  <c r="G73" i="5" s="1"/>
  <c r="F62" i="5"/>
  <c r="G62" i="5" s="1"/>
  <c r="F66" i="5"/>
  <c r="G66" i="5" s="1"/>
  <c r="F70" i="5"/>
  <c r="G70" i="5" s="1"/>
  <c r="F74" i="5"/>
  <c r="G74" i="5" s="1"/>
  <c r="F67" i="5"/>
  <c r="G67" i="5" s="1"/>
  <c r="F71" i="5"/>
  <c r="G71" i="5" s="1"/>
  <c r="F59" i="5"/>
  <c r="G59" i="5" s="1"/>
  <c r="F60" i="5"/>
  <c r="G60" i="5" s="1"/>
  <c r="F64" i="5"/>
  <c r="G64" i="5" s="1"/>
  <c r="F72" i="5"/>
  <c r="G72" i="5" s="1"/>
  <c r="F65" i="5"/>
  <c r="G65" i="5" s="1"/>
  <c r="B83" i="5"/>
  <c r="D103" i="5" s="1"/>
  <c r="E103" i="5" s="1"/>
  <c r="B84" i="5"/>
  <c r="H34" i="5"/>
  <c r="I34" i="5" s="1"/>
  <c r="H31" i="5"/>
  <c r="I31" i="5" s="1"/>
  <c r="H27" i="5"/>
  <c r="I27" i="5" s="1"/>
  <c r="H32" i="5"/>
  <c r="I32" i="5" s="1"/>
  <c r="H40" i="5"/>
  <c r="I40" i="5" s="1"/>
  <c r="H35" i="5"/>
  <c r="I35" i="5" s="1"/>
  <c r="H29" i="5"/>
  <c r="I29" i="5" s="1"/>
  <c r="H33" i="5"/>
  <c r="I33" i="5" s="1"/>
  <c r="H37" i="5"/>
  <c r="I37" i="5" s="1"/>
  <c r="H41" i="5"/>
  <c r="I41" i="5" s="1"/>
  <c r="H30" i="5"/>
  <c r="I30" i="5" s="1"/>
  <c r="H38" i="5"/>
  <c r="I38" i="5" s="1"/>
  <c r="H42" i="5"/>
  <c r="I42" i="5" s="1"/>
  <c r="H39" i="5"/>
  <c r="I39" i="5" s="1"/>
  <c r="H28" i="5"/>
  <c r="I28" i="5" s="1"/>
  <c r="H36" i="5"/>
  <c r="I36" i="5" s="1"/>
  <c r="F35" i="5"/>
  <c r="G35" i="5" s="1"/>
  <c r="F32" i="5"/>
  <c r="G32" i="5" s="1"/>
  <c r="F40" i="5"/>
  <c r="G40" i="5" s="1"/>
  <c r="F29" i="5"/>
  <c r="G29" i="5" s="1"/>
  <c r="F33" i="5"/>
  <c r="G33" i="5" s="1"/>
  <c r="F37" i="5"/>
  <c r="G37" i="5" s="1"/>
  <c r="F41" i="5"/>
  <c r="G41" i="5" s="1"/>
  <c r="F30" i="5"/>
  <c r="G30" i="5" s="1"/>
  <c r="F34" i="5"/>
  <c r="G34" i="5" s="1"/>
  <c r="D46" i="5" s="1"/>
  <c r="P64" i="2" s="1"/>
  <c r="P76" i="2" s="1"/>
  <c r="F38" i="5"/>
  <c r="G38" i="5" s="1"/>
  <c r="F42" i="5"/>
  <c r="G42" i="5" s="1"/>
  <c r="F31" i="5"/>
  <c r="G31" i="5" s="1"/>
  <c r="F39" i="5"/>
  <c r="G39" i="5" s="1"/>
  <c r="F27" i="5"/>
  <c r="G27" i="5" s="1"/>
  <c r="F28" i="5"/>
  <c r="G28" i="5" s="1"/>
  <c r="F36" i="5"/>
  <c r="G36" i="5" s="1"/>
  <c r="D47" i="5" s="1"/>
  <c r="P65" i="2" s="1"/>
  <c r="P77" i="2" s="1"/>
  <c r="L17" i="1"/>
  <c r="L2" i="1"/>
  <c r="D53" i="5" l="1"/>
  <c r="P69" i="2" s="1"/>
  <c r="P81" i="2" s="1"/>
  <c r="P89" i="2" s="1"/>
  <c r="P94" i="2" s="1"/>
  <c r="F103" i="5"/>
  <c r="G103" i="5" s="1"/>
  <c r="D109" i="5" s="1"/>
  <c r="P100" i="2" s="1"/>
  <c r="P106" i="2" s="1"/>
  <c r="P112" i="2" s="1"/>
  <c r="F95" i="5"/>
  <c r="G95" i="5" s="1"/>
  <c r="F88" i="5"/>
  <c r="G88" i="5" s="1"/>
  <c r="F94" i="5"/>
  <c r="G94" i="5" s="1"/>
  <c r="F87" i="5"/>
  <c r="G87" i="5" s="1"/>
  <c r="F101" i="5"/>
  <c r="G101" i="5" s="1"/>
  <c r="F93" i="5"/>
  <c r="G93" i="5" s="1"/>
  <c r="F86" i="5"/>
  <c r="G86" i="5" s="1"/>
  <c r="F96" i="5"/>
  <c r="G96" i="5" s="1"/>
  <c r="F99" i="5"/>
  <c r="G99" i="5" s="1"/>
  <c r="F91" i="5"/>
  <c r="G91" i="5" s="1"/>
  <c r="F90" i="5"/>
  <c r="G90" i="5" s="1"/>
  <c r="F98" i="5"/>
  <c r="G98" i="5" s="1"/>
  <c r="F97" i="5"/>
  <c r="G97" i="5" s="1"/>
  <c r="F89" i="5"/>
  <c r="G89" i="5" s="1"/>
  <c r="F92" i="5"/>
  <c r="G92" i="5" s="1"/>
  <c r="F100" i="5"/>
  <c r="G100" i="5" s="1"/>
  <c r="D77" i="5"/>
  <c r="D45" i="5"/>
  <c r="D52" i="5"/>
  <c r="P68" i="2" s="1"/>
  <c r="P80" i="2" s="1"/>
  <c r="D78" i="5"/>
  <c r="P72" i="2" s="1"/>
  <c r="P84" i="2" s="1"/>
  <c r="D51" i="5"/>
  <c r="P88" i="2" l="1"/>
  <c r="P93" i="2" s="1"/>
  <c r="D54" i="5"/>
  <c r="P67" i="2"/>
  <c r="P79" i="2" s="1"/>
  <c r="D106" i="5"/>
  <c r="P63" i="2"/>
  <c r="P75" i="2" s="1"/>
  <c r="D48" i="5"/>
  <c r="D107" i="5"/>
  <c r="P98" i="2" s="1"/>
  <c r="P104" i="2" s="1"/>
  <c r="P110" i="2" s="1"/>
  <c r="P71" i="2"/>
  <c r="P83" i="2" s="1"/>
  <c r="D80" i="5"/>
  <c r="D108" i="5"/>
  <c r="P99" i="2" s="1"/>
  <c r="P105" i="2" s="1"/>
  <c r="P111" i="2" s="1"/>
  <c r="P87" i="2" l="1"/>
  <c r="P97" i="2"/>
  <c r="P103" i="2" s="1"/>
  <c r="P109" i="2" s="1"/>
  <c r="D110" i="5"/>
  <c r="P101" i="2" s="1"/>
  <c r="P107" i="2" s="1"/>
  <c r="P113" i="2" s="1"/>
  <c r="P92" i="2" l="1"/>
  <c r="P90" i="2"/>
  <c r="P95" i="2" s="1"/>
</calcChain>
</file>

<file path=xl/sharedStrings.xml><?xml version="1.0" encoding="utf-8"?>
<sst xmlns="http://schemas.openxmlformats.org/spreadsheetml/2006/main" count="897" uniqueCount="277">
  <si>
    <t>Beef farms</t>
  </si>
  <si>
    <t>Herd Composition</t>
  </si>
  <si>
    <t>Adult Cattle</t>
  </si>
  <si>
    <t>Calves</t>
  </si>
  <si>
    <t>Young Cattle</t>
  </si>
  <si>
    <t>Feed/Energy requirements</t>
  </si>
  <si>
    <t>Labour Use</t>
  </si>
  <si>
    <t>Year</t>
  </si>
  <si>
    <t>Unit</t>
  </si>
  <si>
    <t>Value</t>
  </si>
  <si>
    <t>ID Number</t>
  </si>
  <si>
    <t>Source</t>
  </si>
  <si>
    <t>Notes</t>
  </si>
  <si>
    <t>Total Agricultural Labour</t>
  </si>
  <si>
    <t>Work Units/year</t>
  </si>
  <si>
    <t>Eurostat</t>
  </si>
  <si>
    <t>Meat Production</t>
  </si>
  <si>
    <t>Cattle Slaughtering</t>
  </si>
  <si>
    <t>Total</t>
  </si>
  <si>
    <t>tonnes/year</t>
  </si>
  <si>
    <t>Total is bigger than adding up all three?</t>
  </si>
  <si>
    <t>Beef Labour</t>
  </si>
  <si>
    <t>Breeders</t>
  </si>
  <si>
    <t>Annual Working Units/farm</t>
  </si>
  <si>
    <t>FADN Beef Data</t>
  </si>
  <si>
    <t>Breeders-Fatteners</t>
  </si>
  <si>
    <t>Fatteners</t>
  </si>
  <si>
    <t>Own Calculation</t>
  </si>
  <si>
    <t>Hours/year/farm</t>
  </si>
  <si>
    <t>Own Calculation Annual working units X 1800 hours which is 8 hrs a day for 225 days</t>
  </si>
  <si>
    <t xml:space="preserve">Land Use </t>
  </si>
  <si>
    <t>Avg. UAA</t>
  </si>
  <si>
    <t>ha/farm</t>
  </si>
  <si>
    <t>FADN Beef data</t>
  </si>
  <si>
    <t xml:space="preserve">Breeders-Fatteners </t>
  </si>
  <si>
    <t>Forage crops</t>
  </si>
  <si>
    <t>heads/year</t>
  </si>
  <si>
    <t>Calculations</t>
  </si>
  <si>
    <t xml:space="preserve">Unit </t>
  </si>
  <si>
    <t>Farm/Country</t>
  </si>
  <si>
    <t>H.1</t>
  </si>
  <si>
    <t>Total Biomass</t>
  </si>
  <si>
    <t>Kg/year</t>
  </si>
  <si>
    <t>H.2</t>
  </si>
  <si>
    <t>Adult Reproductive females</t>
  </si>
  <si>
    <t xml:space="preserve"> Heads/year</t>
  </si>
  <si>
    <t>H.3</t>
  </si>
  <si>
    <t>GLEAM</t>
  </si>
  <si>
    <t xml:space="preserve">Adult Reproductive males </t>
  </si>
  <si>
    <t>Heads/year</t>
  </si>
  <si>
    <t>H.4</t>
  </si>
  <si>
    <t>H.5</t>
  </si>
  <si>
    <t>Weight of Adult female</t>
  </si>
  <si>
    <t>kg/head</t>
  </si>
  <si>
    <t>H.6</t>
  </si>
  <si>
    <t>Weight of Adult male</t>
  </si>
  <si>
    <t>H.7</t>
  </si>
  <si>
    <t>Mortality of Adult Animals</t>
  </si>
  <si>
    <t>%</t>
  </si>
  <si>
    <t>H.8</t>
  </si>
  <si>
    <t>Age at First Calving</t>
  </si>
  <si>
    <t>months</t>
  </si>
  <si>
    <t>H.9</t>
  </si>
  <si>
    <t>Biomass Male</t>
  </si>
  <si>
    <t>Adult Females Replacement</t>
  </si>
  <si>
    <t>H.10</t>
  </si>
  <si>
    <t>Biomass Female</t>
  </si>
  <si>
    <t>Fertility of adult females</t>
  </si>
  <si>
    <t>H.11</t>
  </si>
  <si>
    <t xml:space="preserve"> Animal FUND</t>
  </si>
  <si>
    <t xml:space="preserve">Biomass total </t>
  </si>
  <si>
    <t>Percentage of population lactating</t>
  </si>
  <si>
    <t>Assumption</t>
  </si>
  <si>
    <t>Females Lactating</t>
  </si>
  <si>
    <t>Tg/year</t>
  </si>
  <si>
    <t>Females not-lactating</t>
  </si>
  <si>
    <t>Start Weight Calves (1 days)</t>
  </si>
  <si>
    <t>Goonawardene 1986</t>
  </si>
  <si>
    <t>Biomass Calves</t>
  </si>
  <si>
    <t>End Weight Calves (365 days)</t>
  </si>
  <si>
    <t xml:space="preserve">Mid-Point Calves  (180 days) </t>
  </si>
  <si>
    <t>Animal FUND</t>
  </si>
  <si>
    <t>Biomass Total</t>
  </si>
  <si>
    <t>Gg/year</t>
  </si>
  <si>
    <t>Mortality of young females</t>
  </si>
  <si>
    <t>Daily Weight Gain Calf</t>
  </si>
  <si>
    <t>kg/day/head</t>
  </si>
  <si>
    <t>Mortality of young males</t>
  </si>
  <si>
    <t>Mortality of Calves</t>
  </si>
  <si>
    <t>June Census</t>
  </si>
  <si>
    <t>Biomass Young Cattle</t>
  </si>
  <si>
    <t>Start Weight Young Cattle (365 days)</t>
  </si>
  <si>
    <t>End Weight Young Cattle (730 days)</t>
  </si>
  <si>
    <t>Biomass total</t>
  </si>
  <si>
    <t>kg/year</t>
  </si>
  <si>
    <t>Mid Point Young Cattle (548 days)</t>
  </si>
  <si>
    <t>Daily weight gain Young Cattle</t>
  </si>
  <si>
    <t>Mortality of Young Cattle</t>
  </si>
  <si>
    <t xml:space="preserve">Mortality of young males </t>
  </si>
  <si>
    <t>Replacement Females</t>
  </si>
  <si>
    <t>Net Energy Maintenance Adult Cattle Female Lactating Cows</t>
  </si>
  <si>
    <t>.</t>
  </si>
  <si>
    <t>MJ/day/head</t>
  </si>
  <si>
    <t>IPCC caclulation</t>
  </si>
  <si>
    <t>Net Energy Maintenance Adult Cattle Female Non-Lactating Cows</t>
  </si>
  <si>
    <t>Net Energy Maintenance Adult Cattle Male</t>
  </si>
  <si>
    <t>Net Energy Maintenance Calves</t>
  </si>
  <si>
    <t>Net Energy Maintenance Young Cattle female</t>
  </si>
  <si>
    <t>Net Energy Maintenance Young Cattle Male</t>
  </si>
  <si>
    <t>Net Energy for Activity Adult Cattle Female lactating</t>
  </si>
  <si>
    <t>Net Energy for Activity Adult Cattle Female Non-Lactating</t>
  </si>
  <si>
    <t>Net Energy Activity Adult Cattle Male</t>
  </si>
  <si>
    <t>Net Energy Activity Calves</t>
  </si>
  <si>
    <t>Net Energy Activity Young Cattle female</t>
  </si>
  <si>
    <t>Net Energy Young Cattle Male</t>
  </si>
  <si>
    <t>Net Energy for Growth  Calves</t>
  </si>
  <si>
    <t>Net Energy for Growth Young Cattle Female</t>
  </si>
  <si>
    <t>Net Energy for Growth Young Cattle male</t>
  </si>
  <si>
    <t>Net Energy for Lactation Adult Cattle Female</t>
  </si>
  <si>
    <t>Net Energy for pregnancy Adult Cattle female</t>
  </si>
  <si>
    <t>REM Adult Cattle</t>
  </si>
  <si>
    <t>REM Calves</t>
  </si>
  <si>
    <t>REM Young Cattle</t>
  </si>
  <si>
    <t>REG Adult Cattle</t>
  </si>
  <si>
    <t>REG Calves</t>
  </si>
  <si>
    <t>REG Young Cattle</t>
  </si>
  <si>
    <t>Gross Energy Requirements Adult Cattle  Female Lactating</t>
  </si>
  <si>
    <t>Gross Energy Requiremements Adult Cattle Female Non-lactating</t>
  </si>
  <si>
    <t xml:space="preserve">Gross Energy Requirements Adult Cattle Male </t>
  </si>
  <si>
    <t>Gross Energy Requirements Calves</t>
  </si>
  <si>
    <t>Gross Energy Requirements Young Cattle female</t>
  </si>
  <si>
    <t>Gross Energy Requirements Young Cattle male</t>
  </si>
  <si>
    <t>Energy Requirements</t>
  </si>
  <si>
    <t>Coefficients Net Energy Maintenance</t>
  </si>
  <si>
    <t>Non-Lactating Cows</t>
  </si>
  <si>
    <t>MJ/day/kg</t>
  </si>
  <si>
    <t>IPCC</t>
  </si>
  <si>
    <t>Lactating Cows</t>
  </si>
  <si>
    <t>Bulls</t>
  </si>
  <si>
    <t>Coefficients Net Energy for Activity</t>
  </si>
  <si>
    <t>Housing conditions: Pasture</t>
  </si>
  <si>
    <t>Coefficients Net Energy for Growth</t>
  </si>
  <si>
    <t>females</t>
  </si>
  <si>
    <t>bulls</t>
  </si>
  <si>
    <t>Parameters for REG &amp; REM</t>
  </si>
  <si>
    <t xml:space="preserve">DE% Adult Cattle </t>
  </si>
  <si>
    <t>DE% Calves</t>
  </si>
  <si>
    <t>DE% Young Cattle</t>
  </si>
  <si>
    <t>Parameters for NE lactation</t>
  </si>
  <si>
    <t>Milk Fat content</t>
  </si>
  <si>
    <t>Milk produced</t>
  </si>
  <si>
    <t>kg/milk/day</t>
  </si>
  <si>
    <t xml:space="preserve">Coefficients Pregnancy </t>
  </si>
  <si>
    <t>Cattle and Buffalo</t>
  </si>
  <si>
    <t>constant</t>
  </si>
  <si>
    <t>Energy in Feed crops</t>
  </si>
  <si>
    <t>GE Females Lactating</t>
  </si>
  <si>
    <t>GE Females Non-Lactating</t>
  </si>
  <si>
    <t>Adult Females</t>
  </si>
  <si>
    <t>MJ/kg (Source: INRA Feed tables)</t>
  </si>
  <si>
    <t>DMI % (Gleam)</t>
  </si>
  <si>
    <t>Ratio DMI (Calculated)</t>
  </si>
  <si>
    <t xml:space="preserve"> Kg DMI/head Lactating (Calculated)</t>
  </si>
  <si>
    <t>Kg DMI/Head Non-Lactating (Calculated)</t>
  </si>
  <si>
    <t xml:space="preserve">Fresh grass </t>
  </si>
  <si>
    <t>Hay or silage from grass  (avg of maize silage and fresh grass)</t>
  </si>
  <si>
    <t>Fresh mixture of grass and legumes (avg of grass and white clover)</t>
  </si>
  <si>
    <t>Hay or silage from grass and legumes (avg of maie silage and fresh grass/legume mx)</t>
  </si>
  <si>
    <t xml:space="preserve">Silage from whole maize plant </t>
  </si>
  <si>
    <t>Crop residues from wheat (assumed wheat bran)</t>
  </si>
  <si>
    <t>Fodder Beet</t>
  </si>
  <si>
    <t xml:space="preserve">Maize </t>
  </si>
  <si>
    <t>Grains (Assumed Barley)</t>
  </si>
  <si>
    <t xml:space="preserve">By-products from soy </t>
  </si>
  <si>
    <t xml:space="preserve">By-products from rape (canola) </t>
  </si>
  <si>
    <t xml:space="preserve">By-products from sugar beet </t>
  </si>
  <si>
    <t>Oil palm kernel expeller (assumed palm kernel meal)</t>
  </si>
  <si>
    <t>Molasses (assumed beet)</t>
  </si>
  <si>
    <t xml:space="preserve">Maize gluten feed </t>
  </si>
  <si>
    <t>Dry by-product from grain industries  (assumed avg. for wheat middlings)</t>
  </si>
  <si>
    <t>Adult Female Lactating</t>
  </si>
  <si>
    <t>%DMI</t>
  </si>
  <si>
    <t>kg DMI</t>
  </si>
  <si>
    <t>Roughages</t>
  </si>
  <si>
    <t>Grains</t>
  </si>
  <si>
    <t>Agro-Industrial By-products</t>
  </si>
  <si>
    <t>Adult Female Non-Lactating</t>
  </si>
  <si>
    <t>Adult Males</t>
  </si>
  <si>
    <t>GE Males</t>
  </si>
  <si>
    <t>Ratio DMI</t>
  </si>
  <si>
    <t xml:space="preserve"> Kg DMI/head (Calculated)</t>
  </si>
  <si>
    <t xml:space="preserve">Hay or silage from grass </t>
  </si>
  <si>
    <t>Fresh mixture of grass and legumes</t>
  </si>
  <si>
    <t xml:space="preserve">Hay or silage from grass and legumes </t>
  </si>
  <si>
    <t>Crop residues from wheat</t>
  </si>
  <si>
    <t>Oil palm kernel expeller</t>
  </si>
  <si>
    <t>Molasses</t>
  </si>
  <si>
    <t xml:space="preserve">Dry by-product from grain industries </t>
  </si>
  <si>
    <t>Adult Male</t>
  </si>
  <si>
    <t>GE Calves minus milk</t>
  </si>
  <si>
    <t>GE Calves</t>
  </si>
  <si>
    <t>Milk powder whole</t>
  </si>
  <si>
    <t xml:space="preserve">Young Cattle </t>
  </si>
  <si>
    <t>GE Young Cattle Female</t>
  </si>
  <si>
    <t>GE Young Cattle Male</t>
  </si>
  <si>
    <t xml:space="preserve"> Kg DMI/head female (Calculated)</t>
  </si>
  <si>
    <t>Kg DMI/ head male</t>
  </si>
  <si>
    <t>Young Cattle Female</t>
  </si>
  <si>
    <t xml:space="preserve">Young Cattle Male </t>
  </si>
  <si>
    <t>Caculations</t>
  </si>
  <si>
    <t>Name</t>
  </si>
  <si>
    <t>ID number</t>
  </si>
  <si>
    <t>Formula</t>
  </si>
  <si>
    <t>kg DMI/head/day</t>
  </si>
  <si>
    <t>Feed Calculations</t>
  </si>
  <si>
    <t>Industrial by-products</t>
  </si>
  <si>
    <t>Industrial By-products</t>
  </si>
  <si>
    <t>Adult Cattle total</t>
  </si>
  <si>
    <t>total</t>
  </si>
  <si>
    <t>Milk powder</t>
  </si>
  <si>
    <t xml:space="preserve">Total </t>
  </si>
  <si>
    <t>Young Cattle Male</t>
  </si>
  <si>
    <t>Young Cattle total</t>
  </si>
  <si>
    <t>Feed</t>
  </si>
  <si>
    <t>Percentage of population non- lactating</t>
  </si>
  <si>
    <t>Specialist cattle-rearing and fattening</t>
  </si>
  <si>
    <t>Labour hours in beef sector</t>
  </si>
  <si>
    <t>hours/year</t>
  </si>
  <si>
    <t>Ghours/year</t>
  </si>
  <si>
    <t>Adult cattle Biomass</t>
  </si>
  <si>
    <t>Ratio of total</t>
  </si>
  <si>
    <t>ratio</t>
  </si>
  <si>
    <t>Adult Cattle Labour</t>
  </si>
  <si>
    <t>Calves Biomass</t>
  </si>
  <si>
    <t>Calves Labour</t>
  </si>
  <si>
    <t>Young Cattle Biomass</t>
  </si>
  <si>
    <t>Young Cattle Labour</t>
  </si>
  <si>
    <t>Land Use of Beef Sector</t>
  </si>
  <si>
    <t>ha/year</t>
  </si>
  <si>
    <t xml:space="preserve">Adult Cattle Land Use </t>
  </si>
  <si>
    <t>km2/year</t>
  </si>
  <si>
    <t>Calves Land Use</t>
  </si>
  <si>
    <t>Young Cattle Land Use</t>
  </si>
  <si>
    <t xml:space="preserve">Gg/year </t>
  </si>
  <si>
    <t>Water Use</t>
  </si>
  <si>
    <r>
      <t xml:space="preserve"> </t>
    </r>
    <r>
      <rPr>
        <b/>
        <sz val="11"/>
        <color rgb="FFFF0000"/>
        <rFont val="Calibri"/>
        <family val="2"/>
        <scheme val="minor"/>
      </rPr>
      <t>FROM UK Database</t>
    </r>
  </si>
  <si>
    <t>Beef cow drinking water</t>
  </si>
  <si>
    <t>l/animal/day</t>
  </si>
  <si>
    <t>Technology to improve water use efficiency - Defra Project WU0123</t>
  </si>
  <si>
    <t>l/animal/year</t>
  </si>
  <si>
    <t>Adult female</t>
  </si>
  <si>
    <t>l/year</t>
  </si>
  <si>
    <t>Beef bull drinking water</t>
  </si>
  <si>
    <t>Calves drinking water</t>
  </si>
  <si>
    <t>TL/Year</t>
  </si>
  <si>
    <t>Young Cattle female</t>
  </si>
  <si>
    <t>Young Cattle male</t>
  </si>
  <si>
    <t>Energy Use</t>
  </si>
  <si>
    <t>Beef in England and Wales</t>
  </si>
  <si>
    <t>Primary Energy Used</t>
  </si>
  <si>
    <t>GJ/t carcass</t>
  </si>
  <si>
    <t>Determining the environmental burdens and resource use in the production of agricultural and horticultural commodities.Defra project report IS0205</t>
  </si>
  <si>
    <t>Primary energy use</t>
  </si>
  <si>
    <t>GJ/year</t>
  </si>
  <si>
    <t>TJ/year</t>
  </si>
  <si>
    <t>Manure</t>
  </si>
  <si>
    <t xml:space="preserve"> FROM UK Database</t>
  </si>
  <si>
    <t>Beef Cattle</t>
  </si>
  <si>
    <t>Undiluted Slurry</t>
  </si>
  <si>
    <t>Tonnes</t>
  </si>
  <si>
    <t>Smith and Williams 2016 Production and Management of Cattle manure in the UK</t>
  </si>
  <si>
    <t>FYM or Solids</t>
  </si>
  <si>
    <t>Ratio</t>
  </si>
  <si>
    <t>FYM OR Solids</t>
  </si>
  <si>
    <t>Tonnes/year</t>
  </si>
  <si>
    <t>Undiluted slurry</t>
  </si>
  <si>
    <t>Animal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</si>
</sst>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thick">
        <color rgb="FFC00000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/>
  </cellStyleXfs>
  <cellXfs count="4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3" fontId="0" fillId="0" borderId="0" xfId="0" applyNumberFormat="1"/>
    <xf numFmtId="0" fontId="3" fillId="3" borderId="0" xfId="0" applyFont="1" applyFill="1"/>
    <xf numFmtId="0" fontId="5" fillId="4" borderId="0" xfId="2" applyNumberFormat="1" applyFont="1" applyFill="1" applyBorder="1"/>
    <xf numFmtId="9" fontId="5" fillId="4" borderId="0" xfId="2" applyNumberFormat="1" applyFont="1" applyFill="1" applyBorder="1"/>
    <xf numFmtId="0" fontId="0" fillId="0" borderId="2" xfId="0" applyBorder="1" applyAlignment="1">
      <alignment horizontal="left"/>
    </xf>
    <xf numFmtId="0" fontId="0" fillId="0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2" xfId="0" applyBorder="1"/>
    <xf numFmtId="0" fontId="2" fillId="0" borderId="1" xfId="0" applyFont="1" applyBorder="1"/>
    <xf numFmtId="9" fontId="7" fillId="4" borderId="0" xfId="2" applyNumberFormat="1" applyFont="1" applyFill="1" applyBorder="1"/>
    <xf numFmtId="0" fontId="6" fillId="0" borderId="1" xfId="0" applyFont="1" applyBorder="1"/>
    <xf numFmtId="0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0" borderId="0" xfId="0" applyFont="1"/>
    <xf numFmtId="0" fontId="0" fillId="5" borderId="3" xfId="0" applyFill="1" applyBorder="1"/>
    <xf numFmtId="0" fontId="0" fillId="0" borderId="4" xfId="0" applyBorder="1"/>
    <xf numFmtId="0" fontId="6" fillId="3" borderId="0" xfId="0" applyFont="1" applyFill="1"/>
    <xf numFmtId="0" fontId="3" fillId="2" borderId="5" xfId="0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Border="1"/>
    <xf numFmtId="0" fontId="3" fillId="0" borderId="0" xfId="0" applyFont="1" applyFill="1"/>
    <xf numFmtId="0" fontId="0" fillId="0" borderId="0" xfId="0" applyFill="1"/>
    <xf numFmtId="0" fontId="3" fillId="2" borderId="0" xfId="0" applyFont="1" applyFill="1" applyBorder="1"/>
    <xf numFmtId="0" fontId="0" fillId="0" borderId="6" xfId="0" applyBorder="1"/>
    <xf numFmtId="0" fontId="3" fillId="2" borderId="7" xfId="0" applyFont="1" applyFill="1" applyBorder="1"/>
    <xf numFmtId="0" fontId="0" fillId="0" borderId="7" xfId="0" applyBorder="1"/>
    <xf numFmtId="0" fontId="3" fillId="3" borderId="7" xfId="0" applyFont="1" applyFill="1" applyBorder="1"/>
    <xf numFmtId="0" fontId="0" fillId="0" borderId="0" xfId="0" applyAlignment="1">
      <alignment horizontal="fill"/>
    </xf>
    <xf numFmtId="0" fontId="0" fillId="0" borderId="7" xfId="0" applyFill="1" applyBorder="1"/>
    <xf numFmtId="0" fontId="3" fillId="2" borderId="8" xfId="0" applyFont="1" applyFill="1" applyBorder="1"/>
    <xf numFmtId="0" fontId="8" fillId="0" borderId="0" xfId="0" applyFont="1"/>
    <xf numFmtId="0" fontId="3" fillId="3" borderId="0" xfId="0" applyFont="1" applyFill="1" applyBorder="1"/>
  </cellXfs>
  <cellStyles count="3">
    <cellStyle name="Normal" xfId="0" builtinId="0"/>
    <cellStyle name="Normal_Cattle (CTS)_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34</xdr:row>
      <xdr:rowOff>0</xdr:rowOff>
    </xdr:from>
    <xdr:to>
      <xdr:col>58</xdr:col>
      <xdr:colOff>94735</xdr:colOff>
      <xdr:row>69</xdr:row>
      <xdr:rowOff>176041</xdr:rowOff>
    </xdr:to>
    <xdr:grpSp>
      <xdr:nvGrpSpPr>
        <xdr:cNvPr id="2" name="Group 1"/>
        <xdr:cNvGrpSpPr/>
      </xdr:nvGrpSpPr>
      <xdr:grpSpPr>
        <a:xfrm>
          <a:off x="12876211" y="6477000"/>
          <a:ext cx="22207024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34</xdr:row>
      <xdr:rowOff>8997</xdr:rowOff>
    </xdr:from>
    <xdr:to>
      <xdr:col>17</xdr:col>
      <xdr:colOff>314801</xdr:colOff>
      <xdr:row>69</xdr:row>
      <xdr:rowOff>51860</xdr:rowOff>
    </xdr:to>
    <xdr:grpSp>
      <xdr:nvGrpSpPr>
        <xdr:cNvPr id="67" name="Group 66"/>
        <xdr:cNvGrpSpPr/>
      </xdr:nvGrpSpPr>
      <xdr:grpSpPr>
        <a:xfrm>
          <a:off x="3619500" y="6485997"/>
          <a:ext cx="6950551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23</xdr:row>
      <xdr:rowOff>31750</xdr:rowOff>
    </xdr:from>
    <xdr:to>
      <xdr:col>67</xdr:col>
      <xdr:colOff>412750</xdr:colOff>
      <xdr:row>98</xdr:row>
      <xdr:rowOff>63500</xdr:rowOff>
    </xdr:to>
    <xdr:grpSp>
      <xdr:nvGrpSpPr>
        <xdr:cNvPr id="97" name="Group 96"/>
        <xdr:cNvGrpSpPr/>
      </xdr:nvGrpSpPr>
      <xdr:grpSpPr>
        <a:xfrm>
          <a:off x="2217964" y="4413250"/>
          <a:ext cx="39220322" cy="14319250"/>
          <a:chOff x="4445000" y="3714750"/>
          <a:chExt cx="34479073" cy="11588750"/>
        </a:xfrm>
      </xdr:grpSpPr>
      <xdr:grpSp>
        <xdr:nvGrpSpPr>
          <xdr:cNvPr id="98" name="Group 97"/>
          <xdr:cNvGrpSpPr/>
        </xdr:nvGrpSpPr>
        <xdr:grpSpPr>
          <a:xfrm>
            <a:off x="4445000" y="3714750"/>
            <a:ext cx="34479073" cy="11588750"/>
            <a:chOff x="3391958" y="5365750"/>
            <a:chExt cx="34835654" cy="11588750"/>
          </a:xfrm>
        </xdr:grpSpPr>
        <xdr:sp macro="" textlink="">
          <xdr:nvSpPr>
            <xdr:cNvPr id="101" name="U-Turn Arrow 15"/>
            <xdr:cNvSpPr/>
          </xdr:nvSpPr>
          <xdr:spPr>
            <a:xfrm rot="10800000">
              <a:off x="9207500" y="14128750"/>
              <a:ext cx="26060065" cy="2825750"/>
            </a:xfrm>
            <a:prstGeom prst="uturnArrow">
              <a:avLst/>
            </a:prstGeom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102" name="Group 101"/>
            <xdr:cNvGrpSpPr/>
          </xdr:nvGrpSpPr>
          <xdr:grpSpPr>
            <a:xfrm>
              <a:off x="3391958" y="5365750"/>
              <a:ext cx="34835654" cy="8165399"/>
              <a:chOff x="3391958" y="5365750"/>
              <a:chExt cx="34835654" cy="8165399"/>
            </a:xfrm>
          </xdr:grpSpPr>
          <xdr:sp macro="" textlink="">
            <xdr:nvSpPr>
              <xdr:cNvPr id="103" name="Right Arrow Callout 102"/>
              <xdr:cNvSpPr/>
            </xdr:nvSpPr>
            <xdr:spPr>
              <a:xfrm>
                <a:off x="35877500" y="10445750"/>
                <a:ext cx="2254249" cy="1026583"/>
              </a:xfrm>
              <a:prstGeom prst="rightArrowCallou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GB" sz="1600">
                    <a:solidFill>
                      <a:sysClr val="windowText" lastClr="000000"/>
                    </a:solidFill>
                  </a:rPr>
                  <a:t>Slaughtered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 Young Cattle</a:t>
                </a:r>
              </a:p>
              <a:p>
                <a:pPr algn="ctr"/>
                <a:r>
                  <a:rPr lang="en-GB" sz="16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221.26 Gg</a:t>
                </a:r>
                <a:r>
                  <a:rPr lang="en-GB" sz="1800" b="0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4" name="Group 103"/>
              <xdr:cNvGrpSpPr/>
            </xdr:nvGrpSpPr>
            <xdr:grpSpPr>
              <a:xfrm>
                <a:off x="3391958" y="5365750"/>
                <a:ext cx="34835654" cy="8165399"/>
                <a:chOff x="3487208" y="5508625"/>
                <a:chExt cx="34835654" cy="8165399"/>
              </a:xfrm>
            </xdr:grpSpPr>
            <xdr:grpSp>
              <xdr:nvGrpSpPr>
                <xdr:cNvPr id="105" name="Group 104"/>
                <xdr:cNvGrpSpPr/>
              </xdr:nvGrpSpPr>
              <xdr:grpSpPr>
                <a:xfrm>
                  <a:off x="3487208" y="5582730"/>
                  <a:ext cx="34835654" cy="8091294"/>
                  <a:chOff x="3487208" y="5582730"/>
                  <a:chExt cx="34835654" cy="8091294"/>
                </a:xfrm>
              </xdr:grpSpPr>
              <xdr:cxnSp macro="">
                <xdr:nvCxnSpPr>
                  <xdr:cNvPr id="112" name="Straight Arrow Connector 90"/>
                  <xdr:cNvCxnSpPr/>
                </xdr:nvCxnSpPr>
                <xdr:spPr>
                  <a:xfrm>
                    <a:off x="18107126" y="6078540"/>
                    <a:ext cx="318174" cy="84678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3" name="Rectángulo 762"/>
                  <xdr:cNvSpPr/>
                </xdr:nvSpPr>
                <xdr:spPr>
                  <a:xfrm>
                    <a:off x="18682152" y="5597525"/>
                    <a:ext cx="914385" cy="443982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Roughages</a:t>
                    </a:r>
                  </a:p>
                  <a:p>
                    <a:pPr algn="ctr"/>
                    <a:r>
                      <a:rPr lang="en-GB" sz="1100"/>
                      <a:t>0.099</a:t>
                    </a:r>
                    <a:r>
                      <a:rPr lang="en-GB" sz="1100" baseline="0"/>
                      <a:t> </a:t>
                    </a:r>
                    <a:r>
                      <a:rPr lang="en-GB" sz="1100"/>
                      <a:t>Tg</a:t>
                    </a:r>
                  </a:p>
                </xdr:txBody>
              </xdr:sp>
              <xdr:sp macro="" textlink="">
                <xdr:nvSpPr>
                  <xdr:cNvPr id="114" name="Rectángulo 762"/>
                  <xdr:cNvSpPr/>
                </xdr:nvSpPr>
                <xdr:spPr>
                  <a:xfrm>
                    <a:off x="17368762" y="5582730"/>
                    <a:ext cx="1129153" cy="4735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Grains</a:t>
                    </a:r>
                  </a:p>
                  <a:p>
                    <a:pPr algn="ctr"/>
                    <a:r>
                      <a:rPr lang="en-GB" sz="1100"/>
                      <a:t>0.005 Tg</a:t>
                    </a:r>
                  </a:p>
                </xdr:txBody>
              </xdr:sp>
              <xdr:cxnSp macro="">
                <xdr:nvCxnSpPr>
                  <xdr:cNvPr id="115" name="Straight Arrow Connector 91"/>
                  <xdr:cNvCxnSpPr>
                    <a:stCxn id="113" idx="2"/>
                  </xdr:cNvCxnSpPr>
                </xdr:nvCxnSpPr>
                <xdr:spPr>
                  <a:xfrm flipH="1">
                    <a:off x="18654632" y="6041507"/>
                    <a:ext cx="477525" cy="85410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ángulo 762"/>
                  <xdr:cNvSpPr/>
                </xdr:nvSpPr>
                <xdr:spPr>
                  <a:xfrm>
                    <a:off x="16773525" y="6231047"/>
                    <a:ext cx="1070523" cy="6246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Industrial By-products</a:t>
                    </a:r>
                  </a:p>
                  <a:p>
                    <a:pPr algn="ctr"/>
                    <a:r>
                      <a:rPr lang="en-GB" sz="1100"/>
                      <a:t>0.01Tg</a:t>
                    </a:r>
                  </a:p>
                  <a:p>
                    <a:pPr algn="ctr"/>
                    <a:endParaRPr lang="en-GB" sz="1100"/>
                  </a:p>
                </xdr:txBody>
              </xdr:sp>
              <xdr:cxnSp macro="">
                <xdr:nvCxnSpPr>
                  <xdr:cNvPr id="117" name="Rechte verbindingslijn met pijl 70"/>
                  <xdr:cNvCxnSpPr>
                    <a:stCxn id="116" idx="3"/>
                  </xdr:cNvCxnSpPr>
                </xdr:nvCxnSpPr>
                <xdr:spPr>
                  <a:xfrm>
                    <a:off x="17844048" y="6543390"/>
                    <a:ext cx="416152" cy="359705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18" name="Group 117"/>
                  <xdr:cNvGrpSpPr/>
                </xdr:nvGrpSpPr>
                <xdr:grpSpPr>
                  <a:xfrm>
                    <a:off x="3487208" y="5604955"/>
                    <a:ext cx="34835654" cy="8069069"/>
                    <a:chOff x="3487208" y="5604955"/>
                    <a:chExt cx="34835654" cy="8069069"/>
                  </a:xfrm>
                </xdr:grpSpPr>
                <xdr:sp macro="" textlink="">
                  <xdr:nvSpPr>
                    <xdr:cNvPr id="119" name="Right Arrow Callout 118"/>
                    <xdr:cNvSpPr/>
                  </xdr:nvSpPr>
                  <xdr:spPr>
                    <a:xfrm>
                      <a:off x="13012208" y="9461500"/>
                      <a:ext cx="2238374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sp macro="" textlink="">
                  <xdr:nvSpPr>
                    <xdr:cNvPr id="120" name="Right Arrow Callout 119"/>
                    <xdr:cNvSpPr/>
                  </xdr:nvSpPr>
                  <xdr:spPr>
                    <a:xfrm>
                      <a:off x="3487208" y="9271000"/>
                      <a:ext cx="2410150" cy="1004974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grpSp>
                  <xdr:nvGrpSpPr>
                    <xdr:cNvPr id="121" name="Group 120"/>
                    <xdr:cNvGrpSpPr/>
                  </xdr:nvGrpSpPr>
                  <xdr:grpSpPr>
                    <a:xfrm>
                      <a:off x="15804619" y="6383869"/>
                      <a:ext cx="22518243" cy="7290155"/>
                      <a:chOff x="13942124" y="-12698"/>
                      <a:chExt cx="21606129" cy="7290155"/>
                    </a:xfrm>
                  </xdr:grpSpPr>
                  <xdr:sp macro="" textlink="">
                    <xdr:nvSpPr>
                      <xdr:cNvPr id="161" name="Rectangle 160"/>
                      <xdr:cNvSpPr/>
                    </xdr:nvSpPr>
                    <xdr:spPr>
                      <a:xfrm>
                        <a:off x="28025725" y="231450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2" name="Rectangle 161"/>
                      <xdr:cNvSpPr/>
                    </xdr:nvSpPr>
                    <xdr:spPr>
                      <a:xfrm>
                        <a:off x="30635575" y="379024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3" name="Rectangle 162"/>
                      <xdr:cNvSpPr/>
                    </xdr:nvSpPr>
                    <xdr:spPr>
                      <a:xfrm>
                        <a:off x="28051760" y="3793419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4" name="Rectangle 163"/>
                      <xdr:cNvSpPr/>
                    </xdr:nvSpPr>
                    <xdr:spPr>
                      <a:xfrm>
                        <a:off x="30635575" y="232085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5" name="Rectangle 16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28794075" y="3001890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 Young Cattle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1-2yrs</a:t>
                        </a: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66" name="TextBox 165"/>
                      <xdr:cNvSpPr txBox="1"/>
                    </xdr:nvSpPr>
                    <xdr:spPr>
                      <a:xfrm>
                        <a:off x="19109755" y="173786"/>
                        <a:ext cx="869800" cy="9385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5.72 Ghours</a:t>
                        </a:r>
                      </a:p>
                      <a:p>
                        <a:r>
                          <a:rPr lang="en-GB" sz="1300" b="1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  <a:r>
                          <a:rPr lang="en-GB" sz="130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7" name="TextBox 166"/>
                      <xdr:cNvSpPr txBox="1"/>
                    </xdr:nvSpPr>
                    <xdr:spPr>
                      <a:xfrm>
                        <a:off x="20008954" y="281518"/>
                        <a:ext cx="920750" cy="8895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</a:p>
                      <a:p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12.67 Gg</a:t>
                        </a:r>
                      </a:p>
                    </xdr:txBody>
                  </xdr:sp>
                  <xdr:sp macro="" textlink="">
                    <xdr:nvSpPr>
                      <xdr:cNvPr id="168" name="TextBox 167"/>
                      <xdr:cNvSpPr txBox="1"/>
                    </xdr:nvSpPr>
                    <xdr:spPr>
                      <a:xfrm>
                        <a:off x="21091181" y="275921"/>
                        <a:ext cx="1175595" cy="84999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</a:p>
                      <a:p>
                        <a:r>
                          <a:rPr lang="en-GB" sz="1600" baseline="0"/>
                          <a:t>1283 Km2 </a:t>
                        </a:r>
                      </a:p>
                    </xdr:txBody>
                  </xdr:sp>
                  <xdr:sp macro="" textlink="">
                    <xdr:nvSpPr>
                      <xdr:cNvPr id="169" name="Shape 9"/>
                      <xdr:cNvSpPr/>
                    </xdr:nvSpPr>
                    <xdr:spPr>
                      <a:xfrm rot="5400000">
                        <a:off x="18871139" y="1565275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0" name="Shape 9"/>
                      <xdr:cNvSpPr/>
                    </xdr:nvSpPr>
                    <xdr:spPr>
                      <a:xfrm rot="5400000">
                        <a:off x="19802473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1" name="Rectangle 170"/>
                      <xdr:cNvSpPr/>
                    </xdr:nvSpPr>
                    <xdr:spPr>
                      <a:xfrm>
                        <a:off x="16357600" y="2337200"/>
                        <a:ext cx="2346113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2" name="Rectangle 171"/>
                      <xdr:cNvSpPr/>
                    </xdr:nvSpPr>
                    <xdr:spPr>
                      <a:xfrm>
                        <a:off x="18967450" y="381294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3" name="Rectangle 172"/>
                      <xdr:cNvSpPr/>
                    </xdr:nvSpPr>
                    <xdr:spPr>
                      <a:xfrm>
                        <a:off x="16383635" y="3816115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4" name="Rectangle 173"/>
                      <xdr:cNvSpPr/>
                    </xdr:nvSpPr>
                    <xdr:spPr>
                      <a:xfrm>
                        <a:off x="18967450" y="234355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5" name="Rectangle 17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17059275" y="3072211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latin typeface="Calibri" panose="020F0502020204030204" pitchFamily="34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a:t>Calves &lt; 1yrs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76" name="Shape 9"/>
                      <xdr:cNvSpPr/>
                    </xdr:nvSpPr>
                    <xdr:spPr>
                      <a:xfrm rot="5400000">
                        <a:off x="20776141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7" name="TextBox 12"/>
                      <xdr:cNvSpPr txBox="1"/>
                    </xdr:nvSpPr>
                    <xdr:spPr>
                      <a:xfrm>
                        <a:off x="16131001" y="546796"/>
                        <a:ext cx="799157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78" name="TextBox 18"/>
                      <xdr:cNvSpPr txBox="1"/>
                    </xdr:nvSpPr>
                    <xdr:spPr>
                      <a:xfrm>
                        <a:off x="17019852" y="455083"/>
                        <a:ext cx="808747" cy="606840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0.13 TL</a:t>
                        </a:r>
                      </a:p>
                    </xdr:txBody>
                  </xdr:sp>
                  <xdr:sp macro="" textlink="">
                    <xdr:nvSpPr>
                      <xdr:cNvPr id="179" name="TextBox 40"/>
                      <xdr:cNvSpPr txBox="1"/>
                    </xdr:nvSpPr>
                    <xdr:spPr>
                      <a:xfrm>
                        <a:off x="17917123" y="540808"/>
                        <a:ext cx="1191124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0" name="Shape 8"/>
                      <xdr:cNvSpPr/>
                    </xdr:nvSpPr>
                    <xdr:spPr>
                      <a:xfrm rot="5400000">
                        <a:off x="15905161" y="1429279"/>
                        <a:ext cx="12382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1" name="Shape 8"/>
                      <xdr:cNvSpPr/>
                    </xdr:nvSpPr>
                    <xdr:spPr>
                      <a:xfrm rot="5400000">
                        <a:off x="16814798" y="1470025"/>
                        <a:ext cx="1190625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2" name="Shape 8"/>
                      <xdr:cNvSpPr/>
                    </xdr:nvSpPr>
                    <xdr:spPr>
                      <a:xfrm rot="5400000">
                        <a:off x="17772061" y="1429279"/>
                        <a:ext cx="13144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3" name="TextBox 12"/>
                      <xdr:cNvSpPr txBox="1"/>
                    </xdr:nvSpPr>
                    <xdr:spPr>
                      <a:xfrm>
                        <a:off x="14911916" y="626533"/>
                        <a:ext cx="799155" cy="682811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</a:t>
                        </a:r>
                        <a:r>
                          <a:rPr lang="en-GB" sz="1600" baseline="0"/>
                          <a:t> Use</a:t>
                        </a:r>
                      </a:p>
                      <a:p>
                        <a:r>
                          <a:rPr lang="en-GB" sz="1600" baseline="0"/>
                          <a:t>472 TJ</a:t>
                        </a:r>
                        <a:endParaRPr lang="en-GB" sz="1600"/>
                      </a:p>
                    </xdr:txBody>
                  </xdr:sp>
                  <xdr:cxnSp macro="">
                    <xdr:nvCxnSpPr>
                      <xdr:cNvPr id="184" name="Elbow Connector 183"/>
                      <xdr:cNvCxnSpPr>
                        <a:stCxn id="183" idx="2"/>
                      </xdr:cNvCxnSpPr>
                    </xdr:nvCxnSpPr>
                    <xdr:spPr>
                      <a:xfrm rot="16200000" flipH="1">
                        <a:off x="15331932" y="1288904"/>
                        <a:ext cx="965011" cy="1005888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85" name="TextBox 12"/>
                      <xdr:cNvSpPr txBox="1"/>
                    </xdr:nvSpPr>
                    <xdr:spPr>
                      <a:xfrm>
                        <a:off x="27836169" y="525629"/>
                        <a:ext cx="809739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86" name="TextBox 18"/>
                      <xdr:cNvSpPr txBox="1"/>
                    </xdr:nvSpPr>
                    <xdr:spPr>
                      <a:xfrm>
                        <a:off x="28735602" y="433916"/>
                        <a:ext cx="808748" cy="606840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0.03 TL</a:t>
                        </a:r>
                      </a:p>
                    </xdr:txBody>
                  </xdr:sp>
                  <xdr:sp macro="" textlink="">
                    <xdr:nvSpPr>
                      <xdr:cNvPr id="187" name="TextBox 40"/>
                      <xdr:cNvSpPr txBox="1"/>
                    </xdr:nvSpPr>
                    <xdr:spPr>
                      <a:xfrm>
                        <a:off x="29622291" y="519641"/>
                        <a:ext cx="1191123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8" name="Shape 8"/>
                      <xdr:cNvSpPr/>
                    </xdr:nvSpPr>
                    <xdr:spPr>
                      <a:xfrm rot="5400000">
                        <a:off x="27615620" y="1413404"/>
                        <a:ext cx="12382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9" name="Shape 8"/>
                      <xdr:cNvSpPr/>
                    </xdr:nvSpPr>
                    <xdr:spPr>
                      <a:xfrm rot="5400000">
                        <a:off x="28525257" y="1443566"/>
                        <a:ext cx="11906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0" name="Shape 8"/>
                      <xdr:cNvSpPr/>
                    </xdr:nvSpPr>
                    <xdr:spPr>
                      <a:xfrm rot="5400000">
                        <a:off x="29482520" y="1413404"/>
                        <a:ext cx="13144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1" name="TextBox 12"/>
                      <xdr:cNvSpPr txBox="1"/>
                    </xdr:nvSpPr>
                    <xdr:spPr>
                      <a:xfrm>
                        <a:off x="26617083" y="605366"/>
                        <a:ext cx="809739" cy="682811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 Use</a:t>
                        </a:r>
                      </a:p>
                      <a:p>
                        <a:r>
                          <a:rPr lang="en-GB" sz="1600"/>
                          <a:t>6195 TJ</a:t>
                        </a:r>
                      </a:p>
                    </xdr:txBody>
                  </xdr:sp>
                  <xdr:cxnSp macro="">
                    <xdr:nvCxnSpPr>
                      <xdr:cNvPr id="192" name="Elbow Connector 191"/>
                      <xdr:cNvCxnSpPr>
                        <a:stCxn id="191" idx="2"/>
                      </xdr:cNvCxnSpPr>
                    </xdr:nvCxnSpPr>
                    <xdr:spPr>
                      <a:xfrm rot="16200000" flipH="1">
                        <a:off x="27045036" y="1265093"/>
                        <a:ext cx="965013" cy="1011180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93" name="TextBox 192"/>
                      <xdr:cNvSpPr txBox="1"/>
                    </xdr:nvSpPr>
                    <xdr:spPr>
                      <a:xfrm>
                        <a:off x="30890336" y="-12698"/>
                        <a:ext cx="733252" cy="104336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0.55 Ghours</a:t>
                        </a:r>
                      </a:p>
                    </xdr:txBody>
                  </xdr:sp>
                  <xdr:sp macro="" textlink="">
                    <xdr:nvSpPr>
                      <xdr:cNvPr id="194" name="TextBox 193"/>
                      <xdr:cNvSpPr txBox="1"/>
                    </xdr:nvSpPr>
                    <xdr:spPr>
                      <a:xfrm>
                        <a:off x="31636758" y="218016"/>
                        <a:ext cx="931332" cy="895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1.21 Gg</a:t>
                        </a:r>
                      </a:p>
                    </xdr:txBody>
                  </xdr:sp>
                  <xdr:sp macro="" textlink="">
                    <xdr:nvSpPr>
                      <xdr:cNvPr id="195" name="TextBox 194"/>
                      <xdr:cNvSpPr txBox="1"/>
                    </xdr:nvSpPr>
                    <xdr:spPr>
                      <a:xfrm>
                        <a:off x="32746185" y="249011"/>
                        <a:ext cx="1034671" cy="90411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123 Km2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96" name="Shape 9"/>
                      <xdr:cNvSpPr/>
                    </xdr:nvSpPr>
                    <xdr:spPr>
                      <a:xfrm rot="5400000">
                        <a:off x="30601704" y="1497544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7" name="Shape 9"/>
                      <xdr:cNvSpPr/>
                    </xdr:nvSpPr>
                    <xdr:spPr>
                      <a:xfrm rot="5400000">
                        <a:off x="31527746" y="1566335"/>
                        <a:ext cx="1111250" cy="29844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8" name="Shape 9"/>
                      <xdr:cNvSpPr/>
                    </xdr:nvSpPr>
                    <xdr:spPr>
                      <a:xfrm rot="5400000">
                        <a:off x="32501414" y="1566335"/>
                        <a:ext cx="1111250" cy="298450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9" name="TextBox 198"/>
                      <xdr:cNvSpPr txBox="1"/>
                    </xdr:nvSpPr>
                    <xdr:spPr>
                      <a:xfrm>
                        <a:off x="16255999" y="5792258"/>
                        <a:ext cx="1500717" cy="39052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0" name="Shape 10"/>
                      <xdr:cNvSpPr/>
                    </xdr:nvSpPr>
                    <xdr:spPr>
                      <a:xfrm rot="-5400000">
                        <a:off x="16349133" y="5035550"/>
                        <a:ext cx="1076325" cy="3608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1" name="Shape 11"/>
                      <xdr:cNvSpPr/>
                    </xdr:nvSpPr>
                    <xdr:spPr>
                      <a:xfrm rot="5400000">
                        <a:off x="18619818" y="4888442"/>
                        <a:ext cx="10763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2" name="Shape 11"/>
                      <xdr:cNvSpPr/>
                    </xdr:nvSpPr>
                    <xdr:spPr>
                      <a:xfrm rot="5400000">
                        <a:off x="19671801" y="4886325"/>
                        <a:ext cx="1076325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3" name="TextBox 202"/>
                      <xdr:cNvSpPr txBox="1"/>
                    </xdr:nvSpPr>
                    <xdr:spPr>
                      <a:xfrm>
                        <a:off x="18510250" y="5700541"/>
                        <a:ext cx="1177924" cy="83820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GHG</a:t>
                        </a:r>
                        <a:endParaRPr lang="en-GB" sz="1600" baseline="0"/>
                      </a:p>
                      <a:p>
                        <a:r>
                          <a:rPr lang="en-GB" sz="1600" baseline="0"/>
                          <a:t>(N2O, CH4, CO2)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04" name="TextBox 203"/>
                      <xdr:cNvSpPr txBox="1"/>
                    </xdr:nvSpPr>
                    <xdr:spPr>
                      <a:xfrm>
                        <a:off x="19792950" y="5729116"/>
                        <a:ext cx="1139826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05" name="Shape 11"/>
                      <xdr:cNvSpPr/>
                    </xdr:nvSpPr>
                    <xdr:spPr>
                      <a:xfrm rot="5400000">
                        <a:off x="20065471" y="5424845"/>
                        <a:ext cx="2057400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6" name="TextBox 205"/>
                      <xdr:cNvSpPr txBox="1"/>
                    </xdr:nvSpPr>
                    <xdr:spPr>
                      <a:xfrm>
                        <a:off x="20576118" y="6624466"/>
                        <a:ext cx="1150407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Manure</a:t>
                        </a:r>
                      </a:p>
                      <a:p>
                        <a:r>
                          <a:rPr lang="en-GB" sz="1600"/>
                          <a:t>0.6 Tg</a:t>
                        </a:r>
                      </a:p>
                    </xdr:txBody>
                  </xdr:sp>
                  <xdr:sp macro="" textlink="">
                    <xdr:nvSpPr>
                      <xdr:cNvPr id="207" name="TextBox 206"/>
                      <xdr:cNvSpPr txBox="1"/>
                    </xdr:nvSpPr>
                    <xdr:spPr>
                      <a:xfrm>
                        <a:off x="27929417" y="5845174"/>
                        <a:ext cx="1511300" cy="39052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70AD47">
                            <a:lumMod val="75000"/>
                          </a:srgbClr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8" name="Shape 10"/>
                      <xdr:cNvSpPr/>
                    </xdr:nvSpPr>
                    <xdr:spPr>
                      <a:xfrm rot="-5400000">
                        <a:off x="28027842" y="5083174"/>
                        <a:ext cx="1076325" cy="3714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09" name="Shape 11"/>
                      <xdr:cNvSpPr/>
                    </xdr:nvSpPr>
                    <xdr:spPr>
                      <a:xfrm rot="5400000">
                        <a:off x="30298526" y="4946650"/>
                        <a:ext cx="1076325" cy="2846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0" name="Shape 11"/>
                      <xdr:cNvSpPr/>
                    </xdr:nvSpPr>
                    <xdr:spPr>
                      <a:xfrm rot="5400000">
                        <a:off x="31350510" y="4944533"/>
                        <a:ext cx="1076325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1" name="TextBox 210"/>
                      <xdr:cNvSpPr txBox="1"/>
                    </xdr:nvSpPr>
                    <xdr:spPr>
                      <a:xfrm>
                        <a:off x="30183667" y="5753457"/>
                        <a:ext cx="1188508" cy="83820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GHG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(N2O, CH4, CO2)</a:t>
                        </a:r>
                      </a:p>
                    </xdr:txBody>
                  </xdr:sp>
                  <xdr:sp macro="" textlink="">
                    <xdr:nvSpPr>
                      <xdr:cNvPr id="212" name="TextBox 211"/>
                      <xdr:cNvSpPr txBox="1"/>
                    </xdr:nvSpPr>
                    <xdr:spPr>
                      <a:xfrm>
                        <a:off x="31466368" y="578203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13" name="Shape 11"/>
                      <xdr:cNvSpPr/>
                    </xdr:nvSpPr>
                    <xdr:spPr>
                      <a:xfrm rot="5400000">
                        <a:off x="31744180" y="5472469"/>
                        <a:ext cx="2057400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4" name="TextBox 213"/>
                      <xdr:cNvSpPr txBox="1"/>
                    </xdr:nvSpPr>
                    <xdr:spPr>
                      <a:xfrm>
                        <a:off x="32260118" y="667738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Manure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0.06 Tg</a:t>
                        </a:r>
                      </a:p>
                    </xdr:txBody>
                  </xdr:sp>
                  <xdr:sp macro="" textlink="">
                    <xdr:nvSpPr>
                      <xdr:cNvPr id="215" name="Right Arrow Callout 214"/>
                      <xdr:cNvSpPr/>
                    </xdr:nvSpPr>
                    <xdr:spPr>
                      <a:xfrm>
                        <a:off x="13942124" y="3181349"/>
                        <a:ext cx="1865852" cy="965352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6" name="TextBox 215"/>
                      <xdr:cNvSpPr txBox="1"/>
                    </xdr:nvSpPr>
                    <xdr:spPr>
                      <a:xfrm>
                        <a:off x="13994849" y="3244851"/>
                        <a:ext cx="1111366" cy="87463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Imports calves</a:t>
                        </a: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7" name="Right Arrow Callout 216"/>
                      <xdr:cNvSpPr/>
                    </xdr:nvSpPr>
                    <xdr:spPr>
                      <a:xfrm>
                        <a:off x="21616988" y="3000375"/>
                        <a:ext cx="2677043" cy="105914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8" name="TextBox 27"/>
                      <xdr:cNvSpPr txBox="1"/>
                    </xdr:nvSpPr>
                    <xdr:spPr>
                      <a:xfrm>
                        <a:off x="21795128" y="2990850"/>
                        <a:ext cx="1462020" cy="1113577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Slaughtered calves</a:t>
                        </a:r>
                      </a:p>
                      <a:p>
                        <a:endParaRPr lang="en-GB" sz="1800" b="0" i="0" u="none" strike="noStrike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r>
                          <a:rPr lang="en-GB" sz="1600"/>
                          <a:t>16.85 Gg</a:t>
                        </a:r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9" name="Right Arrow Callout 218"/>
                      <xdr:cNvSpPr/>
                    </xdr:nvSpPr>
                    <xdr:spPr>
                      <a:xfrm>
                        <a:off x="21717000" y="4381500"/>
                        <a:ext cx="2343166" cy="90820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0" name="TextBox 27"/>
                      <xdr:cNvSpPr txBox="1"/>
                    </xdr:nvSpPr>
                    <xdr:spPr>
                      <a:xfrm>
                        <a:off x="21875884" y="4408091"/>
                        <a:ext cx="1300711" cy="277421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Calves</a:t>
                        </a:r>
                      </a:p>
                    </xdr:txBody>
                  </xdr:sp>
                  <xdr:sp macro="" textlink="">
                    <xdr:nvSpPr>
                      <xdr:cNvPr id="221" name="Right Arrow Callout 220"/>
                      <xdr:cNvSpPr/>
                    </xdr:nvSpPr>
                    <xdr:spPr>
                      <a:xfrm>
                        <a:off x="33163773" y="3128131"/>
                        <a:ext cx="2384480" cy="93692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2" name="TextBox 27"/>
                      <xdr:cNvSpPr txBox="1"/>
                    </xdr:nvSpPr>
                    <xdr:spPr>
                      <a:xfrm>
                        <a:off x="33345194" y="3188286"/>
                        <a:ext cx="1300711" cy="480116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Young Cattle</a:t>
                        </a:r>
                      </a:p>
                    </xdr:txBody>
                  </xdr:sp>
                  <xdr:sp macro="" textlink="">
                    <xdr:nvSpPr>
                      <xdr:cNvPr id="223" name="Right Arrow Callout 222"/>
                      <xdr:cNvSpPr/>
                    </xdr:nvSpPr>
                    <xdr:spPr>
                      <a:xfrm>
                        <a:off x="25791583" y="2990850"/>
                        <a:ext cx="2222500" cy="898083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4" name="TextBox 20"/>
                      <xdr:cNvSpPr txBox="1"/>
                    </xdr:nvSpPr>
                    <xdr:spPr>
                      <a:xfrm>
                        <a:off x="25881541" y="3034844"/>
                        <a:ext cx="1281642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 baseline="0"/>
                          <a:t>Imports Young Cattle</a:t>
                        </a:r>
                      </a:p>
                    </xdr:txBody>
                  </xdr:sp>
                </xdr:grpSp>
                <xdr:grpSp>
                  <xdr:nvGrpSpPr>
                    <xdr:cNvPr id="122" name="Group 121"/>
                    <xdr:cNvGrpSpPr/>
                  </xdr:nvGrpSpPr>
                  <xdr:grpSpPr>
                    <a:xfrm>
                      <a:off x="5963708" y="6453454"/>
                      <a:ext cx="7559745" cy="7060406"/>
                      <a:chOff x="2445544" y="2378869"/>
                      <a:chExt cx="7301673" cy="7060406"/>
                    </a:xfrm>
                  </xdr:grpSpPr>
                  <xdr:cxnSp macro="">
                    <xdr:nvCxnSpPr>
                      <xdr:cNvPr id="132" name="Elbow Connector 131"/>
                      <xdr:cNvCxnSpPr>
                        <a:stCxn id="150" idx="2"/>
                      </xdr:cNvCxnSpPr>
                    </xdr:nvCxnSpPr>
                    <xdr:spPr>
                      <a:xfrm rot="16200000" flipH="1">
                        <a:off x="2916424" y="3654666"/>
                        <a:ext cx="922578" cy="1011108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33" name="Group 132"/>
                      <xdr:cNvGrpSpPr/>
                    </xdr:nvGrpSpPr>
                    <xdr:grpSpPr>
                      <a:xfrm>
                        <a:off x="2445544" y="2378869"/>
                        <a:ext cx="7301673" cy="7060406"/>
                        <a:chOff x="2278856" y="2474119"/>
                        <a:chExt cx="7301673" cy="7060406"/>
                      </a:xfrm>
                    </xdr:grpSpPr>
                    <xdr:sp macro="" textlink="">
                      <xdr:nvSpPr>
                        <xdr:cNvPr id="134" name="Rectangle 133"/>
                        <xdr:cNvSpPr/>
                      </xdr:nvSpPr>
                      <xdr:spPr>
                        <a:xfrm>
                          <a:off x="3770408" y="475113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5" name="Rectangle 134"/>
                        <xdr:cNvSpPr/>
                      </xdr:nvSpPr>
                      <xdr:spPr>
                        <a:xfrm>
                          <a:off x="6390251" y="618877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FFC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6" name="Rectangle 135"/>
                        <xdr:cNvSpPr/>
                      </xdr:nvSpPr>
                      <xdr:spPr>
                        <a:xfrm>
                          <a:off x="3796270" y="620147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7" name="Rectangle 136"/>
                        <xdr:cNvSpPr/>
                      </xdr:nvSpPr>
                      <xdr:spPr>
                        <a:xfrm>
                          <a:off x="6399713" y="475748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C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8" name="Rectangle 137"/>
                        <xdr:cNvSpPr/>
                      </xdr:nvSpPr>
                      <xdr:spPr>
                        <a:xfrm>
                          <a:off x="4419114" y="5497261"/>
                          <a:ext cx="3706148" cy="1002030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175">
                          <a:solidFill>
                            <a:srgbClr val="00B05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9" name="TextBox 4"/>
                        <xdr:cNvSpPr txBox="1">
                          <a:spLocks noChangeArrowheads="1"/>
                        </xdr:cNvSpPr>
                      </xdr:nvSpPr>
                      <xdr:spPr bwMode="auto">
                        <a:xfrm>
                          <a:off x="5145510" y="5688839"/>
                          <a:ext cx="2508403" cy="369332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  <a:ext uri="{91240B29-F687-4F45-9708-019B960494DF}">
                            <a14:hiddenLine xmlns:a14="http://schemas.microsoft.com/office/drawing/2010/main" w="9525">
                              <a:solidFill>
                                <a:srgbClr val="000000"/>
                              </a:solidFill>
                              <a:miter lim="800000"/>
                              <a:headEnd/>
                              <a:tailEnd/>
                            </a14:hiddenLine>
                          </a:ext>
                        </a:extLst>
                      </xdr:spPr>
                      <xdr:txBody>
                        <a:bodyPr vert="horz" wrap="square" lIns="91440" tIns="45720" rIns="91440" bIns="45720" numCol="1" anchor="t" anchorCtr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0" fontAlgn="base" latinLnBrk="0" hangingPunct="0">
                            <a:lnSpc>
                              <a:spcPct val="100000"/>
                            </a:lnSpc>
                            <a:spcBef>
                              <a:spcPct val="0"/>
                            </a:spcBef>
                            <a:spcAft>
                              <a:spcPct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</a:pPr>
                          <a:r>
                            <a:rPr kumimoji="0" lang="en-US" altLang="en-US" sz="1800" b="0" i="0" u="none" strike="noStrike" cap="none" normalizeH="0" baseline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Adult Animals</a:t>
                          </a:r>
                          <a:r>
                            <a:rPr kumimoji="0" lang="en-US" altLang="en-US" sz="1800" b="0" i="0" u="none" strike="noStrike" cap="none" normalizeH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&gt;= 2yrs</a:t>
                          </a:r>
                          <a:endParaRPr kumimoji="0" lang="en-US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40" name="TextBox 12"/>
                        <xdr:cNvSpPr txBox="1"/>
                      </xdr:nvSpPr>
                      <xdr:spPr>
                        <a:xfrm>
                          <a:off x="3506135" y="3006363"/>
                          <a:ext cx="810129" cy="342786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Feed </a:t>
                          </a:r>
                        </a:p>
                      </xdr:txBody>
                    </xdr:sp>
                    <xdr:sp macro="" textlink="">
                      <xdr:nvSpPr>
                        <xdr:cNvPr id="141" name="TextBox 18"/>
                        <xdr:cNvSpPr txBox="1"/>
                      </xdr:nvSpPr>
                      <xdr:spPr>
                        <a:xfrm>
                          <a:off x="4393691" y="2848575"/>
                          <a:ext cx="874615" cy="604220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400"/>
                            <a:t>Blue Water</a:t>
                          </a:r>
                        </a:p>
                        <a:p>
                          <a:r>
                            <a:rPr lang="en-GB" sz="1400"/>
                            <a:t>11.56 TL</a:t>
                          </a:r>
                        </a:p>
                      </xdr:txBody>
                    </xdr:sp>
                    <xdr:sp macro="" textlink="">
                      <xdr:nvSpPr>
                        <xdr:cNvPr id="142" name="TextBox 40"/>
                        <xdr:cNvSpPr txBox="1"/>
                      </xdr:nvSpPr>
                      <xdr:spPr>
                        <a:xfrm>
                          <a:off x="5304828" y="3000375"/>
                          <a:ext cx="1199502" cy="334068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0" cmpd="sng">
                          <a:solidFill>
                            <a:srgbClr val="0070C0"/>
                          </a:solidFill>
                        </a:ln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3" name="TextBox 142"/>
                        <xdr:cNvSpPr txBox="1"/>
                      </xdr:nvSpPr>
                      <xdr:spPr>
                        <a:xfrm>
                          <a:off x="8395732" y="2620054"/>
                          <a:ext cx="1184797" cy="90948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pPr marL="0" marR="0" lvl="0" indent="0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lang="en-GB" sz="1600"/>
                            <a:t>Land Use</a:t>
                          </a:r>
                          <a:r>
                            <a:rPr lang="en-GB" sz="1600" baseline="0"/>
                            <a:t> </a:t>
                          </a:r>
                          <a:r>
                            <a:rPr lang="en-GB" sz="16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rPr>
                            <a:t>79760 Km2</a:t>
                          </a:r>
                        </a:p>
                        <a:p>
                          <a:endParaRPr lang="en-GB" sz="16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  <xdr:sp macro="" textlink="">
                      <xdr:nvSpPr>
                        <xdr:cNvPr id="144" name="TextBox 143"/>
                        <xdr:cNvSpPr txBox="1"/>
                      </xdr:nvSpPr>
                      <xdr:spPr>
                        <a:xfrm>
                          <a:off x="6580105" y="2474119"/>
                          <a:ext cx="658777" cy="87852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HA</a:t>
                          </a:r>
                        </a:p>
                        <a:p>
                          <a:r>
                            <a:rPr lang="en-GB" sz="1600"/>
                            <a:t>356 G hours</a:t>
                          </a:r>
                        </a:p>
                      </xdr:txBody>
                    </xdr:sp>
                    <xdr:sp macro="" textlink="">
                      <xdr:nvSpPr>
                        <xdr:cNvPr id="145" name="TextBox 144"/>
                        <xdr:cNvSpPr txBox="1"/>
                      </xdr:nvSpPr>
                      <xdr:spPr>
                        <a:xfrm>
                          <a:off x="7308877" y="2656416"/>
                          <a:ext cx="952037" cy="85724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Animal</a:t>
                          </a:r>
                          <a:r>
                            <a:rPr lang="en-GB" sz="1600" baseline="0"/>
                            <a:t> Fund </a:t>
                          </a:r>
                        </a:p>
                        <a:p>
                          <a:r>
                            <a:rPr lang="en-GB" sz="1600" baseline="0"/>
                            <a:t>0.78 Tg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6" name="TextBox 145"/>
                        <xdr:cNvSpPr txBox="1"/>
                      </xdr:nvSpPr>
                      <xdr:spPr>
                        <a:xfrm>
                          <a:off x="3512556" y="7915275"/>
                          <a:ext cx="1515177" cy="39052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Green water </a:t>
                          </a:r>
                        </a:p>
                      </xdr:txBody>
                    </xdr:sp>
                    <xdr:sp macro="" textlink="">
                      <xdr:nvSpPr>
                        <xdr:cNvPr id="147" name="TextBox 146"/>
                        <xdr:cNvSpPr txBox="1"/>
                      </xdr:nvSpPr>
                      <xdr:spPr>
                        <a:xfrm>
                          <a:off x="5932647" y="8010525"/>
                          <a:ext cx="1186389" cy="838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GHG</a:t>
                          </a:r>
                          <a:endParaRPr lang="en-GB" sz="1600" baseline="0"/>
                        </a:p>
                        <a:p>
                          <a:r>
                            <a:rPr lang="en-GB" sz="1600" baseline="0"/>
                            <a:t>(N2O, CH4, CO2)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8" name="TextBox 147"/>
                        <xdr:cNvSpPr txBox="1"/>
                      </xdr:nvSpPr>
                      <xdr:spPr>
                        <a:xfrm>
                          <a:off x="7223118" y="8039100"/>
                          <a:ext cx="1148544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9" name="TextBox 148"/>
                        <xdr:cNvSpPr txBox="1"/>
                      </xdr:nvSpPr>
                      <xdr:spPr>
                        <a:xfrm>
                          <a:off x="8017365" y="8934450"/>
                          <a:ext cx="1148542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Manure</a:t>
                          </a:r>
                        </a:p>
                        <a:p>
                          <a:r>
                            <a:rPr lang="en-GB" sz="1600"/>
                            <a:t>38 Tg</a:t>
                          </a:r>
                        </a:p>
                        <a:p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0" name="TextBox 12"/>
                        <xdr:cNvSpPr txBox="1"/>
                      </xdr:nvSpPr>
                      <xdr:spPr>
                        <a:xfrm>
                          <a:off x="2278856" y="3086100"/>
                          <a:ext cx="853230" cy="708081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Energy Use</a:t>
                          </a:r>
                        </a:p>
                        <a:p>
                          <a:r>
                            <a:rPr lang="en-GB" sz="1600"/>
                            <a:t>1086 TJ</a:t>
                          </a:r>
                        </a:p>
                      </xdr:txBody>
                    </xdr:sp>
                    <xdr:sp macro="" textlink="">
                      <xdr:nvSpPr>
                        <xdr:cNvPr id="151" name="Shape 8"/>
                        <xdr:cNvSpPr/>
                      </xdr:nvSpPr>
                      <xdr:spPr>
                        <a:xfrm rot="5400000">
                          <a:off x="3377333" y="3897386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2" name="Shape 8"/>
                        <xdr:cNvSpPr/>
                      </xdr:nvSpPr>
                      <xdr:spPr>
                        <a:xfrm rot="5400000">
                          <a:off x="4115520" y="3933104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3" name="Shape 8"/>
                        <xdr:cNvSpPr/>
                      </xdr:nvSpPr>
                      <xdr:spPr>
                        <a:xfrm rot="5400000">
                          <a:off x="5139457" y="388548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4" name="Shape 8"/>
                        <xdr:cNvSpPr/>
                      </xdr:nvSpPr>
                      <xdr:spPr>
                        <a:xfrm rot="5400000">
                          <a:off x="6330083" y="3968823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5" name="Shape 8"/>
                        <xdr:cNvSpPr/>
                      </xdr:nvSpPr>
                      <xdr:spPr>
                        <a:xfrm rot="5400000">
                          <a:off x="7068271" y="4028355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6" name="Shape 8"/>
                        <xdr:cNvSpPr/>
                      </xdr:nvSpPr>
                      <xdr:spPr>
                        <a:xfrm rot="5400000">
                          <a:off x="8008864" y="398073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7" name="Shape 10"/>
                        <xdr:cNvSpPr/>
                      </xdr:nvSpPr>
                      <xdr:spPr>
                        <a:xfrm rot="16200000">
                          <a:off x="3655876" y="7178812"/>
                          <a:ext cx="1076325" cy="363265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548135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lvl="0" indent="0" algn="l">
                            <a:spcBef>
                              <a:spcPts val="0"/>
                            </a:spcBef>
                            <a:buNone/>
                          </a:pPr>
                          <a:endParaRPr sz="1100"/>
                        </a:p>
                      </xdr:txBody>
                    </xdr:sp>
                    <xdr:pic>
                      <xdr:nvPicPr>
                        <xdr:cNvPr id="158" name="Picture 157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6512719" y="6881812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59" name="Picture 158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8498682" y="7141367"/>
                          <a:ext cx="298730" cy="1764507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60" name="Picture 159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7686675" y="6972299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</xdr:grpSp>
                </xdr:grpSp>
                <xdr:sp macro="" textlink="">
                  <xdr:nvSpPr>
                    <xdr:cNvPr id="123" name="TextBox 12"/>
                    <xdr:cNvSpPr txBox="1"/>
                  </xdr:nvSpPr>
                  <xdr:spPr>
                    <a:xfrm>
                      <a:off x="3688292" y="9398000"/>
                      <a:ext cx="1296457" cy="635000"/>
                    </a:xfrm>
                    <a:prstGeom prst="rect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Import</a:t>
                      </a:r>
                      <a:r>
                        <a:rPr lang="en-GB" sz="1600" baseline="0"/>
                        <a:t>s Adult Animals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4" name="TextBox 12"/>
                    <xdr:cNvSpPr txBox="1"/>
                  </xdr:nvSpPr>
                  <xdr:spPr>
                    <a:xfrm>
                      <a:off x="13133916" y="9567333"/>
                      <a:ext cx="1333500" cy="8572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Exports Adult Animals</a:t>
                      </a:r>
                    </a:p>
                  </xdr:txBody>
                </xdr:sp>
                <xdr:sp macro="" textlink="">
                  <xdr:nvSpPr>
                    <xdr:cNvPr id="125" name="Right Arrow Callout 124"/>
                    <xdr:cNvSpPr/>
                  </xdr:nvSpPr>
                  <xdr:spPr>
                    <a:xfrm>
                      <a:off x="12906375" y="10747375"/>
                      <a:ext cx="2254249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GB" sz="1600">
                          <a:solidFill>
                            <a:sysClr val="windowText" lastClr="000000"/>
                          </a:solidFill>
                        </a:rPr>
                        <a:t>Slaughtered</a:t>
                      </a:r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  Adult Animals</a:t>
                      </a:r>
                    </a:p>
                    <a:p>
                      <a:pPr algn="ctr"/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38.8 Gg</a:t>
                      </a:r>
                    </a:p>
                  </xdr:txBody>
                </xdr:sp>
                <xdr:sp macro="" textlink="">
                  <xdr:nvSpPr>
                    <xdr:cNvPr id="126" name="Rectángulo 762"/>
                    <xdr:cNvSpPr/>
                  </xdr:nvSpPr>
                  <xdr:spPr>
                    <a:xfrm>
                      <a:off x="7782377" y="5619750"/>
                      <a:ext cx="930260" cy="443982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Roughages</a:t>
                      </a:r>
                    </a:p>
                    <a:p>
                      <a:pPr algn="ctr"/>
                      <a:r>
                        <a:rPr lang="en-GB" sz="1100"/>
                        <a:t>8.1</a:t>
                      </a:r>
                      <a:r>
                        <a:rPr lang="en-GB" sz="1100" baseline="0"/>
                        <a:t> Tg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27" name="Rectángulo 762"/>
                    <xdr:cNvSpPr/>
                  </xdr:nvSpPr>
                  <xdr:spPr>
                    <a:xfrm>
                      <a:off x="6468987" y="5604955"/>
                      <a:ext cx="1145028" cy="473585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Grains</a:t>
                      </a:r>
                    </a:p>
                    <a:p>
                      <a:pPr algn="ctr"/>
                      <a:r>
                        <a:rPr lang="en-GB" sz="1100"/>
                        <a:t>0 Tg</a:t>
                      </a:r>
                    </a:p>
                  </xdr:txBody>
                </xdr:sp>
                <xdr:cxnSp macro="">
                  <xdr:nvCxnSpPr>
                    <xdr:cNvPr id="128" name="Straight Arrow Connector 91"/>
                    <xdr:cNvCxnSpPr>
                      <a:stCxn id="126" idx="2"/>
                    </xdr:cNvCxnSpPr>
                  </xdr:nvCxnSpPr>
                  <xdr:spPr>
                    <a:xfrm flipH="1">
                      <a:off x="7754857" y="6063732"/>
                      <a:ext cx="493400" cy="8541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9" name="Rectángulo 762"/>
                    <xdr:cNvSpPr/>
                  </xdr:nvSpPr>
                  <xdr:spPr>
                    <a:xfrm>
                      <a:off x="5873750" y="6253272"/>
                      <a:ext cx="1053681" cy="629674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Industrial By-products</a:t>
                      </a:r>
                    </a:p>
                    <a:p>
                      <a:pPr algn="ctr"/>
                      <a:r>
                        <a:rPr lang="en-GB" sz="1100"/>
                        <a:t>1.6 Tg</a:t>
                      </a:r>
                    </a:p>
                    <a:p>
                      <a:pPr algn="ctr"/>
                      <a:endParaRPr lang="en-GB" sz="1100"/>
                    </a:p>
                  </xdr:txBody>
                </xdr:sp>
                <xdr:cxnSp macro="">
                  <xdr:nvCxnSpPr>
                    <xdr:cNvPr id="130" name="Rechte verbindingslijn met pijl 70"/>
                    <xdr:cNvCxnSpPr>
                      <a:stCxn id="129" idx="3"/>
                    </xdr:cNvCxnSpPr>
                  </xdr:nvCxnSpPr>
                  <xdr:spPr>
                    <a:xfrm>
                      <a:off x="6927432" y="6568109"/>
                      <a:ext cx="432993" cy="35721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Arrow Connector 90"/>
                    <xdr:cNvCxnSpPr/>
                  </xdr:nvCxnSpPr>
                  <xdr:spPr>
                    <a:xfrm>
                      <a:off x="7254875" y="6127750"/>
                      <a:ext cx="334049" cy="846780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106" name="Straight Arrow Connector 90"/>
                <xdr:cNvCxnSpPr/>
              </xdr:nvCxnSpPr>
              <xdr:spPr>
                <a:xfrm>
                  <a:off x="30241976" y="6004435"/>
                  <a:ext cx="334049" cy="84678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07" name="Rectángulo 762"/>
                <xdr:cNvSpPr/>
              </xdr:nvSpPr>
              <xdr:spPr>
                <a:xfrm>
                  <a:off x="30817002" y="5523420"/>
                  <a:ext cx="930260" cy="443982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Roughages</a:t>
                  </a:r>
                </a:p>
                <a:p>
                  <a:pPr algn="ctr"/>
                  <a:r>
                    <a:rPr lang="en-GB" sz="1100"/>
                    <a:t>0.007Tg</a:t>
                  </a:r>
                </a:p>
              </xdr:txBody>
            </xdr:sp>
            <xdr:sp macro="" textlink="">
              <xdr:nvSpPr>
                <xdr:cNvPr id="108" name="Rectángulo 762"/>
                <xdr:cNvSpPr/>
              </xdr:nvSpPr>
              <xdr:spPr>
                <a:xfrm>
                  <a:off x="29503612" y="5508625"/>
                  <a:ext cx="1145028" cy="473585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Grains</a:t>
                  </a:r>
                </a:p>
                <a:p>
                  <a:pPr algn="ctr"/>
                  <a:r>
                    <a:rPr lang="en-GB" sz="1100"/>
                    <a:t>0Tg</a:t>
                  </a:r>
                </a:p>
              </xdr:txBody>
            </xdr:sp>
            <xdr:cxnSp macro="">
              <xdr:nvCxnSpPr>
                <xdr:cNvPr id="109" name="Straight Arrow Connector 91"/>
                <xdr:cNvCxnSpPr>
                  <a:stCxn id="107" idx="2"/>
                </xdr:cNvCxnSpPr>
              </xdr:nvCxnSpPr>
              <xdr:spPr>
                <a:xfrm flipH="1">
                  <a:off x="30789482" y="5967402"/>
                  <a:ext cx="493400" cy="8541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0" name="Rectángulo 762"/>
                <xdr:cNvSpPr/>
              </xdr:nvSpPr>
              <xdr:spPr>
                <a:xfrm>
                  <a:off x="28908374" y="6156942"/>
                  <a:ext cx="1152532" cy="753219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Industrial By-products</a:t>
                  </a:r>
                </a:p>
                <a:p>
                  <a:pPr algn="ctr"/>
                  <a:r>
                    <a:rPr lang="en-GB" sz="1100"/>
                    <a:t>0.002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Tg</a:t>
                  </a:r>
                </a:p>
              </xdr:txBody>
            </xdr:sp>
            <xdr:cxnSp macro="">
              <xdr:nvCxnSpPr>
                <xdr:cNvPr id="111" name="Rechte verbindingslijn met pijl 70"/>
                <xdr:cNvCxnSpPr>
                  <a:stCxn id="110" idx="3"/>
                </xdr:cNvCxnSpPr>
              </xdr:nvCxnSpPr>
              <xdr:spPr>
                <a:xfrm>
                  <a:off x="30060906" y="6533552"/>
                  <a:ext cx="350019" cy="29543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99" name="Rectángulo 762"/>
          <xdr:cNvSpPr/>
        </xdr:nvSpPr>
        <xdr:spPr>
          <a:xfrm>
            <a:off x="20383500" y="4235450"/>
            <a:ext cx="898007" cy="443982"/>
          </a:xfrm>
          <a:prstGeom prst="rect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algn="ctr"/>
            <a:r>
              <a:rPr lang="en-GB" sz="1100"/>
              <a:t>Milk</a:t>
            </a:r>
            <a:r>
              <a:rPr lang="en-GB" sz="1100" baseline="0"/>
              <a:t> Powder</a:t>
            </a:r>
          </a:p>
          <a:p>
            <a:pPr algn="ctr"/>
            <a:r>
              <a:rPr lang="en-GB" sz="1100" baseline="0"/>
              <a:t>0.004 Tg</a:t>
            </a:r>
          </a:p>
        </xdr:txBody>
      </xdr:sp>
      <xdr:cxnSp macro="">
        <xdr:nvCxnSpPr>
          <xdr:cNvPr id="100" name="Straight Arrow Connector 91"/>
          <xdr:cNvCxnSpPr>
            <a:stCxn id="99" idx="2"/>
          </xdr:cNvCxnSpPr>
        </xdr:nvCxnSpPr>
        <xdr:spPr>
          <a:xfrm flipH="1">
            <a:off x="19532602" y="4679432"/>
            <a:ext cx="1296727" cy="4672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108857</xdr:colOff>
      <xdr:row>94</xdr:row>
      <xdr:rowOff>40821</xdr:rowOff>
    </xdr:from>
    <xdr:to>
      <xdr:col>44</xdr:col>
      <xdr:colOff>367393</xdr:colOff>
      <xdr:row>97</xdr:row>
      <xdr:rowOff>68036</xdr:rowOff>
    </xdr:to>
    <xdr:sp macro="" textlink="">
      <xdr:nvSpPr>
        <xdr:cNvPr id="227" name="TextBox 226"/>
        <xdr:cNvSpPr txBox="1"/>
      </xdr:nvSpPr>
      <xdr:spPr>
        <a:xfrm>
          <a:off x="20927786" y="17947821"/>
          <a:ext cx="6381750" cy="598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GB" sz="1800" b="0" i="0" u="none" strike="noStrike" kern="1200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Replacement 78 Gg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33</xdr:row>
      <xdr:rowOff>0</xdr:rowOff>
    </xdr:from>
    <xdr:to>
      <xdr:col>58</xdr:col>
      <xdr:colOff>94735</xdr:colOff>
      <xdr:row>68</xdr:row>
      <xdr:rowOff>176041</xdr:rowOff>
    </xdr:to>
    <xdr:grpSp>
      <xdr:nvGrpSpPr>
        <xdr:cNvPr id="2" name="Group 1"/>
        <xdr:cNvGrpSpPr/>
      </xdr:nvGrpSpPr>
      <xdr:grpSpPr>
        <a:xfrm>
          <a:off x="13209586" y="6286500"/>
          <a:ext cx="22794399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33</xdr:row>
      <xdr:rowOff>8997</xdr:rowOff>
    </xdr:from>
    <xdr:to>
      <xdr:col>17</xdr:col>
      <xdr:colOff>314801</xdr:colOff>
      <xdr:row>68</xdr:row>
      <xdr:rowOff>51860</xdr:rowOff>
    </xdr:to>
    <xdr:grpSp>
      <xdr:nvGrpSpPr>
        <xdr:cNvPr id="67" name="Group 66"/>
        <xdr:cNvGrpSpPr/>
      </xdr:nvGrpSpPr>
      <xdr:grpSpPr>
        <a:xfrm>
          <a:off x="3714750" y="6295497"/>
          <a:ext cx="7125176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sca002/My%20Documents/MAGIC/WP4%20Case%20study/Sweden/Copy%20of%20Beef%20Production_SE_%20my%20work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usca002/My%20Documents/MAGIC/WP4%20Case%20study/UK/Copy%20of%20Beef%20Production_UK_%20my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erd"/>
      <sheetName val="Input"/>
      <sheetName val="Output"/>
      <sheetName val="Import &amp; Export"/>
      <sheetName val="Variables calculations"/>
      <sheetName val="SEM per week"/>
      <sheetName val=" SEM per year (Potential)"/>
      <sheetName val="SEM Total"/>
      <sheetName val="Database Box 1 Adult Cattle"/>
      <sheetName val="Database box 2 Calves"/>
      <sheetName val="Database box 3 Young Cattle"/>
      <sheetName val="Database Country Level"/>
      <sheetName val="Database"/>
    </sheetNames>
    <sheetDataSet>
      <sheetData sheetId="0">
        <row r="83">
          <cell r="E83">
            <v>179.22110359768232</v>
          </cell>
        </row>
        <row r="84">
          <cell r="E84">
            <v>76.060095944260055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herd"/>
      <sheetName val="Input"/>
      <sheetName val="Output"/>
      <sheetName val="Import &amp; Export"/>
      <sheetName val="Coefficients"/>
      <sheetName val="SEM per week"/>
      <sheetName val="SEM per year (Statistics)"/>
      <sheetName val="SEM per year (Potential)"/>
      <sheetName val="SEM Total"/>
      <sheetName val="Database Box 1 Adult Cattle"/>
      <sheetName val="Database box 2 Calves"/>
      <sheetName val="Database box 3 Young Cattle"/>
      <sheetName val="Database Country Level"/>
      <sheetName val="Database"/>
    </sheetNames>
    <sheetDataSet>
      <sheetData sheetId="0"/>
      <sheetData sheetId="1">
        <row r="12">
          <cell r="K12" t="str">
            <v>Kg/year</v>
          </cell>
        </row>
        <row r="25">
          <cell r="K25" t="str">
            <v>Kg/year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B10" workbookViewId="0">
      <selection activeCell="E3" sqref="E3"/>
    </sheetView>
  </sheetViews>
  <sheetFormatPr defaultRowHeight="15" x14ac:dyDescent="0.25"/>
  <cols>
    <col min="1" max="1" width="26.140625" customWidth="1"/>
    <col min="2" max="2" width="57.85546875" customWidth="1"/>
    <col min="3" max="3" width="17.140625" customWidth="1"/>
    <col min="4" max="4" width="24" customWidth="1"/>
    <col min="9" max="9" width="22" customWidth="1"/>
    <col min="10" max="10" width="17.7109375" customWidth="1"/>
    <col min="12" max="12" width="10" bestFit="1" customWidth="1"/>
  </cols>
  <sheetData>
    <row r="1" spans="1:12" x14ac:dyDescent="0.25">
      <c r="A1" s="2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5" t="s">
        <v>12</v>
      </c>
      <c r="I1" s="2" t="s">
        <v>37</v>
      </c>
      <c r="J1" s="6"/>
      <c r="K1" t="s">
        <v>38</v>
      </c>
      <c r="L1" t="s">
        <v>9</v>
      </c>
    </row>
    <row r="2" spans="1:12" x14ac:dyDescent="0.25">
      <c r="B2" t="s">
        <v>225</v>
      </c>
      <c r="C2">
        <v>2013</v>
      </c>
      <c r="D2" t="s">
        <v>39</v>
      </c>
      <c r="E2" s="7">
        <v>51830</v>
      </c>
      <c r="F2" t="s">
        <v>40</v>
      </c>
      <c r="G2" t="s">
        <v>15</v>
      </c>
      <c r="H2" s="5"/>
      <c r="J2" t="s">
        <v>41</v>
      </c>
      <c r="K2" t="s">
        <v>42</v>
      </c>
      <c r="L2">
        <f>L14+L25+L38</f>
        <v>801748833.21722496</v>
      </c>
    </row>
    <row r="3" spans="1:12" x14ac:dyDescent="0.25">
      <c r="D3" t="s">
        <v>39</v>
      </c>
      <c r="E3" s="7"/>
      <c r="F3" t="s">
        <v>43</v>
      </c>
      <c r="H3" s="5"/>
    </row>
    <row r="4" spans="1:12" x14ac:dyDescent="0.25">
      <c r="A4" s="2" t="s">
        <v>1</v>
      </c>
      <c r="B4" s="8" t="s">
        <v>2</v>
      </c>
      <c r="H4" s="5"/>
    </row>
    <row r="5" spans="1:12" x14ac:dyDescent="0.25">
      <c r="B5" t="s">
        <v>44</v>
      </c>
      <c r="D5" t="s">
        <v>45</v>
      </c>
      <c r="E5" s="9">
        <f>767553+754598</f>
        <v>1522151</v>
      </c>
      <c r="F5" t="s">
        <v>46</v>
      </c>
      <c r="G5" t="s">
        <v>47</v>
      </c>
      <c r="H5" s="5"/>
    </row>
    <row r="6" spans="1:12" x14ac:dyDescent="0.25">
      <c r="B6" t="s">
        <v>48</v>
      </c>
      <c r="D6" t="s">
        <v>49</v>
      </c>
      <c r="E6" s="9">
        <f>30702+30184</f>
        <v>60886</v>
      </c>
      <c r="F6" t="s">
        <v>50</v>
      </c>
      <c r="G6" t="s">
        <v>47</v>
      </c>
      <c r="H6" s="5"/>
      <c r="I6" s="2" t="s">
        <v>37</v>
      </c>
      <c r="J6" s="8" t="s">
        <v>2</v>
      </c>
    </row>
    <row r="7" spans="1:12" x14ac:dyDescent="0.25">
      <c r="B7" t="s">
        <v>18</v>
      </c>
      <c r="D7" t="s">
        <v>49</v>
      </c>
      <c r="E7" s="9">
        <f>SUM(E5:E6)</f>
        <v>1583037</v>
      </c>
      <c r="F7" t="s">
        <v>51</v>
      </c>
      <c r="G7" t="s">
        <v>47</v>
      </c>
      <c r="H7" s="5"/>
    </row>
    <row r="8" spans="1:12" x14ac:dyDescent="0.25">
      <c r="E8" s="9"/>
      <c r="H8" s="5"/>
    </row>
    <row r="9" spans="1:12" x14ac:dyDescent="0.25">
      <c r="B9" t="s">
        <v>52</v>
      </c>
      <c r="C9">
        <v>2010</v>
      </c>
      <c r="D9" t="s">
        <v>53</v>
      </c>
      <c r="E9" s="9">
        <v>492</v>
      </c>
      <c r="F9" t="s">
        <v>54</v>
      </c>
      <c r="G9" t="s">
        <v>47</v>
      </c>
      <c r="H9" s="5"/>
    </row>
    <row r="10" spans="1:12" x14ac:dyDescent="0.25">
      <c r="B10" t="s">
        <v>55</v>
      </c>
      <c r="C10">
        <v>2010</v>
      </c>
      <c r="D10" t="s">
        <v>53</v>
      </c>
      <c r="E10" s="9">
        <v>640</v>
      </c>
      <c r="F10" t="s">
        <v>56</v>
      </c>
      <c r="G10" t="s">
        <v>47</v>
      </c>
      <c r="H10" s="5"/>
    </row>
    <row r="11" spans="1:12" x14ac:dyDescent="0.25">
      <c r="B11" t="s">
        <v>57</v>
      </c>
      <c r="C11">
        <v>2010</v>
      </c>
      <c r="D11" t="s">
        <v>58</v>
      </c>
      <c r="E11" s="10">
        <v>0.03</v>
      </c>
      <c r="F11" t="s">
        <v>59</v>
      </c>
      <c r="G11" t="s">
        <v>47</v>
      </c>
      <c r="H11" s="5"/>
    </row>
    <row r="12" spans="1:12" x14ac:dyDescent="0.25">
      <c r="B12" t="s">
        <v>60</v>
      </c>
      <c r="C12">
        <v>2010</v>
      </c>
      <c r="D12" t="s">
        <v>61</v>
      </c>
      <c r="E12" s="9">
        <v>24</v>
      </c>
      <c r="F12" t="s">
        <v>62</v>
      </c>
      <c r="G12" t="s">
        <v>47</v>
      </c>
      <c r="H12" s="5"/>
      <c r="I12" s="11"/>
      <c r="J12" t="s">
        <v>63</v>
      </c>
      <c r="K12" t="s">
        <v>42</v>
      </c>
      <c r="L12">
        <f>E6*E10</f>
        <v>38967040</v>
      </c>
    </row>
    <row r="13" spans="1:12" x14ac:dyDescent="0.25">
      <c r="B13" t="s">
        <v>64</v>
      </c>
      <c r="C13">
        <v>2010</v>
      </c>
      <c r="D13" t="s">
        <v>58</v>
      </c>
      <c r="E13" s="10">
        <v>0.15</v>
      </c>
      <c r="F13" t="s">
        <v>65</v>
      </c>
      <c r="G13" t="s">
        <v>47</v>
      </c>
      <c r="H13" s="5"/>
      <c r="J13" t="s">
        <v>66</v>
      </c>
      <c r="K13" t="s">
        <v>42</v>
      </c>
      <c r="L13">
        <f>E5*E9</f>
        <v>748898292</v>
      </c>
    </row>
    <row r="14" spans="1:12" x14ac:dyDescent="0.25">
      <c r="B14" s="12" t="s">
        <v>67</v>
      </c>
      <c r="C14">
        <v>2010</v>
      </c>
      <c r="D14" t="s">
        <v>58</v>
      </c>
      <c r="E14" s="10">
        <v>0.93</v>
      </c>
      <c r="F14" t="s">
        <v>68</v>
      </c>
      <c r="G14" t="s">
        <v>47</v>
      </c>
      <c r="H14" s="5"/>
      <c r="I14" s="6" t="s">
        <v>69</v>
      </c>
      <c r="J14" t="s">
        <v>70</v>
      </c>
      <c r="K14" t="s">
        <v>42</v>
      </c>
      <c r="L14">
        <f>SUM(L12:L13)</f>
        <v>787865332</v>
      </c>
    </row>
    <row r="15" spans="1:12" x14ac:dyDescent="0.25">
      <c r="B15" s="13" t="s">
        <v>71</v>
      </c>
      <c r="C15" s="14"/>
      <c r="D15" s="14" t="s">
        <v>58</v>
      </c>
      <c r="E15" s="10">
        <v>0.93</v>
      </c>
      <c r="F15" s="14"/>
      <c r="G15" s="14" t="s">
        <v>72</v>
      </c>
      <c r="H15" s="5"/>
      <c r="I15" s="15"/>
    </row>
    <row r="16" spans="1:12" x14ac:dyDescent="0.25">
      <c r="B16" s="13" t="s">
        <v>224</v>
      </c>
      <c r="C16" s="14"/>
      <c r="D16" s="14" t="s">
        <v>58</v>
      </c>
      <c r="E16" s="10">
        <v>7.0000000000000007E-2</v>
      </c>
      <c r="F16" s="14"/>
      <c r="G16" s="14"/>
      <c r="H16" s="5"/>
      <c r="I16" s="30"/>
    </row>
    <row r="17" spans="1:12" x14ac:dyDescent="0.25">
      <c r="B17" s="12" t="s">
        <v>73</v>
      </c>
      <c r="D17" t="s">
        <v>45</v>
      </c>
      <c r="E17">
        <f>(E5*E15)/100%</f>
        <v>1415600.4300000002</v>
      </c>
      <c r="H17" s="5"/>
      <c r="K17" t="s">
        <v>74</v>
      </c>
      <c r="L17">
        <f>L14/1000000000</f>
        <v>0.78786533199999997</v>
      </c>
    </row>
    <row r="18" spans="1:12" x14ac:dyDescent="0.25">
      <c r="B18" s="12" t="s">
        <v>75</v>
      </c>
      <c r="D18" t="s">
        <v>45</v>
      </c>
      <c r="E18" s="9">
        <f>(E5*E16)/100%</f>
        <v>106550.57</v>
      </c>
      <c r="H18" s="5"/>
    </row>
    <row r="19" spans="1:12" x14ac:dyDescent="0.25">
      <c r="B19" s="8" t="s">
        <v>3</v>
      </c>
      <c r="H19" s="5"/>
    </row>
    <row r="20" spans="1:12" x14ac:dyDescent="0.25">
      <c r="E20" s="9"/>
      <c r="H20" s="5"/>
      <c r="I20" s="2" t="s">
        <v>37</v>
      </c>
      <c r="J20" s="8" t="s">
        <v>3</v>
      </c>
    </row>
    <row r="21" spans="1:12" x14ac:dyDescent="0.25">
      <c r="E21" s="9"/>
      <c r="H21" s="5"/>
    </row>
    <row r="22" spans="1:12" x14ac:dyDescent="0.25">
      <c r="B22" t="s">
        <v>3</v>
      </c>
      <c r="D22" t="s">
        <v>49</v>
      </c>
      <c r="E22" s="9">
        <f>E5*E14*L30</f>
        <v>70780.021500000017</v>
      </c>
      <c r="G22" t="s">
        <v>47</v>
      </c>
      <c r="H22" s="5"/>
    </row>
    <row r="23" spans="1:12" x14ac:dyDescent="0.25">
      <c r="B23" t="s">
        <v>76</v>
      </c>
      <c r="D23" t="s">
        <v>53</v>
      </c>
      <c r="E23">
        <v>40</v>
      </c>
      <c r="G23" t="s">
        <v>77</v>
      </c>
      <c r="H23" s="5"/>
      <c r="J23" s="14" t="s">
        <v>78</v>
      </c>
      <c r="K23" t="s">
        <v>42</v>
      </c>
      <c r="L23">
        <f>E22*E25</f>
        <v>12669623.848500002</v>
      </c>
    </row>
    <row r="24" spans="1:12" x14ac:dyDescent="0.25">
      <c r="A24" s="3"/>
      <c r="B24" t="s">
        <v>79</v>
      </c>
      <c r="D24" t="s">
        <v>53</v>
      </c>
      <c r="E24" s="14">
        <v>277</v>
      </c>
      <c r="G24" t="s">
        <v>77</v>
      </c>
      <c r="H24" s="16"/>
      <c r="I24" s="3"/>
      <c r="J24" s="14"/>
      <c r="L24" s="14"/>
    </row>
    <row r="25" spans="1:12" x14ac:dyDescent="0.25">
      <c r="A25" s="3"/>
      <c r="B25" t="s">
        <v>80</v>
      </c>
      <c r="D25" t="s">
        <v>53</v>
      </c>
      <c r="E25" s="14">
        <v>179</v>
      </c>
      <c r="G25" t="s">
        <v>77</v>
      </c>
      <c r="H25" s="16"/>
      <c r="I25" s="14" t="s">
        <v>81</v>
      </c>
      <c r="J25" s="14" t="s">
        <v>82</v>
      </c>
      <c r="K25" t="s">
        <v>42</v>
      </c>
      <c r="L25" s="14">
        <f>SUM(L23:L24)</f>
        <v>12669623.848500002</v>
      </c>
    </row>
    <row r="26" spans="1:12" x14ac:dyDescent="0.25">
      <c r="A26" s="3"/>
      <c r="E26" s="14"/>
      <c r="H26" s="16"/>
      <c r="I26" s="14"/>
      <c r="J26" s="14"/>
      <c r="L26" s="14"/>
    </row>
    <row r="27" spans="1:12" x14ac:dyDescent="0.25">
      <c r="A27" s="3"/>
      <c r="E27" s="14"/>
      <c r="H27" s="16"/>
      <c r="I27" s="14"/>
      <c r="J27" s="14"/>
      <c r="K27" t="s">
        <v>83</v>
      </c>
      <c r="L27" s="14">
        <f>L25/1000000</f>
        <v>12.669623848500002</v>
      </c>
    </row>
    <row r="28" spans="1:12" x14ac:dyDescent="0.25">
      <c r="A28" s="3"/>
      <c r="E28" s="14"/>
      <c r="H28" s="16"/>
      <c r="I28" s="3"/>
      <c r="J28" s="14"/>
      <c r="L28" s="14"/>
    </row>
    <row r="29" spans="1:12" x14ac:dyDescent="0.25">
      <c r="A29" s="3"/>
      <c r="B29" s="14" t="s">
        <v>84</v>
      </c>
      <c r="C29" s="14">
        <v>2010</v>
      </c>
      <c r="D29" s="14" t="s">
        <v>58</v>
      </c>
      <c r="E29" s="10">
        <v>0.1</v>
      </c>
      <c r="F29" s="14"/>
      <c r="G29" s="14" t="s">
        <v>47</v>
      </c>
      <c r="H29" s="16"/>
      <c r="I29" s="3"/>
      <c r="J29" s="14" t="s">
        <v>85</v>
      </c>
      <c r="K29" s="14" t="s">
        <v>86</v>
      </c>
      <c r="L29" s="14">
        <f>(E24-E23)/365</f>
        <v>0.64931506849315068</v>
      </c>
    </row>
    <row r="30" spans="1:12" x14ac:dyDescent="0.25">
      <c r="A30" s="3"/>
      <c r="B30" s="14" t="s">
        <v>87</v>
      </c>
      <c r="C30" s="14">
        <v>2010</v>
      </c>
      <c r="D30" s="14" t="s">
        <v>58</v>
      </c>
      <c r="E30" s="10">
        <v>0.1</v>
      </c>
      <c r="F30" s="14"/>
      <c r="G30" s="14" t="s">
        <v>47</v>
      </c>
      <c r="H30" s="16"/>
      <c r="I30" s="3"/>
      <c r="J30" s="14" t="s">
        <v>88</v>
      </c>
      <c r="K30" s="14" t="s">
        <v>58</v>
      </c>
      <c r="L30" s="14">
        <f>E30/2</f>
        <v>0.05</v>
      </c>
    </row>
    <row r="31" spans="1:12" x14ac:dyDescent="0.25">
      <c r="A31" s="3"/>
      <c r="B31" s="3"/>
      <c r="C31" s="3"/>
      <c r="D31" s="3"/>
      <c r="E31" s="17"/>
      <c r="F31" s="3"/>
      <c r="G31" s="3"/>
      <c r="H31" s="16"/>
      <c r="I31" s="3"/>
      <c r="J31" s="3"/>
      <c r="K31" s="3"/>
      <c r="L31" s="3"/>
    </row>
    <row r="32" spans="1:12" x14ac:dyDescent="0.25">
      <c r="A32" s="14"/>
      <c r="B32" s="14"/>
      <c r="C32" s="14"/>
      <c r="D32" s="14"/>
      <c r="E32" s="14"/>
      <c r="F32" s="14"/>
      <c r="G32" s="14"/>
      <c r="H32" s="18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8"/>
      <c r="I33" s="14"/>
      <c r="J33" s="14"/>
      <c r="K33" s="14"/>
      <c r="L33" s="14"/>
    </row>
    <row r="34" spans="1:12" x14ac:dyDescent="0.25">
      <c r="B34" s="8" t="s">
        <v>4</v>
      </c>
      <c r="H34" s="5"/>
      <c r="I34" s="2" t="s">
        <v>37</v>
      </c>
      <c r="J34" s="8" t="s">
        <v>4</v>
      </c>
    </row>
    <row r="35" spans="1:12" x14ac:dyDescent="0.25">
      <c r="B35" t="s">
        <v>4</v>
      </c>
      <c r="D35" t="s">
        <v>45</v>
      </c>
      <c r="E35" s="9">
        <f>E22*L43</f>
        <v>3539.001075000001</v>
      </c>
      <c r="G35" t="s">
        <v>47</v>
      </c>
      <c r="H35" s="5" t="s">
        <v>89</v>
      </c>
    </row>
    <row r="36" spans="1:12" x14ac:dyDescent="0.25">
      <c r="B36" s="12"/>
      <c r="E36" s="9"/>
      <c r="H36" s="5" t="s">
        <v>89</v>
      </c>
      <c r="J36" t="s">
        <v>90</v>
      </c>
      <c r="L36">
        <f>E35*E39</f>
        <v>1213877.3687250004</v>
      </c>
    </row>
    <row r="37" spans="1:12" x14ac:dyDescent="0.25">
      <c r="B37" t="s">
        <v>91</v>
      </c>
      <c r="D37" t="s">
        <v>53</v>
      </c>
      <c r="E37" s="14">
        <v>277</v>
      </c>
      <c r="G37" t="s">
        <v>77</v>
      </c>
      <c r="H37" s="5"/>
    </row>
    <row r="38" spans="1:12" x14ac:dyDescent="0.25">
      <c r="A38" s="3"/>
      <c r="B38" t="s">
        <v>92</v>
      </c>
      <c r="D38" t="s">
        <v>53</v>
      </c>
      <c r="E38" s="14">
        <v>388</v>
      </c>
      <c r="G38" t="s">
        <v>77</v>
      </c>
      <c r="H38" s="16"/>
      <c r="I38" s="14" t="s">
        <v>81</v>
      </c>
      <c r="J38" s="14" t="s">
        <v>93</v>
      </c>
      <c r="K38" s="14" t="s">
        <v>94</v>
      </c>
      <c r="L38" s="14">
        <f>SUM(L36:L37)</f>
        <v>1213877.3687250004</v>
      </c>
    </row>
    <row r="39" spans="1:12" x14ac:dyDescent="0.25">
      <c r="A39" s="3"/>
      <c r="B39" t="s">
        <v>95</v>
      </c>
      <c r="D39" t="s">
        <v>53</v>
      </c>
      <c r="E39" s="14">
        <v>343</v>
      </c>
      <c r="G39" t="s">
        <v>77</v>
      </c>
      <c r="H39" s="16"/>
      <c r="I39" s="3"/>
      <c r="J39" s="3"/>
      <c r="K39" s="3"/>
      <c r="L39" s="3"/>
    </row>
    <row r="40" spans="1:12" x14ac:dyDescent="0.25">
      <c r="A40" s="3"/>
      <c r="E40" s="14"/>
      <c r="H40" s="16"/>
      <c r="I40" s="3"/>
      <c r="J40" s="3"/>
      <c r="K40" s="14" t="s">
        <v>83</v>
      </c>
      <c r="L40" s="14">
        <f>L38/1000000</f>
        <v>1.2138773687250004</v>
      </c>
    </row>
    <row r="41" spans="1:12" x14ac:dyDescent="0.25">
      <c r="A41" s="3"/>
      <c r="E41" s="14"/>
      <c r="H41" s="16"/>
      <c r="I41" s="3"/>
      <c r="J41" s="3"/>
      <c r="K41" s="3"/>
      <c r="L41" s="3"/>
    </row>
    <row r="42" spans="1:12" x14ac:dyDescent="0.25">
      <c r="A42" s="3"/>
      <c r="H42" s="16"/>
      <c r="I42" s="3"/>
      <c r="J42" s="14" t="s">
        <v>96</v>
      </c>
      <c r="K42" s="14" t="s">
        <v>86</v>
      </c>
      <c r="L42" s="14">
        <f>(E38-E37)/365</f>
        <v>0.30410958904109592</v>
      </c>
    </row>
    <row r="43" spans="1:12" x14ac:dyDescent="0.25">
      <c r="A43" s="3"/>
      <c r="B43" s="13" t="s">
        <v>84</v>
      </c>
      <c r="C43" s="14">
        <v>2010</v>
      </c>
      <c r="D43" s="14" t="s">
        <v>58</v>
      </c>
      <c r="E43" s="10">
        <v>0.1</v>
      </c>
      <c r="F43" s="14"/>
      <c r="G43" s="14" t="s">
        <v>47</v>
      </c>
      <c r="H43" s="16"/>
      <c r="I43" s="3"/>
      <c r="J43" s="14" t="s">
        <v>97</v>
      </c>
      <c r="K43" s="14" t="s">
        <v>58</v>
      </c>
      <c r="L43" s="14">
        <f>E44/2</f>
        <v>0.05</v>
      </c>
    </row>
    <row r="44" spans="1:12" x14ac:dyDescent="0.25">
      <c r="A44" s="3"/>
      <c r="B44" s="14" t="s">
        <v>98</v>
      </c>
      <c r="C44" s="14">
        <v>2010</v>
      </c>
      <c r="D44" s="14" t="s">
        <v>58</v>
      </c>
      <c r="E44" s="10">
        <v>0.1</v>
      </c>
      <c r="F44" s="14"/>
      <c r="G44" s="14" t="s">
        <v>47</v>
      </c>
      <c r="H44" s="16"/>
      <c r="I44" s="3"/>
      <c r="J44" s="14"/>
      <c r="K44" s="14"/>
      <c r="L44" s="14"/>
    </row>
    <row r="45" spans="1:12" x14ac:dyDescent="0.25">
      <c r="A45" s="2" t="s">
        <v>5</v>
      </c>
      <c r="H45" s="5"/>
      <c r="J45" t="s">
        <v>99</v>
      </c>
      <c r="K45" s="14" t="s">
        <v>36</v>
      </c>
      <c r="L45">
        <f>E5*E13</f>
        <v>228322.65</v>
      </c>
    </row>
    <row r="46" spans="1:12" x14ac:dyDescent="0.25">
      <c r="A46" s="2"/>
      <c r="H46" s="5"/>
      <c r="K46" s="14" t="s">
        <v>94</v>
      </c>
      <c r="L46">
        <f>L45*E39</f>
        <v>78314668.950000003</v>
      </c>
    </row>
    <row r="47" spans="1:12" x14ac:dyDescent="0.25">
      <c r="B47" t="s">
        <v>100</v>
      </c>
      <c r="C47" t="s">
        <v>101</v>
      </c>
      <c r="D47" t="s">
        <v>102</v>
      </c>
      <c r="E47">
        <f>'Variables calculations'!D3*('Data herd'!E9)^0.75</f>
        <v>40.32377026112556</v>
      </c>
      <c r="G47" t="s">
        <v>103</v>
      </c>
      <c r="H47" s="5"/>
      <c r="K47" s="14" t="s">
        <v>83</v>
      </c>
      <c r="L47">
        <f>L46/1000000</f>
        <v>78.314668949999998</v>
      </c>
    </row>
    <row r="48" spans="1:12" x14ac:dyDescent="0.25">
      <c r="B48" t="s">
        <v>104</v>
      </c>
      <c r="C48" t="s">
        <v>101</v>
      </c>
      <c r="D48" t="s">
        <v>102</v>
      </c>
      <c r="E48">
        <f>'Variables calculations'!D2*('Data herd'!E9)^0.75</f>
        <v>33.63796379295966</v>
      </c>
      <c r="G48" t="s">
        <v>103</v>
      </c>
      <c r="H48" s="5"/>
    </row>
    <row r="49" spans="2:8" x14ac:dyDescent="0.25">
      <c r="B49" t="s">
        <v>105</v>
      </c>
      <c r="C49" t="s">
        <v>101</v>
      </c>
      <c r="D49" t="s">
        <v>102</v>
      </c>
      <c r="E49">
        <f>'Variables calculations'!D4*('Data herd'!E10)^0.75</f>
        <v>47.080027143009367</v>
      </c>
      <c r="G49" t="s">
        <v>103</v>
      </c>
      <c r="H49" s="5"/>
    </row>
    <row r="50" spans="2:8" x14ac:dyDescent="0.25">
      <c r="B50" t="s">
        <v>106</v>
      </c>
      <c r="C50" t="s">
        <v>101</v>
      </c>
      <c r="D50" t="s">
        <v>102</v>
      </c>
      <c r="E50">
        <f>'Variables calculations'!D2*(E25)^0.75</f>
        <v>15.757802208705906</v>
      </c>
      <c r="G50" t="s">
        <v>103</v>
      </c>
      <c r="H50" s="5"/>
    </row>
    <row r="51" spans="2:8" x14ac:dyDescent="0.25">
      <c r="B51" t="s">
        <v>107</v>
      </c>
      <c r="C51" t="s">
        <v>101</v>
      </c>
      <c r="D51" t="s">
        <v>102</v>
      </c>
      <c r="E51">
        <f>'Variables calculations'!D2*('Data herd'!E39)^0.75</f>
        <v>25.664124990467663</v>
      </c>
      <c r="G51" t="s">
        <v>103</v>
      </c>
      <c r="H51" s="5"/>
    </row>
    <row r="52" spans="2:8" x14ac:dyDescent="0.25">
      <c r="B52" t="s">
        <v>108</v>
      </c>
      <c r="C52" t="s">
        <v>101</v>
      </c>
      <c r="D52" t="s">
        <v>102</v>
      </c>
      <c r="E52">
        <f>'Variables calculations'!D4*('Data herd'!E39)^0.75</f>
        <v>29.489833063580853</v>
      </c>
      <c r="G52" t="s">
        <v>103</v>
      </c>
      <c r="H52" s="5"/>
    </row>
    <row r="53" spans="2:8" x14ac:dyDescent="0.25">
      <c r="H53" s="5"/>
    </row>
    <row r="54" spans="2:8" x14ac:dyDescent="0.25">
      <c r="B54" t="s">
        <v>109</v>
      </c>
      <c r="D54" t="s">
        <v>102</v>
      </c>
      <c r="E54">
        <f>'Variables calculations'!$D$6*('Data herd'!E47)</f>
        <v>6.8550409443913454</v>
      </c>
      <c r="G54" t="s">
        <v>103</v>
      </c>
      <c r="H54" s="5"/>
    </row>
    <row r="55" spans="2:8" x14ac:dyDescent="0.25">
      <c r="B55" t="s">
        <v>110</v>
      </c>
      <c r="D55" t="s">
        <v>102</v>
      </c>
      <c r="E55">
        <f>'Variables calculations'!$D$6*('Data herd'!E48)</f>
        <v>5.7184538448031423</v>
      </c>
      <c r="H55" s="5"/>
    </row>
    <row r="56" spans="2:8" x14ac:dyDescent="0.25">
      <c r="B56" t="s">
        <v>111</v>
      </c>
      <c r="D56" t="s">
        <v>102</v>
      </c>
      <c r="E56">
        <f>'Variables calculations'!$D$6*('Data herd'!E49)</f>
        <v>8.0036046143115929</v>
      </c>
      <c r="G56" t="s">
        <v>103</v>
      </c>
      <c r="H56" s="5"/>
    </row>
    <row r="57" spans="2:8" x14ac:dyDescent="0.25">
      <c r="B57" t="s">
        <v>112</v>
      </c>
      <c r="D57" t="s">
        <v>102</v>
      </c>
      <c r="E57">
        <f>'Variables calculations'!$D$6*('Data herd'!E50)</f>
        <v>2.6788263754800044</v>
      </c>
      <c r="G57" t="s">
        <v>103</v>
      </c>
      <c r="H57" s="5"/>
    </row>
    <row r="58" spans="2:8" x14ac:dyDescent="0.25">
      <c r="B58" t="s">
        <v>113</v>
      </c>
      <c r="D58" t="s">
        <v>102</v>
      </c>
      <c r="E58">
        <f>'Variables calculations'!$D$6*('Data herd'!E51)</f>
        <v>4.3629012483795027</v>
      </c>
      <c r="G58" t="s">
        <v>103</v>
      </c>
      <c r="H58" s="5"/>
    </row>
    <row r="59" spans="2:8" x14ac:dyDescent="0.25">
      <c r="B59" t="s">
        <v>114</v>
      </c>
      <c r="D59" t="s">
        <v>102</v>
      </c>
      <c r="E59">
        <f>'Variables calculations'!$D$6*('Data herd'!E52)</f>
        <v>5.0132716208087453</v>
      </c>
      <c r="H59" s="5"/>
    </row>
    <row r="60" spans="2:8" x14ac:dyDescent="0.25">
      <c r="H60" s="5"/>
    </row>
    <row r="61" spans="2:8" x14ac:dyDescent="0.25">
      <c r="B61" t="s">
        <v>115</v>
      </c>
      <c r="D61" t="s">
        <v>102</v>
      </c>
      <c r="E61">
        <f>22.02*((E25/('Variables calculations'!D9*E9))^0.75)*(L29^1.097)</f>
        <v>7.5932803349814755</v>
      </c>
      <c r="G61" t="s">
        <v>103</v>
      </c>
      <c r="H61" s="5"/>
    </row>
    <row r="62" spans="2:8" x14ac:dyDescent="0.25">
      <c r="B62" t="s">
        <v>116</v>
      </c>
      <c r="D62" t="s">
        <v>102</v>
      </c>
      <c r="E62">
        <f>22.02*((E39/('Variables calculations'!D9*E9))^0.75)*(L42^1.097)</f>
        <v>5.3812184527895903</v>
      </c>
      <c r="G62" t="s">
        <v>103</v>
      </c>
      <c r="H62" s="5"/>
    </row>
    <row r="63" spans="2:8" x14ac:dyDescent="0.25">
      <c r="B63" t="s">
        <v>117</v>
      </c>
      <c r="D63" t="s">
        <v>102</v>
      </c>
      <c r="E63">
        <f>22.02*((E39/('Variables calculations'!D10*E9))^0.75)*(L42^1.097)</f>
        <v>3.9701981117733189</v>
      </c>
      <c r="G63" t="s">
        <v>103</v>
      </c>
      <c r="H63" s="5"/>
    </row>
    <row r="64" spans="2:8" x14ac:dyDescent="0.25">
      <c r="H64" s="5"/>
    </row>
    <row r="65" spans="2:8" x14ac:dyDescent="0.25">
      <c r="H65" s="5"/>
    </row>
    <row r="66" spans="2:8" x14ac:dyDescent="0.25">
      <c r="B66" t="s">
        <v>118</v>
      </c>
      <c r="D66" t="s">
        <v>102</v>
      </c>
      <c r="E66">
        <f>'Variables calculations'!D18*(1.47+0.4*'Variables calculations'!D17)</f>
        <v>64.050038356164379</v>
      </c>
      <c r="G66" t="s">
        <v>103</v>
      </c>
      <c r="H66" s="5"/>
    </row>
    <row r="67" spans="2:8" x14ac:dyDescent="0.25">
      <c r="H67" s="5"/>
    </row>
    <row r="68" spans="2:8" x14ac:dyDescent="0.25">
      <c r="H68" s="5"/>
    </row>
    <row r="69" spans="2:8" x14ac:dyDescent="0.25">
      <c r="B69" t="s">
        <v>119</v>
      </c>
      <c r="D69" t="s">
        <v>102</v>
      </c>
      <c r="E69">
        <f>'Variables calculations'!D20*'Data herd'!E54</f>
        <v>0.68550409443913463</v>
      </c>
      <c r="G69" t="s">
        <v>103</v>
      </c>
      <c r="H69" s="5"/>
    </row>
    <row r="70" spans="2:8" x14ac:dyDescent="0.25">
      <c r="H70" s="5"/>
    </row>
    <row r="71" spans="2:8" x14ac:dyDescent="0.25">
      <c r="H71" s="5"/>
    </row>
    <row r="72" spans="2:8" x14ac:dyDescent="0.25">
      <c r="B72" t="s">
        <v>120</v>
      </c>
      <c r="D72" t="s">
        <v>102</v>
      </c>
      <c r="E72">
        <f>(1.123-(4.092*10^-3*'Variables calculations'!D12)+(1.126*10^-5*('Variables calculations'!D12)^2)-(25.4/'Variables calculations'!D12))</f>
        <v>0.51382426923076929</v>
      </c>
      <c r="G72" t="s">
        <v>103</v>
      </c>
      <c r="H72" s="5"/>
    </row>
    <row r="73" spans="2:8" x14ac:dyDescent="0.25">
      <c r="B73" t="s">
        <v>121</v>
      </c>
      <c r="D73" t="s">
        <v>102</v>
      </c>
      <c r="E73">
        <f>(1.123-(4.092*10^-3*'Variables calculations'!D13)+(1.126*10^-5*('Variables calculations'!D13)^2)-(25.4/'Variables calculations'!D13))</f>
        <v>0.54077083333333342</v>
      </c>
      <c r="G73" t="s">
        <v>103</v>
      </c>
      <c r="H73" s="5"/>
    </row>
    <row r="74" spans="2:8" x14ac:dyDescent="0.25">
      <c r="B74" t="s">
        <v>122</v>
      </c>
      <c r="D74" t="s">
        <v>102</v>
      </c>
      <c r="E74">
        <f>(1.123-(4.092*10^-3*'Variables calculations'!D14)+(1.126*10^-5*('Variables calculations'!D14)^2)-(25.4/'Variables calculations'!D14))</f>
        <v>0.52887685714285726</v>
      </c>
      <c r="G74" t="s">
        <v>103</v>
      </c>
      <c r="H74" s="5"/>
    </row>
    <row r="75" spans="2:8" x14ac:dyDescent="0.25">
      <c r="H75" s="5"/>
    </row>
    <row r="76" spans="2:8" x14ac:dyDescent="0.25">
      <c r="B76" t="s">
        <v>123</v>
      </c>
      <c r="D76" t="s">
        <v>102</v>
      </c>
      <c r="E76">
        <f>(1.1164-(5.16*10^-3*'Variables calculations'!D12)+(1.308*10^-5*('Variables calculations'!D12^2)-37.4/'Variables calculations'!D12))</f>
        <v>0.26087838461538471</v>
      </c>
      <c r="G76" t="s">
        <v>103</v>
      </c>
      <c r="H76" s="5"/>
    </row>
    <row r="77" spans="2:8" x14ac:dyDescent="0.25">
      <c r="B77" t="s">
        <v>124</v>
      </c>
      <c r="D77" t="s">
        <v>102</v>
      </c>
      <c r="E77">
        <f>(1.1164-(5.16*10^-3*'Variables calculations'!D13)+(1.308*10^-5*('Variables calculations'!D13)^2)-37.4/'Variables calculations'!D13)</f>
        <v>0.30430833333333346</v>
      </c>
      <c r="G77" t="s">
        <v>103</v>
      </c>
      <c r="H77" s="5"/>
    </row>
    <row r="78" spans="2:8" x14ac:dyDescent="0.25">
      <c r="B78" t="s">
        <v>125</v>
      </c>
      <c r="D78" t="s">
        <v>102</v>
      </c>
      <c r="E78">
        <f>(1.1164-(5.16*10^-3*'Variables calculations'!D14)+(1.308*10^-5*('Variables calculations'!D14)^2)-37.4/'Variables calculations'!D14)</f>
        <v>0.28500628571428588</v>
      </c>
      <c r="G78" t="s">
        <v>103</v>
      </c>
      <c r="H78" s="5"/>
    </row>
    <row r="79" spans="2:8" x14ac:dyDescent="0.25">
      <c r="H79" s="5"/>
    </row>
    <row r="80" spans="2:8" x14ac:dyDescent="0.25">
      <c r="H80" s="5"/>
    </row>
    <row r="81" spans="2:8" x14ac:dyDescent="0.25">
      <c r="B81" t="s">
        <v>126</v>
      </c>
      <c r="D81" t="s">
        <v>102</v>
      </c>
      <c r="E81">
        <f>(((E47+E54+E66+E69)/E72)/('Variables calculations'!D12/100))</f>
        <v>335.08718644116027</v>
      </c>
      <c r="G81" t="s">
        <v>103</v>
      </c>
      <c r="H81" s="5"/>
    </row>
    <row r="82" spans="2:8" x14ac:dyDescent="0.25">
      <c r="B82" t="s">
        <v>127</v>
      </c>
      <c r="D82" t="s">
        <v>102</v>
      </c>
      <c r="E82" s="13">
        <f>(((E48+E54)/E72)/('Variables calculations'!D12/100))</f>
        <v>121.24170479222057</v>
      </c>
      <c r="G82" t="s">
        <v>103</v>
      </c>
      <c r="H82" s="5"/>
    </row>
    <row r="83" spans="2:8" x14ac:dyDescent="0.25">
      <c r="B83" t="s">
        <v>128</v>
      </c>
      <c r="D83" t="s">
        <v>102</v>
      </c>
      <c r="E83">
        <f>(((E49+E56)/E72)/('Variables calculations'!D12/100))</f>
        <v>164.92807742282122</v>
      </c>
      <c r="G83" t="s">
        <v>103</v>
      </c>
      <c r="H83" s="5"/>
    </row>
    <row r="84" spans="2:8" x14ac:dyDescent="0.25">
      <c r="B84" t="s">
        <v>129</v>
      </c>
      <c r="D84" t="s">
        <v>102</v>
      </c>
      <c r="E84" s="13">
        <f>(((E50+E57)/E73)+(E61/E77))/('Variables calculations'!D13/100)</f>
        <v>78.727767077717587</v>
      </c>
      <c r="G84" t="s">
        <v>103</v>
      </c>
      <c r="H84" s="5"/>
    </row>
    <row r="85" spans="2:8" x14ac:dyDescent="0.25">
      <c r="B85" t="s">
        <v>130</v>
      </c>
      <c r="D85" t="s">
        <v>102</v>
      </c>
      <c r="E85" s="13">
        <f>(((E51+E58)/E74)+(E62/E78))/('Variables calculations'!D14/100)</f>
        <v>108.08018931461842</v>
      </c>
      <c r="G85" t="s">
        <v>103</v>
      </c>
      <c r="H85" s="5"/>
    </row>
    <row r="86" spans="2:8" x14ac:dyDescent="0.25">
      <c r="B86" t="s">
        <v>131</v>
      </c>
      <c r="D86" t="s">
        <v>102</v>
      </c>
      <c r="E86">
        <f>(((E52+E58)/E74)+(E63/E78))/('Variables calculations'!D14/100)</f>
        <v>111.34134193784428</v>
      </c>
      <c r="G86" t="s">
        <v>103</v>
      </c>
      <c r="H86" s="5"/>
    </row>
    <row r="87" spans="2:8" x14ac:dyDescent="0.25">
      <c r="H8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2" sqref="M3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Normal="100" workbookViewId="0">
      <selection activeCell="W63" sqref="W6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opLeftCell="A139" workbookViewId="0">
      <selection activeCell="Q168" sqref="Q168"/>
    </sheetView>
  </sheetViews>
  <sheetFormatPr defaultRowHeight="15" x14ac:dyDescent="0.25"/>
  <cols>
    <col min="1" max="1" width="23.140625" customWidth="1"/>
    <col min="4" max="4" width="17.42578125" customWidth="1"/>
    <col min="12" max="12" width="23.7109375" customWidth="1"/>
    <col min="13" max="13" width="24" customWidth="1"/>
    <col min="15" max="15" width="20.28515625" customWidth="1"/>
    <col min="16" max="16" width="14.42578125" customWidth="1"/>
  </cols>
  <sheetData>
    <row r="1" spans="1:18" x14ac:dyDescent="0.25">
      <c r="A1" s="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K1" s="34"/>
      <c r="L1" s="35" t="s">
        <v>37</v>
      </c>
      <c r="M1" s="4" t="s">
        <v>210</v>
      </c>
      <c r="N1" s="4" t="s">
        <v>7</v>
      </c>
      <c r="O1" s="4" t="s">
        <v>8</v>
      </c>
      <c r="P1" s="4" t="s">
        <v>9</v>
      </c>
      <c r="Q1" s="29" t="s">
        <v>211</v>
      </c>
      <c r="R1" s="4" t="s">
        <v>212</v>
      </c>
    </row>
    <row r="2" spans="1:18" x14ac:dyDescent="0.25">
      <c r="A2" t="s">
        <v>13</v>
      </c>
      <c r="C2">
        <v>2015</v>
      </c>
      <c r="D2" t="s">
        <v>14</v>
      </c>
      <c r="E2">
        <v>818740</v>
      </c>
      <c r="G2" t="s">
        <v>15</v>
      </c>
      <c r="K2" s="34"/>
      <c r="L2" s="36"/>
    </row>
    <row r="3" spans="1:18" x14ac:dyDescent="0.25">
      <c r="K3" s="34"/>
      <c r="L3" s="36"/>
      <c r="M3" t="s">
        <v>226</v>
      </c>
      <c r="O3" t="s">
        <v>227</v>
      </c>
      <c r="P3">
        <f>E8*'Data herd'!E2</f>
        <v>361980720</v>
      </c>
    </row>
    <row r="4" spans="1:18" x14ac:dyDescent="0.25">
      <c r="A4" s="4" t="s">
        <v>21</v>
      </c>
      <c r="B4" t="s">
        <v>22</v>
      </c>
      <c r="C4">
        <v>2013</v>
      </c>
      <c r="D4" t="s">
        <v>23</v>
      </c>
      <c r="E4">
        <v>1.33</v>
      </c>
      <c r="G4" t="s">
        <v>24</v>
      </c>
      <c r="K4" s="34"/>
      <c r="L4" s="36"/>
      <c r="O4" t="s">
        <v>228</v>
      </c>
      <c r="P4">
        <f>P3/1000000</f>
        <v>361.98072000000002</v>
      </c>
    </row>
    <row r="5" spans="1:18" x14ac:dyDescent="0.25">
      <c r="A5" s="4"/>
      <c r="B5" t="s">
        <v>25</v>
      </c>
      <c r="C5">
        <v>2013</v>
      </c>
      <c r="D5" t="s">
        <v>23</v>
      </c>
      <c r="E5">
        <v>1.1399999999999999</v>
      </c>
      <c r="G5" t="s">
        <v>24</v>
      </c>
      <c r="K5" s="34"/>
      <c r="L5" s="37" t="s">
        <v>2</v>
      </c>
    </row>
    <row r="6" spans="1:18" x14ac:dyDescent="0.25">
      <c r="A6" s="4"/>
      <c r="B6" t="s">
        <v>26</v>
      </c>
      <c r="C6">
        <v>2013</v>
      </c>
      <c r="D6" t="s">
        <v>23</v>
      </c>
      <c r="E6">
        <v>1.41</v>
      </c>
      <c r="G6" t="s">
        <v>24</v>
      </c>
      <c r="K6" s="34"/>
      <c r="L6" s="36"/>
    </row>
    <row r="7" spans="1:18" x14ac:dyDescent="0.25">
      <c r="A7" s="4"/>
      <c r="B7" t="s">
        <v>18</v>
      </c>
      <c r="C7">
        <v>2013</v>
      </c>
      <c r="D7" t="s">
        <v>23</v>
      </c>
      <c r="E7">
        <f>SUM(E4:E6)</f>
        <v>3.88</v>
      </c>
      <c r="G7" t="s">
        <v>27</v>
      </c>
      <c r="K7" s="34"/>
      <c r="L7" s="36" t="s">
        <v>81</v>
      </c>
      <c r="M7" t="s">
        <v>229</v>
      </c>
      <c r="O7" t="s">
        <v>94</v>
      </c>
      <c r="P7">
        <f>'Data herd'!L14</f>
        <v>787865332</v>
      </c>
    </row>
    <row r="8" spans="1:18" x14ac:dyDescent="0.25">
      <c r="A8" s="4"/>
      <c r="B8" t="s">
        <v>18</v>
      </c>
      <c r="C8">
        <v>2013</v>
      </c>
      <c r="D8" t="s">
        <v>28</v>
      </c>
      <c r="E8">
        <f>E7*1800</f>
        <v>6984</v>
      </c>
      <c r="G8" t="s">
        <v>29</v>
      </c>
      <c r="K8" s="34"/>
      <c r="L8" s="36"/>
    </row>
    <row r="9" spans="1:18" x14ac:dyDescent="0.25">
      <c r="K9" s="34"/>
      <c r="L9" s="36"/>
      <c r="M9" t="s">
        <v>230</v>
      </c>
      <c r="O9" t="s">
        <v>231</v>
      </c>
      <c r="P9">
        <f>P7/(SUM(P7,P16,P24))</f>
        <v>0.98268347811431944</v>
      </c>
    </row>
    <row r="10" spans="1:18" x14ac:dyDescent="0.25">
      <c r="K10" s="34"/>
      <c r="L10" s="36"/>
    </row>
    <row r="11" spans="1:18" x14ac:dyDescent="0.25">
      <c r="K11" s="34"/>
      <c r="L11" s="36"/>
      <c r="M11" t="s">
        <v>232</v>
      </c>
      <c r="O11" t="s">
        <v>227</v>
      </c>
      <c r="P11">
        <f>P3*P9</f>
        <v>355712472.93992561</v>
      </c>
    </row>
    <row r="12" spans="1:18" x14ac:dyDescent="0.25">
      <c r="K12" s="34"/>
      <c r="L12" s="36"/>
      <c r="O12" t="s">
        <v>228</v>
      </c>
      <c r="P12">
        <f>P11/1000000</f>
        <v>355.71247293992559</v>
      </c>
    </row>
    <row r="13" spans="1:18" x14ac:dyDescent="0.25">
      <c r="K13" s="34"/>
      <c r="L13" s="36"/>
    </row>
    <row r="14" spans="1:18" x14ac:dyDescent="0.25">
      <c r="K14" s="34"/>
      <c r="L14" s="37" t="s">
        <v>3</v>
      </c>
    </row>
    <row r="15" spans="1:18" x14ac:dyDescent="0.25">
      <c r="K15" s="34"/>
      <c r="L15" s="36"/>
    </row>
    <row r="16" spans="1:18" x14ac:dyDescent="0.25">
      <c r="K16" s="34"/>
      <c r="L16" s="36" t="s">
        <v>81</v>
      </c>
      <c r="M16" t="s">
        <v>233</v>
      </c>
      <c r="O16" t="s">
        <v>94</v>
      </c>
      <c r="P16">
        <f>'Data herd'!L25</f>
        <v>12669623.848500002</v>
      </c>
    </row>
    <row r="17" spans="11:16" x14ac:dyDescent="0.25">
      <c r="K17" s="34"/>
      <c r="L17" s="36"/>
    </row>
    <row r="18" spans="11:16" x14ac:dyDescent="0.25">
      <c r="K18" s="34"/>
      <c r="L18" s="36"/>
      <c r="M18" t="s">
        <v>230</v>
      </c>
      <c r="O18" t="s">
        <v>231</v>
      </c>
      <c r="P18">
        <f>P16/(SUM(P7,P16,P24))</f>
        <v>1.5802484922441174E-2</v>
      </c>
    </row>
    <row r="19" spans="11:16" x14ac:dyDescent="0.25">
      <c r="K19" s="34"/>
      <c r="L19" s="36"/>
    </row>
    <row r="20" spans="11:16" x14ac:dyDescent="0.25">
      <c r="K20" s="34"/>
      <c r="L20" s="36"/>
      <c r="M20" t="s">
        <v>234</v>
      </c>
      <c r="O20" t="s">
        <v>227</v>
      </c>
      <c r="P20">
        <f>P3*P18</f>
        <v>5720194.8700144002</v>
      </c>
    </row>
    <row r="21" spans="11:16" x14ac:dyDescent="0.25">
      <c r="L21" s="36"/>
      <c r="O21" t="s">
        <v>228</v>
      </c>
      <c r="P21">
        <f>P20/1000000</f>
        <v>5.7201948700144003</v>
      </c>
    </row>
    <row r="22" spans="11:16" x14ac:dyDescent="0.25">
      <c r="L22" s="37" t="s">
        <v>4</v>
      </c>
    </row>
    <row r="23" spans="11:16" x14ac:dyDescent="0.25">
      <c r="L23" s="36"/>
    </row>
    <row r="24" spans="11:16" x14ac:dyDescent="0.25">
      <c r="L24" s="36" t="s">
        <v>81</v>
      </c>
      <c r="M24" t="s">
        <v>235</v>
      </c>
      <c r="O24" t="s">
        <v>94</v>
      </c>
      <c r="P24">
        <f>'Data herd'!L38</f>
        <v>1213877.3687250004</v>
      </c>
    </row>
    <row r="25" spans="11:16" x14ac:dyDescent="0.25">
      <c r="L25" s="36"/>
    </row>
    <row r="26" spans="11:16" x14ac:dyDescent="0.25">
      <c r="L26" s="36"/>
      <c r="M26" t="s">
        <v>230</v>
      </c>
      <c r="O26" t="s">
        <v>231</v>
      </c>
      <c r="P26">
        <f>P24/(SUM(P7,P16,P24))</f>
        <v>1.5140369632394761E-3</v>
      </c>
    </row>
    <row r="27" spans="11:16" x14ac:dyDescent="0.25">
      <c r="L27" s="36"/>
    </row>
    <row r="28" spans="11:16" x14ac:dyDescent="0.25">
      <c r="L28" s="36"/>
      <c r="M28" t="s">
        <v>236</v>
      </c>
      <c r="O28" t="s">
        <v>227</v>
      </c>
      <c r="P28">
        <f>P3*P26</f>
        <v>548052.19006003905</v>
      </c>
    </row>
    <row r="29" spans="11:16" x14ac:dyDescent="0.25">
      <c r="L29" s="36"/>
      <c r="O29" t="s">
        <v>228</v>
      </c>
      <c r="P29">
        <f>P28/1000000</f>
        <v>0.54805219006003902</v>
      </c>
    </row>
    <row r="30" spans="11:16" x14ac:dyDescent="0.25">
      <c r="L30" s="36"/>
    </row>
    <row r="35" spans="1:16" x14ac:dyDescent="0.25">
      <c r="A35" s="2" t="s">
        <v>30</v>
      </c>
      <c r="L35" s="35" t="s">
        <v>37</v>
      </c>
    </row>
    <row r="36" spans="1:16" x14ac:dyDescent="0.25">
      <c r="L36" s="36"/>
    </row>
    <row r="37" spans="1:16" x14ac:dyDescent="0.25">
      <c r="A37" t="s">
        <v>31</v>
      </c>
      <c r="B37" t="s">
        <v>22</v>
      </c>
      <c r="C37">
        <v>2013</v>
      </c>
      <c r="D37" t="s">
        <v>32</v>
      </c>
      <c r="E37">
        <v>70.8</v>
      </c>
      <c r="G37" t="s">
        <v>33</v>
      </c>
      <c r="L37" s="36"/>
    </row>
    <row r="38" spans="1:16" x14ac:dyDescent="0.25">
      <c r="B38" t="s">
        <v>34</v>
      </c>
      <c r="C38">
        <v>2013</v>
      </c>
      <c r="D38" t="s">
        <v>32</v>
      </c>
      <c r="E38">
        <v>42.3</v>
      </c>
      <c r="G38" t="s">
        <v>33</v>
      </c>
      <c r="L38" s="36"/>
      <c r="M38" t="s">
        <v>237</v>
      </c>
      <c r="N38">
        <v>2013</v>
      </c>
      <c r="O38" t="s">
        <v>238</v>
      </c>
      <c r="P38" s="7">
        <f>E40*'Data herd'!E2</f>
        <v>8116578</v>
      </c>
    </row>
    <row r="39" spans="1:16" x14ac:dyDescent="0.25">
      <c r="B39" t="s">
        <v>26</v>
      </c>
      <c r="C39">
        <v>2013</v>
      </c>
      <c r="D39" t="s">
        <v>32</v>
      </c>
      <c r="E39">
        <v>43.5</v>
      </c>
      <c r="G39" t="s">
        <v>33</v>
      </c>
      <c r="L39" s="36"/>
    </row>
    <row r="40" spans="1:16" x14ac:dyDescent="0.25">
      <c r="B40" t="s">
        <v>18</v>
      </c>
      <c r="C40">
        <v>2013</v>
      </c>
      <c r="D40" t="s">
        <v>32</v>
      </c>
      <c r="E40">
        <f>SUM(E37:E39)</f>
        <v>156.6</v>
      </c>
      <c r="L40" s="37" t="s">
        <v>2</v>
      </c>
    </row>
    <row r="41" spans="1:16" x14ac:dyDescent="0.25">
      <c r="L41" s="36"/>
    </row>
    <row r="42" spans="1:16" x14ac:dyDescent="0.25">
      <c r="A42" t="s">
        <v>35</v>
      </c>
      <c r="B42" t="s">
        <v>22</v>
      </c>
      <c r="C42">
        <v>2013</v>
      </c>
      <c r="D42" t="s">
        <v>32</v>
      </c>
      <c r="E42">
        <v>61.2</v>
      </c>
      <c r="G42" t="s">
        <v>33</v>
      </c>
      <c r="L42" s="36" t="s">
        <v>81</v>
      </c>
      <c r="M42" t="s">
        <v>229</v>
      </c>
      <c r="O42" t="s">
        <v>94</v>
      </c>
      <c r="P42">
        <f>'Data herd'!L14</f>
        <v>787865332</v>
      </c>
    </row>
    <row r="43" spans="1:16" x14ac:dyDescent="0.25">
      <c r="B43" t="s">
        <v>25</v>
      </c>
      <c r="C43">
        <v>2013</v>
      </c>
      <c r="D43" t="s">
        <v>32</v>
      </c>
      <c r="E43">
        <v>39.6</v>
      </c>
      <c r="G43" t="s">
        <v>33</v>
      </c>
      <c r="L43" s="36"/>
    </row>
    <row r="44" spans="1:16" x14ac:dyDescent="0.25">
      <c r="B44" t="s">
        <v>26</v>
      </c>
      <c r="C44">
        <v>2013</v>
      </c>
      <c r="D44" t="s">
        <v>32</v>
      </c>
      <c r="E44">
        <v>23.9</v>
      </c>
      <c r="G44" t="s">
        <v>33</v>
      </c>
      <c r="L44" s="36"/>
      <c r="M44" t="s">
        <v>230</v>
      </c>
      <c r="O44" t="s">
        <v>231</v>
      </c>
      <c r="P44">
        <f>P42/(SUM(P48,P55,P42))</f>
        <v>0.98268347811431944</v>
      </c>
    </row>
    <row r="45" spans="1:16" x14ac:dyDescent="0.25">
      <c r="L45" s="36"/>
      <c r="M45" t="s">
        <v>239</v>
      </c>
      <c r="O45" t="s">
        <v>238</v>
      </c>
      <c r="P45">
        <f>P38*P44</f>
        <v>7976027.0994261671</v>
      </c>
    </row>
    <row r="46" spans="1:16" x14ac:dyDescent="0.25">
      <c r="L46" s="36"/>
      <c r="M46" t="s">
        <v>239</v>
      </c>
      <c r="O46" t="s">
        <v>240</v>
      </c>
      <c r="P46">
        <f>P45*0.01</f>
        <v>79760.270994261678</v>
      </c>
    </row>
    <row r="47" spans="1:16" x14ac:dyDescent="0.25">
      <c r="L47" s="37" t="s">
        <v>3</v>
      </c>
    </row>
    <row r="48" spans="1:16" x14ac:dyDescent="0.25">
      <c r="L48" s="36" t="s">
        <v>81</v>
      </c>
      <c r="M48" t="s">
        <v>233</v>
      </c>
      <c r="O48" t="s">
        <v>94</v>
      </c>
      <c r="P48">
        <f>'Data herd'!L25</f>
        <v>12669623.848500002</v>
      </c>
    </row>
    <row r="49" spans="1:18" x14ac:dyDescent="0.25">
      <c r="L49" s="36"/>
    </row>
    <row r="50" spans="1:18" x14ac:dyDescent="0.25">
      <c r="L50" s="36"/>
      <c r="M50" t="s">
        <v>230</v>
      </c>
      <c r="O50" t="s">
        <v>231</v>
      </c>
      <c r="P50">
        <f>P48/(SUM(P48,P42,P55))</f>
        <v>1.5802484922441174E-2</v>
      </c>
    </row>
    <row r="51" spans="1:18" x14ac:dyDescent="0.25">
      <c r="L51" s="36"/>
      <c r="M51" t="s">
        <v>241</v>
      </c>
      <c r="O51" t="s">
        <v>238</v>
      </c>
      <c r="P51">
        <f>P38*P50</f>
        <v>128262.10146681774</v>
      </c>
    </row>
    <row r="52" spans="1:18" x14ac:dyDescent="0.25">
      <c r="L52" s="36"/>
      <c r="M52" t="s">
        <v>241</v>
      </c>
      <c r="O52" t="s">
        <v>240</v>
      </c>
      <c r="P52">
        <f>P51*0.01</f>
        <v>1282.6210146681774</v>
      </c>
    </row>
    <row r="53" spans="1:18" x14ac:dyDescent="0.25">
      <c r="L53" s="36"/>
    </row>
    <row r="54" spans="1:18" x14ac:dyDescent="0.25">
      <c r="L54" s="37" t="s">
        <v>4</v>
      </c>
    </row>
    <row r="55" spans="1:18" x14ac:dyDescent="0.25">
      <c r="L55" s="36" t="s">
        <v>81</v>
      </c>
      <c r="M55" t="s">
        <v>235</v>
      </c>
      <c r="O55" t="s">
        <v>94</v>
      </c>
      <c r="P55">
        <f>'Data herd'!L38</f>
        <v>1213877.3687250004</v>
      </c>
    </row>
    <row r="56" spans="1:18" x14ac:dyDescent="0.25">
      <c r="L56" s="36"/>
    </row>
    <row r="57" spans="1:18" x14ac:dyDescent="0.25">
      <c r="L57" s="36"/>
      <c r="M57" t="s">
        <v>230</v>
      </c>
      <c r="O57" t="s">
        <v>231</v>
      </c>
      <c r="P57">
        <f>P55/(SUM(P42,P48,P55))</f>
        <v>1.5140369632394761E-3</v>
      </c>
    </row>
    <row r="58" spans="1:18" x14ac:dyDescent="0.25">
      <c r="L58" s="36"/>
      <c r="M58" t="s">
        <v>242</v>
      </c>
      <c r="O58" t="s">
        <v>238</v>
      </c>
      <c r="P58">
        <f>P38*P57</f>
        <v>12288.799107016341</v>
      </c>
    </row>
    <row r="59" spans="1:18" x14ac:dyDescent="0.25">
      <c r="L59" s="36"/>
      <c r="M59" t="s">
        <v>242</v>
      </c>
      <c r="O59" t="s">
        <v>240</v>
      </c>
      <c r="P59">
        <f>P58*0.01</f>
        <v>122.88799107016341</v>
      </c>
    </row>
    <row r="60" spans="1:18" ht="15.75" thickBot="1" x14ac:dyDescent="0.3"/>
    <row r="61" spans="1:18" ht="15.75" thickTop="1" x14ac:dyDescent="0.25">
      <c r="A61" s="2" t="s">
        <v>223</v>
      </c>
      <c r="K61" s="34"/>
      <c r="L61" s="28" t="s">
        <v>209</v>
      </c>
      <c r="M61" s="4" t="s">
        <v>210</v>
      </c>
      <c r="N61" s="4" t="s">
        <v>7</v>
      </c>
      <c r="O61" s="4" t="s">
        <v>8</v>
      </c>
      <c r="P61" s="4" t="s">
        <v>9</v>
      </c>
      <c r="Q61" s="29" t="s">
        <v>211</v>
      </c>
      <c r="R61" s="4" t="s">
        <v>212</v>
      </c>
    </row>
    <row r="62" spans="1:18" x14ac:dyDescent="0.25">
      <c r="K62" s="34"/>
      <c r="L62" s="8" t="s">
        <v>2</v>
      </c>
    </row>
    <row r="63" spans="1:18" x14ac:dyDescent="0.25">
      <c r="K63" s="34"/>
      <c r="L63" s="30" t="s">
        <v>180</v>
      </c>
      <c r="M63" t="s">
        <v>183</v>
      </c>
      <c r="O63" t="s">
        <v>213</v>
      </c>
      <c r="P63">
        <f>'Variables calculations'!D45</f>
        <v>15.005981190287127</v>
      </c>
      <c r="R63" t="s">
        <v>214</v>
      </c>
    </row>
    <row r="64" spans="1:18" x14ac:dyDescent="0.25">
      <c r="K64" s="34"/>
      <c r="L64" s="30"/>
      <c r="M64" t="s">
        <v>184</v>
      </c>
      <c r="O64" t="s">
        <v>213</v>
      </c>
      <c r="P64">
        <f>'Variables calculations'!D46</f>
        <v>0</v>
      </c>
      <c r="R64" t="s">
        <v>214</v>
      </c>
    </row>
    <row r="65" spans="11:18" x14ac:dyDescent="0.25">
      <c r="K65" s="34"/>
      <c r="L65" s="30"/>
      <c r="M65" t="s">
        <v>215</v>
      </c>
      <c r="O65" t="s">
        <v>213</v>
      </c>
      <c r="P65">
        <f>'Variables calculations'!D47</f>
        <v>3.0540279807051913</v>
      </c>
      <c r="R65" t="s">
        <v>214</v>
      </c>
    </row>
    <row r="66" spans="11:18" x14ac:dyDescent="0.25">
      <c r="K66" s="34"/>
      <c r="L66" s="31"/>
      <c r="M66" s="32"/>
      <c r="N66" s="32"/>
      <c r="O66" s="32"/>
      <c r="P66" s="32"/>
      <c r="Q66" s="32"/>
      <c r="R66" s="32"/>
    </row>
    <row r="67" spans="11:18" x14ac:dyDescent="0.25">
      <c r="K67" s="34"/>
      <c r="L67" t="s">
        <v>186</v>
      </c>
      <c r="M67" t="s">
        <v>183</v>
      </c>
      <c r="O67" t="s">
        <v>213</v>
      </c>
      <c r="P67">
        <f>'Variables calculations'!D51</f>
        <v>5.4294846690888789</v>
      </c>
      <c r="R67" t="s">
        <v>214</v>
      </c>
    </row>
    <row r="68" spans="11:18" x14ac:dyDescent="0.25">
      <c r="K68" s="34"/>
      <c r="M68" t="s">
        <v>184</v>
      </c>
      <c r="O68" t="s">
        <v>213</v>
      </c>
      <c r="P68">
        <f>'Variables calculations'!D52</f>
        <v>0</v>
      </c>
      <c r="R68" t="s">
        <v>214</v>
      </c>
    </row>
    <row r="69" spans="11:18" x14ac:dyDescent="0.25">
      <c r="K69" s="34"/>
      <c r="M69" t="s">
        <v>215</v>
      </c>
      <c r="O69" t="s">
        <v>213</v>
      </c>
      <c r="P69">
        <f>'Variables calculations'!D53</f>
        <v>1.1050125873101952</v>
      </c>
      <c r="R69" t="s">
        <v>214</v>
      </c>
    </row>
    <row r="70" spans="11:18" x14ac:dyDescent="0.25">
      <c r="K70" s="34"/>
      <c r="L70" s="30"/>
    </row>
    <row r="71" spans="11:18" x14ac:dyDescent="0.25">
      <c r="K71" s="34"/>
      <c r="L71" s="30" t="s">
        <v>187</v>
      </c>
      <c r="M71" t="s">
        <v>183</v>
      </c>
      <c r="O71" t="s">
        <v>213</v>
      </c>
      <c r="P71">
        <f>'Variables calculations'!D77</f>
        <v>7.3858617330079745</v>
      </c>
      <c r="R71" t="s">
        <v>214</v>
      </c>
    </row>
    <row r="72" spans="11:18" x14ac:dyDescent="0.25">
      <c r="K72" s="34"/>
      <c r="L72" s="30"/>
      <c r="M72" t="s">
        <v>184</v>
      </c>
      <c r="O72" t="s">
        <v>213</v>
      </c>
      <c r="P72">
        <f>'Variables calculations'!D78</f>
        <v>0</v>
      </c>
      <c r="R72" t="s">
        <v>214</v>
      </c>
    </row>
    <row r="73" spans="11:18" x14ac:dyDescent="0.25">
      <c r="K73" s="34"/>
      <c r="L73" s="30"/>
      <c r="M73" t="s">
        <v>215</v>
      </c>
      <c r="O73" t="s">
        <v>213</v>
      </c>
      <c r="P73">
        <f>'Variables calculations'!D79</f>
        <v>1.5031758408991105</v>
      </c>
      <c r="R73" t="s">
        <v>214</v>
      </c>
    </row>
    <row r="74" spans="11:18" x14ac:dyDescent="0.25">
      <c r="K74" s="34"/>
      <c r="L74" s="30"/>
    </row>
    <row r="75" spans="11:18" x14ac:dyDescent="0.25">
      <c r="K75" s="34"/>
      <c r="L75" s="30" t="s">
        <v>180</v>
      </c>
      <c r="M75" t="s">
        <v>183</v>
      </c>
      <c r="O75" t="s">
        <v>94</v>
      </c>
      <c r="P75">
        <f>P63*365*'Data herd'!$E$17</f>
        <v>7753502800.3229647</v>
      </c>
    </row>
    <row r="76" spans="11:18" x14ac:dyDescent="0.25">
      <c r="K76" s="34"/>
      <c r="L76" s="30"/>
      <c r="M76" t="s">
        <v>184</v>
      </c>
      <c r="O76" t="s">
        <v>94</v>
      </c>
      <c r="P76">
        <f>P64*365*'Data herd'!$E$17</f>
        <v>0</v>
      </c>
    </row>
    <row r="77" spans="11:18" x14ac:dyDescent="0.25">
      <c r="K77" s="34"/>
      <c r="L77" s="30"/>
      <c r="M77" t="s">
        <v>216</v>
      </c>
      <c r="O77" t="s">
        <v>94</v>
      </c>
      <c r="P77">
        <f>P65*365*'Data herd'!$E$17</f>
        <v>1577998412.7921798</v>
      </c>
    </row>
    <row r="78" spans="11:18" x14ac:dyDescent="0.25">
      <c r="K78" s="34"/>
      <c r="L78" s="30"/>
    </row>
    <row r="79" spans="11:18" x14ac:dyDescent="0.25">
      <c r="K79" s="34"/>
      <c r="L79" t="s">
        <v>186</v>
      </c>
      <c r="M79" t="s">
        <v>183</v>
      </c>
      <c r="O79" t="s">
        <v>94</v>
      </c>
      <c r="P79">
        <f>P67*365*'Data herd'!$E$18</f>
        <v>211157860.49865374</v>
      </c>
    </row>
    <row r="80" spans="11:18" x14ac:dyDescent="0.25">
      <c r="K80" s="34"/>
      <c r="M80" t="s">
        <v>184</v>
      </c>
      <c r="O80" t="s">
        <v>94</v>
      </c>
      <c r="P80">
        <f>P68*365*'Data herd'!$E$18</f>
        <v>0</v>
      </c>
    </row>
    <row r="81" spans="11:16" x14ac:dyDescent="0.25">
      <c r="K81" s="34"/>
      <c r="M81" t="s">
        <v>215</v>
      </c>
      <c r="O81" t="s">
        <v>94</v>
      </c>
      <c r="P81">
        <f>P69*365*'Data herd'!$E$18</f>
        <v>42974998.177802764</v>
      </c>
    </row>
    <row r="82" spans="11:16" x14ac:dyDescent="0.25">
      <c r="K82" s="34"/>
    </row>
    <row r="83" spans="11:16" x14ac:dyDescent="0.25">
      <c r="K83" s="34"/>
      <c r="L83" s="30" t="s">
        <v>187</v>
      </c>
      <c r="M83" t="s">
        <v>183</v>
      </c>
      <c r="O83" t="s">
        <v>94</v>
      </c>
      <c r="P83">
        <f>P71*365*'Data herd'!$E$6</f>
        <v>164138885.77871206</v>
      </c>
    </row>
    <row r="84" spans="11:16" x14ac:dyDescent="0.25">
      <c r="K84" s="34"/>
      <c r="L84" s="30"/>
      <c r="M84" t="s">
        <v>184</v>
      </c>
      <c r="O84" t="s">
        <v>94</v>
      </c>
      <c r="P84">
        <f>P72*365*'Data herd'!$E$6</f>
        <v>0</v>
      </c>
    </row>
    <row r="85" spans="11:16" x14ac:dyDescent="0.25">
      <c r="K85" s="34"/>
      <c r="L85" s="30"/>
      <c r="M85" t="s">
        <v>215</v>
      </c>
      <c r="O85" t="s">
        <v>94</v>
      </c>
      <c r="P85">
        <f>P73*365*'Data herd'!$E$6</f>
        <v>33405662.950878885</v>
      </c>
    </row>
    <row r="86" spans="11:16" x14ac:dyDescent="0.25">
      <c r="K86" s="34"/>
      <c r="L86" s="30"/>
    </row>
    <row r="87" spans="11:16" x14ac:dyDescent="0.25">
      <c r="K87" s="34"/>
      <c r="L87" t="s">
        <v>217</v>
      </c>
      <c r="M87" t="s">
        <v>183</v>
      </c>
      <c r="O87" t="s">
        <v>94</v>
      </c>
      <c r="P87">
        <f>P75+P79+P83</f>
        <v>8128799546.6003304</v>
      </c>
    </row>
    <row r="88" spans="11:16" x14ac:dyDescent="0.25">
      <c r="K88" s="34"/>
      <c r="M88" t="s">
        <v>184</v>
      </c>
      <c r="O88" t="s">
        <v>94</v>
      </c>
      <c r="P88">
        <f>P76+P80+P84</f>
        <v>0</v>
      </c>
    </row>
    <row r="89" spans="11:16" x14ac:dyDescent="0.25">
      <c r="K89" s="34"/>
      <c r="M89" t="s">
        <v>215</v>
      </c>
      <c r="O89" t="s">
        <v>94</v>
      </c>
      <c r="P89">
        <f>P77+P81+P85</f>
        <v>1654379073.9208615</v>
      </c>
    </row>
    <row r="90" spans="11:16" x14ac:dyDescent="0.25">
      <c r="K90" s="34"/>
      <c r="M90" t="s">
        <v>218</v>
      </c>
      <c r="O90" t="s">
        <v>94</v>
      </c>
      <c r="P90">
        <f>SUM(P87:P89)</f>
        <v>9783178620.5211926</v>
      </c>
    </row>
    <row r="91" spans="11:16" x14ac:dyDescent="0.25">
      <c r="K91" s="34"/>
    </row>
    <row r="92" spans="11:16" x14ac:dyDescent="0.25">
      <c r="K92" s="34"/>
      <c r="L92" t="s">
        <v>217</v>
      </c>
      <c r="M92" t="s">
        <v>183</v>
      </c>
      <c r="O92" t="s">
        <v>74</v>
      </c>
      <c r="P92">
        <f>P87/1000000000</f>
        <v>8.1287995466003302</v>
      </c>
    </row>
    <row r="93" spans="11:16" x14ac:dyDescent="0.25">
      <c r="K93" s="34"/>
      <c r="M93" t="s">
        <v>184</v>
      </c>
      <c r="O93" t="s">
        <v>74</v>
      </c>
      <c r="P93">
        <f t="shared" ref="P93:P94" si="0">P88/1000000000</f>
        <v>0</v>
      </c>
    </row>
    <row r="94" spans="11:16" x14ac:dyDescent="0.25">
      <c r="K94" s="34"/>
      <c r="M94" t="s">
        <v>215</v>
      </c>
      <c r="O94" t="s">
        <v>74</v>
      </c>
      <c r="P94">
        <f t="shared" si="0"/>
        <v>1.6543790739208615</v>
      </c>
    </row>
    <row r="95" spans="11:16" x14ac:dyDescent="0.25">
      <c r="K95" s="34"/>
      <c r="M95" t="s">
        <v>218</v>
      </c>
      <c r="O95" t="s">
        <v>74</v>
      </c>
      <c r="P95">
        <f>P90/1000000000</f>
        <v>9.783178620521193</v>
      </c>
    </row>
    <row r="96" spans="11:16" x14ac:dyDescent="0.25">
      <c r="K96" s="34"/>
      <c r="L96" s="8" t="s">
        <v>3</v>
      </c>
    </row>
    <row r="97" spans="11:18" x14ac:dyDescent="0.25">
      <c r="K97" s="34"/>
      <c r="L97" s="31"/>
      <c r="M97" t="s">
        <v>183</v>
      </c>
      <c r="O97" t="s">
        <v>213</v>
      </c>
      <c r="P97">
        <f>'Variables calculations'!D106</f>
        <v>3.8196106228824402</v>
      </c>
      <c r="R97" t="s">
        <v>214</v>
      </c>
    </row>
    <row r="98" spans="11:18" x14ac:dyDescent="0.25">
      <c r="K98" s="34"/>
      <c r="L98" s="31"/>
      <c r="M98" t="s">
        <v>184</v>
      </c>
      <c r="O98" t="s">
        <v>213</v>
      </c>
      <c r="P98">
        <f>'Variables calculations'!D107</f>
        <v>0.21510318873693332</v>
      </c>
      <c r="R98" t="s">
        <v>214</v>
      </c>
    </row>
    <row r="99" spans="11:18" x14ac:dyDescent="0.25">
      <c r="K99" s="34"/>
      <c r="L99" s="31"/>
      <c r="M99" t="s">
        <v>216</v>
      </c>
      <c r="O99" t="s">
        <v>213</v>
      </c>
      <c r="P99">
        <f>'Variables calculations'!D108</f>
        <v>0.41140334326423755</v>
      </c>
      <c r="R99" t="s">
        <v>214</v>
      </c>
    </row>
    <row r="100" spans="11:18" x14ac:dyDescent="0.25">
      <c r="K100" s="34"/>
      <c r="L100" s="31"/>
      <c r="M100" t="s">
        <v>219</v>
      </c>
      <c r="O100" t="s">
        <v>213</v>
      </c>
      <c r="P100">
        <f>'Variables calculations'!D109</f>
        <v>1.4255105944611219</v>
      </c>
      <c r="R100" t="s">
        <v>214</v>
      </c>
    </row>
    <row r="101" spans="11:18" x14ac:dyDescent="0.25">
      <c r="K101" s="34"/>
      <c r="L101" s="31"/>
      <c r="M101" t="s">
        <v>18</v>
      </c>
      <c r="O101" t="s">
        <v>213</v>
      </c>
      <c r="P101">
        <f>'Variables calculations'!D110</f>
        <v>5.8716277493447331</v>
      </c>
    </row>
    <row r="102" spans="11:18" x14ac:dyDescent="0.25">
      <c r="K102" s="34"/>
      <c r="L102" s="31"/>
    </row>
    <row r="103" spans="11:18" x14ac:dyDescent="0.25">
      <c r="K103" s="34"/>
      <c r="L103" s="31"/>
      <c r="M103" t="s">
        <v>183</v>
      </c>
      <c r="O103" t="s">
        <v>94</v>
      </c>
      <c r="P103">
        <f>P97*365*'Data herd'!$E$22</f>
        <v>98678524.533375368</v>
      </c>
    </row>
    <row r="104" spans="11:18" x14ac:dyDescent="0.25">
      <c r="K104" s="34"/>
      <c r="L104" s="31"/>
      <c r="M104" t="s">
        <v>184</v>
      </c>
      <c r="O104" t="s">
        <v>94</v>
      </c>
      <c r="P104">
        <f>P98*365*'Data herd'!$E$22</f>
        <v>5557128.0380843263</v>
      </c>
    </row>
    <row r="105" spans="11:18" x14ac:dyDescent="0.25">
      <c r="K105" s="34"/>
      <c r="L105" s="31"/>
      <c r="M105" t="s">
        <v>216</v>
      </c>
      <c r="O105" t="s">
        <v>94</v>
      </c>
      <c r="P105">
        <f>P99*365*'Data herd'!$E$22</f>
        <v>10628485.180716338</v>
      </c>
    </row>
    <row r="106" spans="11:18" x14ac:dyDescent="0.25">
      <c r="K106" s="34"/>
      <c r="L106" s="31"/>
      <c r="M106" t="s">
        <v>219</v>
      </c>
      <c r="O106" t="s">
        <v>94</v>
      </c>
      <c r="P106">
        <f>P100*365*'Data herd'!$E$22</f>
        <v>36827649.741419144</v>
      </c>
    </row>
    <row r="107" spans="11:18" x14ac:dyDescent="0.25">
      <c r="K107" s="34"/>
      <c r="L107" s="31"/>
      <c r="M107" t="s">
        <v>220</v>
      </c>
      <c r="O107" t="s">
        <v>94</v>
      </c>
      <c r="P107">
        <f>P101*365*'Data herd'!$E$22</f>
        <v>151691787.49359518</v>
      </c>
    </row>
    <row r="108" spans="11:18" x14ac:dyDescent="0.25">
      <c r="K108" s="34"/>
      <c r="L108" s="31"/>
    </row>
    <row r="109" spans="11:18" x14ac:dyDescent="0.25">
      <c r="K109" s="34"/>
      <c r="L109" s="31"/>
      <c r="M109" t="s">
        <v>183</v>
      </c>
      <c r="O109" t="s">
        <v>74</v>
      </c>
      <c r="P109">
        <f>P103/1000000000</f>
        <v>9.8678524533375361E-2</v>
      </c>
    </row>
    <row r="110" spans="11:18" x14ac:dyDescent="0.25">
      <c r="K110" s="34"/>
      <c r="L110" s="30"/>
      <c r="M110" t="s">
        <v>184</v>
      </c>
      <c r="O110" t="s">
        <v>74</v>
      </c>
      <c r="P110">
        <f>P104/1000000000</f>
        <v>5.5571280380843262E-3</v>
      </c>
    </row>
    <row r="111" spans="11:18" x14ac:dyDescent="0.25">
      <c r="K111" s="34"/>
      <c r="L111" s="30"/>
      <c r="M111" t="s">
        <v>216</v>
      </c>
      <c r="O111" t="s">
        <v>74</v>
      </c>
      <c r="P111">
        <f t="shared" ref="P111:P112" si="1">P105/1000000000</f>
        <v>1.0628485180716338E-2</v>
      </c>
    </row>
    <row r="112" spans="11:18" x14ac:dyDescent="0.25">
      <c r="K112" s="34"/>
      <c r="L112" s="30"/>
      <c r="M112" t="s">
        <v>219</v>
      </c>
      <c r="O112" t="s">
        <v>74</v>
      </c>
      <c r="P112">
        <f t="shared" si="1"/>
        <v>3.6827649741419145E-2</v>
      </c>
    </row>
    <row r="113" spans="11:18" x14ac:dyDescent="0.25">
      <c r="K113" s="34"/>
      <c r="L113" s="30"/>
      <c r="M113" t="s">
        <v>220</v>
      </c>
      <c r="O113" t="s">
        <v>74</v>
      </c>
      <c r="P113">
        <f>P107/1000000000</f>
        <v>0.15169178749359519</v>
      </c>
    </row>
    <row r="114" spans="11:18" x14ac:dyDescent="0.25">
      <c r="K114" s="34"/>
      <c r="L114" s="30"/>
    </row>
    <row r="115" spans="11:18" x14ac:dyDescent="0.25">
      <c r="K115" s="34"/>
      <c r="L115" s="30"/>
    </row>
    <row r="116" spans="11:18" x14ac:dyDescent="0.25">
      <c r="K116" s="34"/>
      <c r="L116" s="8" t="s">
        <v>4</v>
      </c>
    </row>
    <row r="117" spans="11:18" x14ac:dyDescent="0.25">
      <c r="K117" s="34"/>
      <c r="L117" s="30" t="s">
        <v>207</v>
      </c>
      <c r="M117" t="s">
        <v>183</v>
      </c>
      <c r="O117" t="s">
        <v>213</v>
      </c>
      <c r="P117">
        <f>'Variables calculations'!D138</f>
        <v>8.025936586989026</v>
      </c>
      <c r="R117" t="s">
        <v>214</v>
      </c>
    </row>
    <row r="118" spans="11:18" x14ac:dyDescent="0.25">
      <c r="K118" s="34"/>
      <c r="L118" s="30"/>
      <c r="M118" t="s">
        <v>184</v>
      </c>
      <c r="O118" t="s">
        <v>213</v>
      </c>
      <c r="P118">
        <f>'Variables calculations'!D139</f>
        <v>0</v>
      </c>
      <c r="R118" t="s">
        <v>214</v>
      </c>
    </row>
    <row r="119" spans="11:18" x14ac:dyDescent="0.25">
      <c r="K119" s="34"/>
      <c r="L119" s="30"/>
      <c r="M119" t="s">
        <v>216</v>
      </c>
      <c r="O119" t="s">
        <v>213</v>
      </c>
      <c r="P119">
        <f>'Variables calculations'!D140</f>
        <v>1.6334443311108138</v>
      </c>
      <c r="R119" t="s">
        <v>214</v>
      </c>
    </row>
    <row r="120" spans="11:18" x14ac:dyDescent="0.25">
      <c r="K120" s="34"/>
      <c r="L120" s="31"/>
    </row>
    <row r="121" spans="11:18" x14ac:dyDescent="0.25">
      <c r="K121" s="34"/>
      <c r="L121" t="s">
        <v>221</v>
      </c>
      <c r="M121" t="s">
        <v>183</v>
      </c>
      <c r="O121" t="s">
        <v>213</v>
      </c>
      <c r="P121">
        <f>'Variables calculations'!D145</f>
        <v>3.4061474602861823</v>
      </c>
      <c r="R121" t="s">
        <v>214</v>
      </c>
    </row>
    <row r="122" spans="11:18" x14ac:dyDescent="0.25">
      <c r="K122" s="34"/>
      <c r="M122" t="s">
        <v>184</v>
      </c>
      <c r="O122" t="s">
        <v>213</v>
      </c>
      <c r="P122">
        <f>'Variables calculations'!D146</f>
        <v>0</v>
      </c>
      <c r="R122" t="s">
        <v>214</v>
      </c>
    </row>
    <row r="123" spans="11:18" x14ac:dyDescent="0.25">
      <c r="K123" s="34"/>
      <c r="M123" t="s">
        <v>216</v>
      </c>
      <c r="O123" t="s">
        <v>213</v>
      </c>
      <c r="P123">
        <f>'Variables calculations'!D147</f>
        <v>0.69322155733842306</v>
      </c>
      <c r="R123" t="s">
        <v>214</v>
      </c>
    </row>
    <row r="124" spans="11:18" x14ac:dyDescent="0.25">
      <c r="K124" s="34"/>
      <c r="L124" s="30"/>
    </row>
    <row r="125" spans="11:18" x14ac:dyDescent="0.25">
      <c r="K125" s="34"/>
      <c r="L125" s="30" t="s">
        <v>207</v>
      </c>
      <c r="M125" t="s">
        <v>183</v>
      </c>
      <c r="O125" t="s">
        <v>94</v>
      </c>
      <c r="P125">
        <f>P117*365*('Data herd'!$E$35/2)</f>
        <v>5183693.1731855702</v>
      </c>
    </row>
    <row r="126" spans="11:18" x14ac:dyDescent="0.25">
      <c r="K126" s="34"/>
      <c r="L126" s="30"/>
      <c r="M126" t="s">
        <v>184</v>
      </c>
      <c r="O126" t="s">
        <v>94</v>
      </c>
      <c r="P126">
        <f>P118*365*('Data herd'!$E$35/2)</f>
        <v>0</v>
      </c>
    </row>
    <row r="127" spans="11:18" x14ac:dyDescent="0.25">
      <c r="K127" s="34"/>
      <c r="L127" s="30"/>
      <c r="M127" t="s">
        <v>216</v>
      </c>
      <c r="O127" t="s">
        <v>94</v>
      </c>
      <c r="P127">
        <f>P119*365*('Data herd'!$E$35/2)</f>
        <v>1054988.9269850736</v>
      </c>
    </row>
    <row r="128" spans="11:18" x14ac:dyDescent="0.25">
      <c r="K128" s="34"/>
      <c r="L128" s="30"/>
    </row>
    <row r="129" spans="1:16" x14ac:dyDescent="0.25">
      <c r="K129" s="34"/>
      <c r="L129" s="30" t="s">
        <v>221</v>
      </c>
      <c r="M129" t="s">
        <v>183</v>
      </c>
      <c r="O129" t="s">
        <v>94</v>
      </c>
      <c r="P129">
        <f>P121*365*('Data herd'!$E$35/2)</f>
        <v>2199920.6130499411</v>
      </c>
    </row>
    <row r="130" spans="1:16" x14ac:dyDescent="0.25">
      <c r="K130" s="34"/>
      <c r="L130" s="30"/>
      <c r="M130" t="s">
        <v>184</v>
      </c>
      <c r="O130" t="s">
        <v>94</v>
      </c>
      <c r="P130">
        <f>P122*365*('Data herd'!$E$35/2)</f>
        <v>0</v>
      </c>
    </row>
    <row r="131" spans="1:16" x14ac:dyDescent="0.25">
      <c r="K131" s="34"/>
      <c r="L131" s="30"/>
      <c r="M131" t="s">
        <v>216</v>
      </c>
      <c r="O131" t="s">
        <v>94</v>
      </c>
      <c r="P131">
        <f>P123*365*('Data herd'!$E$35/2)</f>
        <v>447729.41018567834</v>
      </c>
    </row>
    <row r="132" spans="1:16" x14ac:dyDescent="0.25">
      <c r="K132" s="34"/>
      <c r="L132" s="30"/>
    </row>
    <row r="133" spans="1:16" x14ac:dyDescent="0.25">
      <c r="K133" s="34"/>
      <c r="L133" s="30" t="s">
        <v>222</v>
      </c>
      <c r="M133" t="s">
        <v>183</v>
      </c>
      <c r="O133" t="s">
        <v>94</v>
      </c>
      <c r="P133">
        <f>P125+P129</f>
        <v>7383613.7862355113</v>
      </c>
    </row>
    <row r="134" spans="1:16" x14ac:dyDescent="0.25">
      <c r="K134" s="34"/>
      <c r="L134" s="30"/>
      <c r="M134" t="s">
        <v>184</v>
      </c>
      <c r="O134" t="s">
        <v>94</v>
      </c>
      <c r="P134">
        <f>P126+P130</f>
        <v>0</v>
      </c>
    </row>
    <row r="135" spans="1:16" x14ac:dyDescent="0.25">
      <c r="K135" s="34"/>
      <c r="L135" s="30"/>
      <c r="M135" t="s">
        <v>216</v>
      </c>
      <c r="O135" t="s">
        <v>94</v>
      </c>
      <c r="P135">
        <f>P127+P131</f>
        <v>1502718.337170752</v>
      </c>
    </row>
    <row r="136" spans="1:16" x14ac:dyDescent="0.25">
      <c r="K136" s="34"/>
      <c r="L136" s="30"/>
      <c r="M136" t="s">
        <v>18</v>
      </c>
      <c r="P136">
        <f>SUM(P133:P135)</f>
        <v>8886332.1234062631</v>
      </c>
    </row>
    <row r="137" spans="1:16" x14ac:dyDescent="0.25">
      <c r="K137" s="34"/>
    </row>
    <row r="138" spans="1:16" x14ac:dyDescent="0.25">
      <c r="K138" s="34"/>
      <c r="L138" s="30" t="s">
        <v>222</v>
      </c>
      <c r="M138" t="s">
        <v>183</v>
      </c>
      <c r="O138" t="s">
        <v>74</v>
      </c>
      <c r="P138">
        <f>P133/1000000000</f>
        <v>7.3836137862355114E-3</v>
      </c>
    </row>
    <row r="139" spans="1:16" x14ac:dyDescent="0.25">
      <c r="K139" s="34"/>
      <c r="L139" s="30"/>
      <c r="M139" t="s">
        <v>184</v>
      </c>
      <c r="O139" t="s">
        <v>74</v>
      </c>
      <c r="P139">
        <f t="shared" ref="P139:P141" si="2">P134/1000000000</f>
        <v>0</v>
      </c>
    </row>
    <row r="140" spans="1:16" x14ac:dyDescent="0.25">
      <c r="K140" s="34"/>
      <c r="L140" s="30"/>
      <c r="M140" t="s">
        <v>216</v>
      </c>
      <c r="O140" t="s">
        <v>74</v>
      </c>
      <c r="P140">
        <f>P135/1000000000</f>
        <v>1.5027183371707519E-3</v>
      </c>
    </row>
    <row r="141" spans="1:16" x14ac:dyDescent="0.25">
      <c r="K141" s="34"/>
      <c r="L141" s="30"/>
      <c r="M141" t="s">
        <v>18</v>
      </c>
      <c r="O141" t="s">
        <v>74</v>
      </c>
      <c r="P141">
        <f t="shared" si="2"/>
        <v>8.8863321234062629E-3</v>
      </c>
    </row>
    <row r="143" spans="1:16" x14ac:dyDescent="0.25">
      <c r="A143" s="2" t="s">
        <v>244</v>
      </c>
      <c r="B143" t="s">
        <v>245</v>
      </c>
      <c r="G143" s="38"/>
      <c r="L143" s="35" t="s">
        <v>37</v>
      </c>
    </row>
    <row r="144" spans="1:16" x14ac:dyDescent="0.25">
      <c r="A144" s="4"/>
      <c r="B144" t="s">
        <v>246</v>
      </c>
      <c r="C144" t="s">
        <v>101</v>
      </c>
      <c r="D144" t="s">
        <v>247</v>
      </c>
      <c r="E144">
        <v>20</v>
      </c>
      <c r="G144" s="38" t="s">
        <v>248</v>
      </c>
      <c r="L144" s="37" t="s">
        <v>2</v>
      </c>
    </row>
    <row r="145" spans="1:18" x14ac:dyDescent="0.25">
      <c r="A145" s="4"/>
      <c r="B145" t="s">
        <v>246</v>
      </c>
      <c r="C145" t="s">
        <v>101</v>
      </c>
      <c r="D145" t="s">
        <v>249</v>
      </c>
      <c r="E145">
        <v>7300</v>
      </c>
      <c r="G145" s="38" t="s">
        <v>248</v>
      </c>
      <c r="L145" s="36"/>
      <c r="M145" s="30" t="s">
        <v>250</v>
      </c>
      <c r="O145" t="s">
        <v>251</v>
      </c>
      <c r="P145">
        <f>E145*'Data herd'!E5</f>
        <v>11111702300</v>
      </c>
    </row>
    <row r="146" spans="1:18" x14ac:dyDescent="0.25">
      <c r="A146" s="4"/>
      <c r="B146" t="s">
        <v>252</v>
      </c>
      <c r="D146" t="s">
        <v>247</v>
      </c>
      <c r="E146">
        <v>20</v>
      </c>
      <c r="G146" s="38" t="s">
        <v>248</v>
      </c>
      <c r="L146" s="36"/>
      <c r="M146" s="6" t="s">
        <v>198</v>
      </c>
      <c r="O146" t="s">
        <v>251</v>
      </c>
      <c r="P146">
        <f>E147*'Data herd'!E6</f>
        <v>444467800</v>
      </c>
    </row>
    <row r="147" spans="1:18" x14ac:dyDescent="0.25">
      <c r="A147" s="4"/>
      <c r="B147" t="s">
        <v>252</v>
      </c>
      <c r="D147" t="s">
        <v>249</v>
      </c>
      <c r="E147">
        <v>7300</v>
      </c>
      <c r="G147" s="38" t="s">
        <v>248</v>
      </c>
      <c r="L147" s="39"/>
      <c r="M147" t="s">
        <v>220</v>
      </c>
      <c r="O147" t="s">
        <v>251</v>
      </c>
      <c r="P147">
        <f>SUM(P145:P146)</f>
        <v>11556170100</v>
      </c>
    </row>
    <row r="148" spans="1:18" x14ac:dyDescent="0.25">
      <c r="A148" s="4"/>
      <c r="B148" t="s">
        <v>253</v>
      </c>
      <c r="D148" t="s">
        <v>247</v>
      </c>
      <c r="E148">
        <v>5</v>
      </c>
      <c r="G148" s="38" t="s">
        <v>248</v>
      </c>
      <c r="L148" s="36"/>
      <c r="O148" t="s">
        <v>254</v>
      </c>
      <c r="P148" s="20">
        <f>P147/1000000000</f>
        <v>11.556170099999999</v>
      </c>
    </row>
    <row r="149" spans="1:18" x14ac:dyDescent="0.25">
      <c r="A149" s="4"/>
      <c r="B149" t="s">
        <v>253</v>
      </c>
      <c r="D149" t="s">
        <v>249</v>
      </c>
      <c r="E149">
        <v>1825</v>
      </c>
      <c r="G149" s="38" t="s">
        <v>248</v>
      </c>
      <c r="L149" s="37" t="s">
        <v>3</v>
      </c>
    </row>
    <row r="150" spans="1:18" x14ac:dyDescent="0.25">
      <c r="G150" s="38"/>
      <c r="L150" s="36"/>
      <c r="M150" t="s">
        <v>3</v>
      </c>
      <c r="O150" t="s">
        <v>251</v>
      </c>
      <c r="P150">
        <f>E149*'Data herd'!E22</f>
        <v>129173539.23750003</v>
      </c>
    </row>
    <row r="151" spans="1:18" x14ac:dyDescent="0.25">
      <c r="G151" s="38"/>
      <c r="L151" s="36"/>
      <c r="O151" t="s">
        <v>254</v>
      </c>
      <c r="P151">
        <f>P150/1000000000</f>
        <v>0.12917353923750002</v>
      </c>
    </row>
    <row r="152" spans="1:18" x14ac:dyDescent="0.25">
      <c r="G152" s="38"/>
      <c r="L152" s="37" t="s">
        <v>4</v>
      </c>
    </row>
    <row r="153" spans="1:18" x14ac:dyDescent="0.25">
      <c r="L153" s="36"/>
      <c r="M153" t="s">
        <v>255</v>
      </c>
      <c r="O153" t="s">
        <v>251</v>
      </c>
      <c r="P153">
        <f>E145*('Data herd'!E35/2)</f>
        <v>12917353.923750004</v>
      </c>
    </row>
    <row r="154" spans="1:18" x14ac:dyDescent="0.25">
      <c r="L154" s="36"/>
      <c r="M154" t="s">
        <v>256</v>
      </c>
      <c r="O154" t="s">
        <v>251</v>
      </c>
      <c r="P154">
        <f>E147*('Data herd'!E35/2)</f>
        <v>12917353.923750004</v>
      </c>
    </row>
    <row r="155" spans="1:18" x14ac:dyDescent="0.25">
      <c r="L155" s="36"/>
      <c r="M155" t="s">
        <v>218</v>
      </c>
      <c r="O155" t="s">
        <v>251</v>
      </c>
      <c r="P155">
        <f>SUM(P153:P154)</f>
        <v>25834707.847500008</v>
      </c>
    </row>
    <row r="156" spans="1:18" x14ac:dyDescent="0.25">
      <c r="L156" s="36"/>
      <c r="O156" t="s">
        <v>254</v>
      </c>
      <c r="P156">
        <f>P155/1000000000</f>
        <v>2.5834707847500006E-2</v>
      </c>
    </row>
    <row r="157" spans="1:18" ht="15.75" thickBot="1" x14ac:dyDescent="0.3">
      <c r="L157" s="36"/>
    </row>
    <row r="158" spans="1:18" ht="15.75" thickTop="1" x14ac:dyDescent="0.25">
      <c r="A158" s="2" t="s">
        <v>257</v>
      </c>
      <c r="B158" t="s">
        <v>245</v>
      </c>
      <c r="L158" s="40" t="s">
        <v>209</v>
      </c>
      <c r="M158" s="4" t="s">
        <v>210</v>
      </c>
      <c r="N158" s="4" t="s">
        <v>7</v>
      </c>
      <c r="O158" s="4" t="s">
        <v>8</v>
      </c>
      <c r="P158" s="4" t="s">
        <v>9</v>
      </c>
      <c r="Q158" s="29" t="s">
        <v>211</v>
      </c>
      <c r="R158" s="4" t="s">
        <v>212</v>
      </c>
    </row>
    <row r="159" spans="1:18" x14ac:dyDescent="0.25">
      <c r="L159" s="36"/>
    </row>
    <row r="160" spans="1:18" x14ac:dyDescent="0.25">
      <c r="A160" t="s">
        <v>258</v>
      </c>
      <c r="B160" t="s">
        <v>259</v>
      </c>
      <c r="C160" t="s">
        <v>101</v>
      </c>
      <c r="D160" t="s">
        <v>260</v>
      </c>
      <c r="E160">
        <v>28</v>
      </c>
      <c r="G160" s="38" t="s">
        <v>261</v>
      </c>
      <c r="H160" s="38"/>
      <c r="I160" s="30"/>
      <c r="L160" t="s">
        <v>17</v>
      </c>
      <c r="M160" t="s">
        <v>2</v>
      </c>
      <c r="N160">
        <v>2015</v>
      </c>
      <c r="O160" t="s">
        <v>19</v>
      </c>
      <c r="P160">
        <v>38800</v>
      </c>
      <c r="R160" t="s">
        <v>15</v>
      </c>
    </row>
    <row r="161" spans="12:18" x14ac:dyDescent="0.25">
      <c r="M161" t="s">
        <v>3</v>
      </c>
      <c r="N161">
        <v>2015</v>
      </c>
      <c r="O161" t="s">
        <v>19</v>
      </c>
      <c r="P161">
        <v>16850</v>
      </c>
      <c r="R161" t="s">
        <v>15</v>
      </c>
    </row>
    <row r="162" spans="12:18" x14ac:dyDescent="0.25">
      <c r="M162" t="s">
        <v>4</v>
      </c>
      <c r="N162">
        <v>2015</v>
      </c>
      <c r="O162" t="s">
        <v>19</v>
      </c>
      <c r="P162">
        <v>221260</v>
      </c>
      <c r="R162" t="s">
        <v>15</v>
      </c>
    </row>
    <row r="163" spans="12:18" x14ac:dyDescent="0.25">
      <c r="M163" t="s">
        <v>18</v>
      </c>
      <c r="N163">
        <v>2015</v>
      </c>
      <c r="O163" t="s">
        <v>19</v>
      </c>
      <c r="P163">
        <f>SUM(P160:P162)</f>
        <v>276910</v>
      </c>
      <c r="R163" t="s">
        <v>15</v>
      </c>
    </row>
    <row r="164" spans="12:18" x14ac:dyDescent="0.25">
      <c r="L164" s="36"/>
    </row>
    <row r="165" spans="12:18" x14ac:dyDescent="0.25">
      <c r="L165" s="36" t="s">
        <v>262</v>
      </c>
      <c r="M165" t="s">
        <v>2</v>
      </c>
      <c r="O165" t="s">
        <v>263</v>
      </c>
      <c r="P165">
        <f>$E$160*P160</f>
        <v>1086400</v>
      </c>
    </row>
    <row r="166" spans="12:18" x14ac:dyDescent="0.25">
      <c r="L166" s="36"/>
      <c r="M166" t="s">
        <v>3</v>
      </c>
      <c r="O166" t="s">
        <v>263</v>
      </c>
      <c r="P166">
        <f t="shared" ref="P166:P168" si="3">$E$160*P161</f>
        <v>471800</v>
      </c>
    </row>
    <row r="167" spans="12:18" x14ac:dyDescent="0.25">
      <c r="L167" s="36"/>
      <c r="M167" t="s">
        <v>4</v>
      </c>
      <c r="O167" t="s">
        <v>263</v>
      </c>
      <c r="P167">
        <f t="shared" si="3"/>
        <v>6195280</v>
      </c>
    </row>
    <row r="168" spans="12:18" x14ac:dyDescent="0.25">
      <c r="L168" s="36"/>
      <c r="M168" t="s">
        <v>18</v>
      </c>
      <c r="O168" t="s">
        <v>263</v>
      </c>
      <c r="P168">
        <f t="shared" si="3"/>
        <v>7753480</v>
      </c>
    </row>
    <row r="169" spans="12:18" x14ac:dyDescent="0.25">
      <c r="L169" s="36"/>
      <c r="M169" t="s">
        <v>2</v>
      </c>
      <c r="O169" t="s">
        <v>264</v>
      </c>
      <c r="P169">
        <f>P165/1000</f>
        <v>1086.4000000000001</v>
      </c>
    </row>
    <row r="170" spans="12:18" x14ac:dyDescent="0.25">
      <c r="L170" s="36"/>
      <c r="M170" t="s">
        <v>3</v>
      </c>
      <c r="O170" t="s">
        <v>264</v>
      </c>
      <c r="P170">
        <f t="shared" ref="P170:P172" si="4">P166/1000</f>
        <v>471.8</v>
      </c>
    </row>
    <row r="171" spans="12:18" x14ac:dyDescent="0.25">
      <c r="L171" s="36"/>
      <c r="M171" t="s">
        <v>4</v>
      </c>
      <c r="O171" t="s">
        <v>264</v>
      </c>
      <c r="P171">
        <f t="shared" si="4"/>
        <v>6195.28</v>
      </c>
    </row>
    <row r="172" spans="12:18" x14ac:dyDescent="0.25">
      <c r="L172" s="36"/>
      <c r="M172" t="s">
        <v>18</v>
      </c>
      <c r="O172" t="s">
        <v>264</v>
      </c>
      <c r="P172">
        <f t="shared" si="4"/>
        <v>7753.48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0" workbookViewId="0">
      <selection activeCell="N33" sqref="N33"/>
    </sheetView>
  </sheetViews>
  <sheetFormatPr defaultRowHeight="15" x14ac:dyDescent="0.25"/>
  <cols>
    <col min="1" max="1" width="18.7109375" customWidth="1"/>
    <col min="2" max="2" width="20.5703125" customWidth="1"/>
    <col min="4" max="4" width="16.42578125" customWidth="1"/>
    <col min="10" max="10" width="17.7109375" style="36" customWidth="1"/>
    <col min="11" max="11" width="14.85546875" customWidth="1"/>
    <col min="12" max="12" width="15.140625" customWidth="1"/>
    <col min="14" max="14" width="20.28515625" customWidth="1"/>
  </cols>
  <sheetData>
    <row r="1" spans="1:16" x14ac:dyDescent="0.25">
      <c r="A1" s="2" t="s">
        <v>16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s="35" t="s">
        <v>37</v>
      </c>
      <c r="K1" s="4" t="s">
        <v>210</v>
      </c>
      <c r="L1" s="4" t="s">
        <v>7</v>
      </c>
      <c r="M1" s="4" t="s">
        <v>8</v>
      </c>
      <c r="N1" s="4" t="s">
        <v>9</v>
      </c>
      <c r="O1" s="29" t="s">
        <v>211</v>
      </c>
      <c r="P1" s="4" t="s">
        <v>212</v>
      </c>
    </row>
    <row r="2" spans="1:16" x14ac:dyDescent="0.25">
      <c r="A2" t="s">
        <v>17</v>
      </c>
      <c r="B2" t="s">
        <v>2</v>
      </c>
      <c r="C2">
        <v>2015</v>
      </c>
      <c r="D2" t="s">
        <v>19</v>
      </c>
      <c r="E2">
        <v>38800</v>
      </c>
      <c r="G2" t="s">
        <v>15</v>
      </c>
      <c r="J2" s="36" t="s">
        <v>17</v>
      </c>
      <c r="K2" t="s">
        <v>2</v>
      </c>
      <c r="L2">
        <v>2015</v>
      </c>
      <c r="M2" t="s">
        <v>94</v>
      </c>
      <c r="N2">
        <f>E2*1000</f>
        <v>38800000</v>
      </c>
    </row>
    <row r="3" spans="1:16" x14ac:dyDescent="0.25">
      <c r="B3" t="s">
        <v>3</v>
      </c>
      <c r="C3">
        <v>2015</v>
      </c>
      <c r="D3" t="s">
        <v>19</v>
      </c>
      <c r="E3">
        <v>16850</v>
      </c>
      <c r="G3" t="s">
        <v>15</v>
      </c>
      <c r="K3" t="s">
        <v>3</v>
      </c>
      <c r="L3">
        <v>2015</v>
      </c>
      <c r="M3" t="s">
        <v>94</v>
      </c>
      <c r="N3">
        <f>E3*1000</f>
        <v>16850000</v>
      </c>
    </row>
    <row r="4" spans="1:16" x14ac:dyDescent="0.25">
      <c r="B4" t="s">
        <v>4</v>
      </c>
      <c r="C4">
        <v>2015</v>
      </c>
      <c r="D4" t="s">
        <v>19</v>
      </c>
      <c r="E4">
        <v>221260</v>
      </c>
      <c r="G4" t="s">
        <v>15</v>
      </c>
      <c r="K4" t="s">
        <v>4</v>
      </c>
      <c r="L4">
        <v>2015</v>
      </c>
      <c r="M4" t="s">
        <v>94</v>
      </c>
      <c r="N4">
        <f>E4*1000</f>
        <v>221260000</v>
      </c>
    </row>
    <row r="5" spans="1:16" x14ac:dyDescent="0.25">
      <c r="B5" t="s">
        <v>18</v>
      </c>
      <c r="C5">
        <v>2015</v>
      </c>
      <c r="D5" t="s">
        <v>19</v>
      </c>
      <c r="E5" s="3">
        <v>626100</v>
      </c>
      <c r="G5" t="s">
        <v>15</v>
      </c>
      <c r="H5" t="s">
        <v>20</v>
      </c>
      <c r="K5" t="s">
        <v>18</v>
      </c>
      <c r="L5">
        <v>2015</v>
      </c>
      <c r="M5" t="s">
        <v>94</v>
      </c>
      <c r="N5">
        <f>E5*1000</f>
        <v>626100000</v>
      </c>
    </row>
    <row r="7" spans="1:16" x14ac:dyDescent="0.25">
      <c r="A7" t="s">
        <v>17</v>
      </c>
      <c r="B7" t="s">
        <v>2</v>
      </c>
      <c r="C7">
        <v>2015</v>
      </c>
      <c r="D7" t="s">
        <v>36</v>
      </c>
      <c r="E7">
        <v>1312710</v>
      </c>
      <c r="G7" t="s">
        <v>15</v>
      </c>
      <c r="K7" t="s">
        <v>2</v>
      </c>
      <c r="L7">
        <v>2015</v>
      </c>
      <c r="M7" t="s">
        <v>243</v>
      </c>
      <c r="N7">
        <f>N2/1000000</f>
        <v>38.799999999999997</v>
      </c>
    </row>
    <row r="8" spans="1:16" x14ac:dyDescent="0.25">
      <c r="B8" t="s">
        <v>3</v>
      </c>
      <c r="C8">
        <v>2015</v>
      </c>
      <c r="D8" t="s">
        <v>36</v>
      </c>
      <c r="E8">
        <v>9300</v>
      </c>
      <c r="G8" t="s">
        <v>15</v>
      </c>
      <c r="K8" t="s">
        <v>3</v>
      </c>
      <c r="L8">
        <v>2015</v>
      </c>
      <c r="M8" t="s">
        <v>243</v>
      </c>
      <c r="N8">
        <f t="shared" ref="N8" si="0">N3/1000000</f>
        <v>16.850000000000001</v>
      </c>
    </row>
    <row r="9" spans="1:16" x14ac:dyDescent="0.25">
      <c r="B9" t="s">
        <v>4</v>
      </c>
      <c r="C9">
        <v>2015</v>
      </c>
      <c r="D9" t="s">
        <v>36</v>
      </c>
      <c r="E9">
        <v>9281800</v>
      </c>
      <c r="G9" t="s">
        <v>15</v>
      </c>
      <c r="K9" t="s">
        <v>4</v>
      </c>
      <c r="L9">
        <v>2015</v>
      </c>
      <c r="M9" t="s">
        <v>243</v>
      </c>
      <c r="N9">
        <f>N4/1000000</f>
        <v>221.26</v>
      </c>
    </row>
    <row r="11" spans="1:16" x14ac:dyDescent="0.25">
      <c r="A11" s="1" t="s">
        <v>265</v>
      </c>
      <c r="B11" s="41" t="s">
        <v>266</v>
      </c>
      <c r="I11" s="34"/>
      <c r="J11" s="33" t="s">
        <v>37</v>
      </c>
    </row>
    <row r="12" spans="1:16" x14ac:dyDescent="0.25">
      <c r="I12" s="34"/>
      <c r="J12" s="42" t="s">
        <v>2</v>
      </c>
    </row>
    <row r="13" spans="1:16" x14ac:dyDescent="0.25">
      <c r="A13" t="s">
        <v>267</v>
      </c>
      <c r="B13" t="s">
        <v>268</v>
      </c>
      <c r="D13" t="s">
        <v>269</v>
      </c>
      <c r="E13">
        <v>13610000</v>
      </c>
      <c r="G13" s="38" t="s">
        <v>270</v>
      </c>
      <c r="I13" s="34"/>
      <c r="J13" s="30" t="s">
        <v>81</v>
      </c>
      <c r="K13" t="s">
        <v>2</v>
      </c>
      <c r="M13" t="s">
        <v>94</v>
      </c>
      <c r="N13">
        <f>'Data herd'!L14</f>
        <v>787865332</v>
      </c>
    </row>
    <row r="14" spans="1:16" x14ac:dyDescent="0.25">
      <c r="A14" t="s">
        <v>267</v>
      </c>
      <c r="B14" t="s">
        <v>271</v>
      </c>
      <c r="D14" t="s">
        <v>269</v>
      </c>
      <c r="E14">
        <v>25120000</v>
      </c>
      <c r="G14" s="38" t="s">
        <v>270</v>
      </c>
      <c r="I14" s="34"/>
      <c r="J14" s="30"/>
      <c r="K14" t="s">
        <v>272</v>
      </c>
      <c r="M14">
        <f>N13/(SUM(N13,N23,N32))</f>
        <v>0.98268347811431944</v>
      </c>
    </row>
    <row r="15" spans="1:16" x14ac:dyDescent="0.25">
      <c r="B15" t="s">
        <v>18</v>
      </c>
      <c r="D15" t="s">
        <v>269</v>
      </c>
      <c r="E15">
        <f>SUM(E13,E14)</f>
        <v>38730000</v>
      </c>
      <c r="G15" s="38" t="s">
        <v>270</v>
      </c>
      <c r="I15" s="34"/>
      <c r="J15" s="30"/>
    </row>
    <row r="16" spans="1:16" x14ac:dyDescent="0.25">
      <c r="I16" s="34"/>
      <c r="J16" s="30"/>
      <c r="K16" t="s">
        <v>273</v>
      </c>
      <c r="M16" t="s">
        <v>274</v>
      </c>
      <c r="N16">
        <f>E14*M14</f>
        <v>24685008.970231704</v>
      </c>
    </row>
    <row r="17" spans="9:14" x14ac:dyDescent="0.25">
      <c r="I17" s="34"/>
      <c r="J17" s="30"/>
      <c r="K17" t="s">
        <v>275</v>
      </c>
      <c r="M17" t="s">
        <v>274</v>
      </c>
      <c r="N17">
        <f>E13*M14</f>
        <v>13374322.137135888</v>
      </c>
    </row>
    <row r="18" spans="9:14" x14ac:dyDescent="0.25">
      <c r="I18" s="34"/>
      <c r="J18" s="30"/>
      <c r="K18" t="s">
        <v>18</v>
      </c>
      <c r="M18" t="s">
        <v>274</v>
      </c>
      <c r="N18">
        <f>SUM(N16:N17)</f>
        <v>38059331.10736759</v>
      </c>
    </row>
    <row r="19" spans="9:14" x14ac:dyDescent="0.25">
      <c r="I19" s="34"/>
      <c r="J19" s="30"/>
      <c r="K19" t="s">
        <v>18</v>
      </c>
      <c r="M19" t="s">
        <v>74</v>
      </c>
      <c r="N19">
        <f>N18/1000000</f>
        <v>38.059331107367591</v>
      </c>
    </row>
    <row r="20" spans="9:14" x14ac:dyDescent="0.25">
      <c r="I20" s="34"/>
      <c r="J20" s="30"/>
    </row>
    <row r="21" spans="9:14" x14ac:dyDescent="0.25">
      <c r="I21" s="34"/>
      <c r="J21" s="30"/>
    </row>
    <row r="22" spans="9:14" x14ac:dyDescent="0.25">
      <c r="I22" s="34"/>
      <c r="J22" s="8" t="s">
        <v>3</v>
      </c>
    </row>
    <row r="23" spans="9:14" x14ac:dyDescent="0.25">
      <c r="I23" s="34"/>
      <c r="J23" t="s">
        <v>276</v>
      </c>
      <c r="K23" t="s">
        <v>3</v>
      </c>
      <c r="M23" t="str">
        <f>'[2]Data herd'!K12</f>
        <v>Kg/year</v>
      </c>
      <c r="N23">
        <f>'Data herd'!L25</f>
        <v>12669623.848500002</v>
      </c>
    </row>
    <row r="24" spans="9:14" x14ac:dyDescent="0.25">
      <c r="I24" s="34"/>
      <c r="J24"/>
      <c r="K24" t="s">
        <v>272</v>
      </c>
      <c r="M24">
        <f>N23/(SUM(N13,N23,N32))</f>
        <v>1.5802484922441174E-2</v>
      </c>
    </row>
    <row r="25" spans="9:14" x14ac:dyDescent="0.25">
      <c r="I25" s="34"/>
      <c r="J25"/>
    </row>
    <row r="26" spans="9:14" x14ac:dyDescent="0.25">
      <c r="I26" s="34"/>
      <c r="J26"/>
      <c r="K26" t="s">
        <v>271</v>
      </c>
      <c r="M26" t="s">
        <v>274</v>
      </c>
      <c r="N26">
        <f>E14*M24</f>
        <v>396958.42125172232</v>
      </c>
    </row>
    <row r="27" spans="9:14" x14ac:dyDescent="0.25">
      <c r="I27" s="34"/>
      <c r="J27"/>
      <c r="K27" t="s">
        <v>268</v>
      </c>
      <c r="M27" t="s">
        <v>274</v>
      </c>
      <c r="N27">
        <f>E13*M24</f>
        <v>215071.81979442437</v>
      </c>
    </row>
    <row r="28" spans="9:14" x14ac:dyDescent="0.25">
      <c r="I28" s="34"/>
      <c r="J28"/>
      <c r="K28" t="s">
        <v>18</v>
      </c>
      <c r="M28" t="s">
        <v>274</v>
      </c>
      <c r="N28">
        <f>SUM(N26:N27)</f>
        <v>612030.24104614672</v>
      </c>
    </row>
    <row r="29" spans="9:14" x14ac:dyDescent="0.25">
      <c r="I29" s="34"/>
      <c r="J29"/>
      <c r="K29" t="s">
        <v>18</v>
      </c>
      <c r="M29" t="s">
        <v>74</v>
      </c>
      <c r="N29">
        <f>N28/1000000</f>
        <v>0.61203024104614667</v>
      </c>
    </row>
    <row r="30" spans="9:14" x14ac:dyDescent="0.25">
      <c r="I30" s="34"/>
      <c r="J30"/>
    </row>
    <row r="31" spans="9:14" x14ac:dyDescent="0.25">
      <c r="I31" s="34"/>
      <c r="J31" s="8" t="s">
        <v>4</v>
      </c>
    </row>
    <row r="32" spans="9:14" x14ac:dyDescent="0.25">
      <c r="I32" s="34"/>
      <c r="J32" t="s">
        <v>81</v>
      </c>
      <c r="K32" t="s">
        <v>4</v>
      </c>
      <c r="M32" t="str">
        <f>'[2]Data herd'!K25</f>
        <v>Kg/year</v>
      </c>
      <c r="N32">
        <f>'Data herd'!L36</f>
        <v>1213877.3687250004</v>
      </c>
    </row>
    <row r="33" spans="9:14" x14ac:dyDescent="0.25">
      <c r="I33" s="34"/>
      <c r="J33"/>
      <c r="K33" t="s">
        <v>272</v>
      </c>
      <c r="M33">
        <f>N32/(SUM(N13,N23,N32))</f>
        <v>1.5140369632394761E-3</v>
      </c>
    </row>
    <row r="34" spans="9:14" x14ac:dyDescent="0.25">
      <c r="I34" s="34"/>
      <c r="J34"/>
    </row>
    <row r="35" spans="9:14" x14ac:dyDescent="0.25">
      <c r="I35" s="34"/>
      <c r="J35"/>
      <c r="K35" t="s">
        <v>273</v>
      </c>
      <c r="M35" t="s">
        <v>274</v>
      </c>
      <c r="N35">
        <f>E14*M33</f>
        <v>38032.608516575638</v>
      </c>
    </row>
    <row r="36" spans="9:14" x14ac:dyDescent="0.25">
      <c r="I36" s="34"/>
      <c r="J36"/>
      <c r="K36" t="s">
        <v>275</v>
      </c>
      <c r="M36" t="s">
        <v>274</v>
      </c>
      <c r="N36">
        <f>E13*M33</f>
        <v>20606.043069689269</v>
      </c>
    </row>
    <row r="37" spans="9:14" x14ac:dyDescent="0.25">
      <c r="I37" s="34"/>
      <c r="J37"/>
      <c r="K37" t="s">
        <v>218</v>
      </c>
      <c r="M37" t="s">
        <v>274</v>
      </c>
      <c r="N37">
        <f>SUM(N35:N36)</f>
        <v>58638.65158626491</v>
      </c>
    </row>
    <row r="38" spans="9:14" x14ac:dyDescent="0.25">
      <c r="I38" s="34"/>
      <c r="J38"/>
      <c r="K38" t="s">
        <v>18</v>
      </c>
      <c r="M38" t="s">
        <v>74</v>
      </c>
      <c r="N38">
        <f>N37/1000000</f>
        <v>5.8638651586264912E-2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144" workbookViewId="0">
      <selection activeCell="D45" sqref="D45"/>
    </sheetView>
  </sheetViews>
  <sheetFormatPr defaultRowHeight="15" x14ac:dyDescent="0.25"/>
  <cols>
    <col min="1" max="1" width="33" customWidth="1"/>
    <col min="2" max="2" width="26.140625" customWidth="1"/>
    <col min="3" max="3" width="26.7109375" customWidth="1"/>
    <col min="4" max="4" width="20.28515625" customWidth="1"/>
    <col min="5" max="5" width="16.140625" customWidth="1"/>
    <col min="6" max="6" width="22.28515625" customWidth="1"/>
    <col min="7" max="7" width="14.85546875" customWidth="1"/>
    <col min="8" max="8" width="20.140625" customWidth="1"/>
    <col min="9" max="9" width="16.140625" customWidth="1"/>
    <col min="10" max="10" width="16" customWidth="1"/>
  </cols>
  <sheetData>
    <row r="1" spans="1:5" x14ac:dyDescent="0.25">
      <c r="A1" s="2" t="s">
        <v>132</v>
      </c>
      <c r="C1" t="s">
        <v>8</v>
      </c>
      <c r="D1" t="s">
        <v>9</v>
      </c>
      <c r="E1" t="s">
        <v>11</v>
      </c>
    </row>
    <row r="2" spans="1:5" x14ac:dyDescent="0.25">
      <c r="A2" t="s">
        <v>133</v>
      </c>
      <c r="B2" t="s">
        <v>134</v>
      </c>
      <c r="C2" t="s">
        <v>135</v>
      </c>
      <c r="D2">
        <v>0.32200000000000001</v>
      </c>
      <c r="E2" t="s">
        <v>136</v>
      </c>
    </row>
    <row r="3" spans="1:5" x14ac:dyDescent="0.25">
      <c r="B3" t="s">
        <v>137</v>
      </c>
      <c r="C3" t="s">
        <v>135</v>
      </c>
      <c r="D3">
        <v>0.38600000000000001</v>
      </c>
      <c r="E3" t="s">
        <v>136</v>
      </c>
    </row>
    <row r="4" spans="1:5" x14ac:dyDescent="0.25">
      <c r="B4" t="s">
        <v>138</v>
      </c>
      <c r="C4" t="s">
        <v>135</v>
      </c>
      <c r="D4">
        <v>0.37</v>
      </c>
      <c r="E4" t="s">
        <v>136</v>
      </c>
    </row>
    <row r="6" spans="1:5" x14ac:dyDescent="0.25">
      <c r="A6" t="s">
        <v>139</v>
      </c>
      <c r="B6" t="s">
        <v>140</v>
      </c>
      <c r="C6" t="s">
        <v>101</v>
      </c>
      <c r="D6">
        <v>0.17</v>
      </c>
      <c r="E6" t="s">
        <v>136</v>
      </c>
    </row>
    <row r="9" spans="1:5" x14ac:dyDescent="0.25">
      <c r="A9" t="s">
        <v>141</v>
      </c>
      <c r="B9" t="s">
        <v>142</v>
      </c>
      <c r="C9" t="s">
        <v>101</v>
      </c>
      <c r="D9">
        <v>0.8</v>
      </c>
      <c r="E9" t="s">
        <v>136</v>
      </c>
    </row>
    <row r="10" spans="1:5" x14ac:dyDescent="0.25">
      <c r="B10" t="s">
        <v>143</v>
      </c>
      <c r="C10" t="s">
        <v>101</v>
      </c>
      <c r="D10">
        <v>1.2</v>
      </c>
      <c r="E10" t="s">
        <v>136</v>
      </c>
    </row>
    <row r="12" spans="1:5" x14ac:dyDescent="0.25">
      <c r="A12" t="s">
        <v>144</v>
      </c>
      <c r="B12" t="s">
        <v>145</v>
      </c>
      <c r="C12" t="s">
        <v>58</v>
      </c>
      <c r="D12" s="19">
        <v>65</v>
      </c>
      <c r="E12" t="s">
        <v>136</v>
      </c>
    </row>
    <row r="13" spans="1:5" x14ac:dyDescent="0.25">
      <c r="A13" t="s">
        <v>144</v>
      </c>
      <c r="B13" t="s">
        <v>146</v>
      </c>
      <c r="C13" t="s">
        <v>58</v>
      </c>
      <c r="D13" s="19">
        <v>75</v>
      </c>
      <c r="E13" t="s">
        <v>136</v>
      </c>
    </row>
    <row r="14" spans="1:5" x14ac:dyDescent="0.25">
      <c r="A14" t="s">
        <v>144</v>
      </c>
      <c r="B14" t="s">
        <v>147</v>
      </c>
      <c r="C14" t="s">
        <v>58</v>
      </c>
      <c r="D14" s="19">
        <v>70</v>
      </c>
      <c r="E14" t="s">
        <v>136</v>
      </c>
    </row>
    <row r="17" spans="1:9" x14ac:dyDescent="0.25">
      <c r="A17" t="s">
        <v>148</v>
      </c>
      <c r="B17" t="s">
        <v>149</v>
      </c>
      <c r="C17" t="s">
        <v>58</v>
      </c>
      <c r="D17">
        <v>4.0599999999999996</v>
      </c>
      <c r="E17" t="s">
        <v>47</v>
      </c>
    </row>
    <row r="18" spans="1:9" x14ac:dyDescent="0.25">
      <c r="A18" t="s">
        <v>148</v>
      </c>
      <c r="B18" t="s">
        <v>150</v>
      </c>
      <c r="C18" t="s">
        <v>151</v>
      </c>
      <c r="D18" s="20">
        <f>7556/365</f>
        <v>20.701369863013699</v>
      </c>
      <c r="E18" t="s">
        <v>47</v>
      </c>
    </row>
    <row r="20" spans="1:9" x14ac:dyDescent="0.25">
      <c r="A20" t="s">
        <v>152</v>
      </c>
      <c r="B20" t="s">
        <v>153</v>
      </c>
      <c r="C20" t="s">
        <v>154</v>
      </c>
      <c r="D20">
        <v>0.1</v>
      </c>
      <c r="E20" t="s">
        <v>136</v>
      </c>
    </row>
    <row r="22" spans="1:9" x14ac:dyDescent="0.25">
      <c r="A22" s="2" t="s">
        <v>155</v>
      </c>
    </row>
    <row r="23" spans="1:9" x14ac:dyDescent="0.25">
      <c r="A23" s="8" t="s">
        <v>2</v>
      </c>
    </row>
    <row r="24" spans="1:9" x14ac:dyDescent="0.25">
      <c r="A24" s="21" t="s">
        <v>156</v>
      </c>
      <c r="B24" s="22">
        <f>'Data herd'!E81</f>
        <v>335.08718644116027</v>
      </c>
    </row>
    <row r="25" spans="1:9" x14ac:dyDescent="0.25">
      <c r="A25" s="21" t="s">
        <v>157</v>
      </c>
      <c r="B25" s="22">
        <f>'Data herd'!E82</f>
        <v>121.24170479222057</v>
      </c>
    </row>
    <row r="26" spans="1:9" x14ac:dyDescent="0.25">
      <c r="A26" s="23" t="s">
        <v>158</v>
      </c>
      <c r="C26" t="s">
        <v>159</v>
      </c>
      <c r="D26" t="s">
        <v>160</v>
      </c>
      <c r="E26" t="s">
        <v>161</v>
      </c>
      <c r="G26" t="s">
        <v>162</v>
      </c>
      <c r="I26" t="s">
        <v>163</v>
      </c>
    </row>
    <row r="27" spans="1:9" x14ac:dyDescent="0.25">
      <c r="B27" s="24" t="s">
        <v>164</v>
      </c>
      <c r="C27">
        <v>18.7</v>
      </c>
      <c r="D27">
        <v>7</v>
      </c>
      <c r="E27">
        <f t="shared" ref="E27:E42" si="0">D27/100</f>
        <v>7.0000000000000007E-2</v>
      </c>
      <c r="F27">
        <f>$B$24*E27</f>
        <v>23.456103050881222</v>
      </c>
      <c r="G27">
        <f>F27/C27</f>
        <v>1.2543370615444505</v>
      </c>
      <c r="H27">
        <f>$B$25*E27</f>
        <v>8.4869193354554415</v>
      </c>
      <c r="I27">
        <f>H27/C27</f>
        <v>0.45384595376767067</v>
      </c>
    </row>
    <row r="28" spans="1:9" x14ac:dyDescent="0.25">
      <c r="B28" s="24" t="s">
        <v>165</v>
      </c>
      <c r="C28">
        <f>(C31+C27)/2</f>
        <v>18.799999999999997</v>
      </c>
      <c r="D28">
        <v>22.5</v>
      </c>
      <c r="E28">
        <f t="shared" si="0"/>
        <v>0.22500000000000001</v>
      </c>
      <c r="F28">
        <f t="shared" ref="F28:F42" si="1">$B$24*E28</f>
        <v>75.394616949261064</v>
      </c>
      <c r="G28">
        <f t="shared" ref="G28:G42" si="2">F28/C28</f>
        <v>4.010351965386227</v>
      </c>
      <c r="H28">
        <f t="shared" ref="H28:H42" si="3">$B$25*E28</f>
        <v>27.279383578249629</v>
      </c>
      <c r="I28">
        <f t="shared" ref="I28:I42" si="4">H28/C28</f>
        <v>1.451031041396257</v>
      </c>
    </row>
    <row r="29" spans="1:9" x14ac:dyDescent="0.25">
      <c r="B29" s="24" t="s">
        <v>166</v>
      </c>
      <c r="C29">
        <v>18.5</v>
      </c>
      <c r="D29">
        <v>0.8</v>
      </c>
      <c r="E29">
        <f t="shared" si="0"/>
        <v>8.0000000000000002E-3</v>
      </c>
      <c r="F29">
        <f t="shared" si="1"/>
        <v>2.6806974915292821</v>
      </c>
      <c r="G29">
        <f t="shared" si="2"/>
        <v>0.14490256710969093</v>
      </c>
      <c r="H29">
        <f t="shared" si="3"/>
        <v>0.96993363833776458</v>
      </c>
      <c r="I29">
        <f t="shared" si="4"/>
        <v>5.2428845315554841E-2</v>
      </c>
    </row>
    <row r="30" spans="1:9" x14ac:dyDescent="0.25">
      <c r="B30" s="24" t="s">
        <v>167</v>
      </c>
      <c r="C30">
        <f>(C31+C29)/2</f>
        <v>18.7</v>
      </c>
      <c r="D30">
        <v>2.5</v>
      </c>
      <c r="E30">
        <f t="shared" si="0"/>
        <v>2.5000000000000001E-2</v>
      </c>
      <c r="F30">
        <f t="shared" si="1"/>
        <v>8.3771796610290075</v>
      </c>
      <c r="G30">
        <f t="shared" si="2"/>
        <v>0.44797752198016083</v>
      </c>
      <c r="H30">
        <f t="shared" si="3"/>
        <v>3.0310426198055147</v>
      </c>
      <c r="I30">
        <f t="shared" si="4"/>
        <v>0.16208784063131096</v>
      </c>
    </row>
    <row r="31" spans="1:9" x14ac:dyDescent="0.25">
      <c r="B31" s="24" t="s">
        <v>168</v>
      </c>
      <c r="C31">
        <v>18.899999999999999</v>
      </c>
      <c r="D31">
        <v>43.8</v>
      </c>
      <c r="E31">
        <f t="shared" si="0"/>
        <v>0.43799999999999994</v>
      </c>
      <c r="F31">
        <f t="shared" si="1"/>
        <v>146.76818766122818</v>
      </c>
      <c r="G31">
        <f t="shared" si="2"/>
        <v>7.7655125746681586</v>
      </c>
      <c r="H31">
        <f t="shared" si="3"/>
        <v>53.103866698992604</v>
      </c>
      <c r="I31">
        <f t="shared" si="4"/>
        <v>2.8097283967720958</v>
      </c>
    </row>
    <row r="32" spans="1:9" x14ac:dyDescent="0.25">
      <c r="B32" s="24" t="s">
        <v>169</v>
      </c>
      <c r="C32">
        <v>18.899999999999999</v>
      </c>
      <c r="D32">
        <v>7.8</v>
      </c>
      <c r="E32">
        <f t="shared" si="0"/>
        <v>7.8E-2</v>
      </c>
      <c r="F32">
        <f t="shared" si="1"/>
        <v>26.136800542410501</v>
      </c>
      <c r="G32">
        <f t="shared" si="2"/>
        <v>1.3828994995984394</v>
      </c>
      <c r="H32">
        <f t="shared" si="3"/>
        <v>9.4568529737932039</v>
      </c>
      <c r="I32">
        <f t="shared" si="4"/>
        <v>0.50036259120598969</v>
      </c>
    </row>
    <row r="33" spans="1:9" x14ac:dyDescent="0.25">
      <c r="B33" s="24" t="s">
        <v>170</v>
      </c>
      <c r="C33">
        <v>16.7</v>
      </c>
      <c r="D33">
        <v>0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25">
      <c r="B34" s="24" t="s">
        <v>171</v>
      </c>
      <c r="C34">
        <v>18.600000000000001</v>
      </c>
      <c r="D34"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B35" s="24" t="s">
        <v>172</v>
      </c>
      <c r="C35">
        <v>18.3</v>
      </c>
      <c r="D35">
        <v>0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25">
      <c r="B36" s="24" t="s">
        <v>173</v>
      </c>
      <c r="C36">
        <v>19.7</v>
      </c>
      <c r="D36">
        <v>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x14ac:dyDescent="0.25">
      <c r="B37" s="24" t="s">
        <v>174</v>
      </c>
      <c r="C37">
        <v>21.5</v>
      </c>
      <c r="D37">
        <v>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x14ac:dyDescent="0.25">
      <c r="B38" s="24" t="s">
        <v>175</v>
      </c>
      <c r="C38">
        <v>17.100000000000001</v>
      </c>
      <c r="D38">
        <v>4.7</v>
      </c>
      <c r="E38">
        <f t="shared" si="0"/>
        <v>4.7E-2</v>
      </c>
      <c r="F38">
        <f t="shared" si="1"/>
        <v>15.749097762734532</v>
      </c>
      <c r="G38">
        <f t="shared" si="2"/>
        <v>0.92099986916576204</v>
      </c>
      <c r="H38">
        <f t="shared" si="3"/>
        <v>5.698360125234367</v>
      </c>
      <c r="I38">
        <f t="shared" si="4"/>
        <v>0.33323743422423197</v>
      </c>
    </row>
    <row r="39" spans="1:9" x14ac:dyDescent="0.25">
      <c r="B39" s="24" t="s">
        <v>176</v>
      </c>
      <c r="C39">
        <v>18.899999999999999</v>
      </c>
      <c r="D39">
        <v>6.3</v>
      </c>
      <c r="E39">
        <f t="shared" si="0"/>
        <v>6.3E-2</v>
      </c>
      <c r="F39">
        <f t="shared" si="1"/>
        <v>21.110492745793096</v>
      </c>
      <c r="G39">
        <f t="shared" si="2"/>
        <v>1.116957288137201</v>
      </c>
      <c r="H39">
        <f t="shared" si="3"/>
        <v>7.6382274019098961</v>
      </c>
      <c r="I39">
        <f t="shared" si="4"/>
        <v>0.40413901597406859</v>
      </c>
    </row>
    <row r="40" spans="1:9" x14ac:dyDescent="0.25">
      <c r="B40" s="24" t="s">
        <v>177</v>
      </c>
      <c r="C40">
        <v>15.5</v>
      </c>
      <c r="D40">
        <v>4.7</v>
      </c>
      <c r="E40">
        <f t="shared" si="0"/>
        <v>4.7E-2</v>
      </c>
      <c r="F40">
        <f t="shared" si="1"/>
        <v>15.749097762734532</v>
      </c>
      <c r="G40">
        <f t="shared" si="2"/>
        <v>1.016070823402228</v>
      </c>
      <c r="H40">
        <f t="shared" si="3"/>
        <v>5.698360125234367</v>
      </c>
      <c r="I40">
        <f t="shared" si="4"/>
        <v>0.36763613711189463</v>
      </c>
    </row>
    <row r="41" spans="1:9" x14ac:dyDescent="0.25">
      <c r="B41" s="24" t="s">
        <v>178</v>
      </c>
      <c r="C41">
        <v>18.7</v>
      </c>
      <c r="D41">
        <v>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B42" s="24" t="s">
        <v>179</v>
      </c>
      <c r="C42">
        <v>19.100000000000001</v>
      </c>
      <c r="D42">
        <v>0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1:9" ht="15.75" thickBot="1" x14ac:dyDescent="0.3"/>
    <row r="44" spans="1:9" ht="15.75" thickBot="1" x14ac:dyDescent="0.3">
      <c r="A44" s="25" t="s">
        <v>180</v>
      </c>
      <c r="B44" s="25"/>
      <c r="C44" s="25" t="s">
        <v>181</v>
      </c>
      <c r="D44" s="25" t="s">
        <v>182</v>
      </c>
    </row>
    <row r="45" spans="1:9" ht="15.75" thickBot="1" x14ac:dyDescent="0.3">
      <c r="A45" s="25"/>
      <c r="B45" s="25" t="s">
        <v>183</v>
      </c>
      <c r="C45" s="25">
        <f>SUM(D27:D33)</f>
        <v>84.399999999999991</v>
      </c>
      <c r="D45" s="25">
        <f>SUM(G27:G33)</f>
        <v>15.005981190287127</v>
      </c>
    </row>
    <row r="46" spans="1:9" ht="15.75" thickBot="1" x14ac:dyDescent="0.3">
      <c r="A46" s="25"/>
      <c r="B46" s="25" t="s">
        <v>184</v>
      </c>
      <c r="C46" s="25">
        <f>SUM(D34:D35)</f>
        <v>0</v>
      </c>
      <c r="D46" s="25">
        <f>SUM(G34:G35)</f>
        <v>0</v>
      </c>
    </row>
    <row r="47" spans="1:9" ht="15.75" thickBot="1" x14ac:dyDescent="0.3">
      <c r="A47" s="25"/>
      <c r="B47" s="25" t="s">
        <v>185</v>
      </c>
      <c r="C47" s="25">
        <f>SUM(D36:D42)</f>
        <v>15.7</v>
      </c>
      <c r="D47" s="25">
        <f>SUM(G36:G42)</f>
        <v>3.0540279807051913</v>
      </c>
    </row>
    <row r="48" spans="1:9" ht="15.75" thickBot="1" x14ac:dyDescent="0.3">
      <c r="A48" s="25" t="s">
        <v>18</v>
      </c>
      <c r="B48" s="25"/>
      <c r="C48" s="25">
        <f>SUM(C45:C47)</f>
        <v>100.1</v>
      </c>
      <c r="D48" s="25">
        <f>SUM(D45:D47)</f>
        <v>18.060009170992316</v>
      </c>
    </row>
    <row r="49" spans="1:7" ht="15.75" thickBot="1" x14ac:dyDescent="0.3"/>
    <row r="50" spans="1:7" ht="15.75" thickBot="1" x14ac:dyDescent="0.3">
      <c r="A50" s="25" t="s">
        <v>186</v>
      </c>
      <c r="B50" s="25"/>
      <c r="C50" s="25" t="s">
        <v>181</v>
      </c>
      <c r="D50" s="25" t="s">
        <v>182</v>
      </c>
    </row>
    <row r="51" spans="1:7" ht="15.75" thickBot="1" x14ac:dyDescent="0.3">
      <c r="A51" s="25"/>
      <c r="B51" s="25" t="s">
        <v>183</v>
      </c>
      <c r="C51" s="25">
        <f>SUM(D27:D33)</f>
        <v>84.399999999999991</v>
      </c>
      <c r="D51" s="25">
        <f>SUM(I27:I33)</f>
        <v>5.4294846690888789</v>
      </c>
    </row>
    <row r="52" spans="1:7" ht="15.75" thickBot="1" x14ac:dyDescent="0.3">
      <c r="A52" s="25"/>
      <c r="B52" s="25" t="s">
        <v>184</v>
      </c>
      <c r="C52" s="25">
        <f>SUM(D34:D35)</f>
        <v>0</v>
      </c>
      <c r="D52" s="25">
        <f>SUM(I34:I35)</f>
        <v>0</v>
      </c>
    </row>
    <row r="53" spans="1:7" ht="15.75" thickBot="1" x14ac:dyDescent="0.3">
      <c r="A53" s="25"/>
      <c r="B53" s="25" t="s">
        <v>185</v>
      </c>
      <c r="C53" s="25">
        <f>SUM(D35:D42)</f>
        <v>15.7</v>
      </c>
      <c r="D53" s="25">
        <f>SUM(I36:I42)</f>
        <v>1.1050125873101952</v>
      </c>
    </row>
    <row r="54" spans="1:7" ht="15.75" thickBot="1" x14ac:dyDescent="0.3">
      <c r="A54" s="25" t="s">
        <v>18</v>
      </c>
      <c r="B54" s="25"/>
      <c r="C54" s="25">
        <f>SUM(C51:C53)</f>
        <v>100.1</v>
      </c>
      <c r="D54" s="25">
        <f>SUM(D51:D53)</f>
        <v>6.5344972563990744</v>
      </c>
    </row>
    <row r="56" spans="1:7" x14ac:dyDescent="0.25">
      <c r="A56" s="8" t="s">
        <v>187</v>
      </c>
    </row>
    <row r="57" spans="1:7" x14ac:dyDescent="0.25">
      <c r="A57" s="8" t="s">
        <v>188</v>
      </c>
      <c r="B57" s="21">
        <f>'Data herd'!E83</f>
        <v>164.92807742282122</v>
      </c>
    </row>
    <row r="58" spans="1:7" x14ac:dyDescent="0.25">
      <c r="C58" t="s">
        <v>159</v>
      </c>
      <c r="D58" t="s">
        <v>160</v>
      </c>
      <c r="E58" t="s">
        <v>189</v>
      </c>
      <c r="G58" t="s">
        <v>190</v>
      </c>
    </row>
    <row r="59" spans="1:7" x14ac:dyDescent="0.25">
      <c r="B59" s="24" t="s">
        <v>164</v>
      </c>
      <c r="C59">
        <v>18.7</v>
      </c>
      <c r="D59">
        <v>7</v>
      </c>
      <c r="E59">
        <f t="shared" ref="E59:E74" si="5">D59/100</f>
        <v>7.0000000000000007E-2</v>
      </c>
      <c r="F59">
        <f>$B$57*E59</f>
        <v>11.544965419597487</v>
      </c>
      <c r="G59">
        <f>F59/C59</f>
        <v>0.61737782992499934</v>
      </c>
    </row>
    <row r="60" spans="1:7" x14ac:dyDescent="0.25">
      <c r="B60" s="24" t="s">
        <v>191</v>
      </c>
      <c r="C60">
        <f>(C63+C59)/2</f>
        <v>18.799999999999997</v>
      </c>
      <c r="D60">
        <v>22.5</v>
      </c>
      <c r="E60">
        <f t="shared" si="5"/>
        <v>0.22500000000000001</v>
      </c>
      <c r="F60">
        <f t="shared" ref="F60:F74" si="6">$B$57*E60</f>
        <v>37.108817420134777</v>
      </c>
      <c r="G60">
        <f t="shared" ref="G60:G74" si="7">F60/C60</f>
        <v>1.9738732670284458</v>
      </c>
    </row>
    <row r="61" spans="1:7" x14ac:dyDescent="0.25">
      <c r="B61" s="24" t="s">
        <v>192</v>
      </c>
      <c r="C61">
        <v>18.5</v>
      </c>
      <c r="D61">
        <v>0.8</v>
      </c>
      <c r="E61">
        <f t="shared" si="5"/>
        <v>8.0000000000000002E-3</v>
      </c>
      <c r="F61">
        <f t="shared" si="6"/>
        <v>1.3194246193825698</v>
      </c>
      <c r="G61">
        <f t="shared" si="7"/>
        <v>7.1320249696355129E-2</v>
      </c>
    </row>
    <row r="62" spans="1:7" x14ac:dyDescent="0.25">
      <c r="B62" s="24" t="s">
        <v>193</v>
      </c>
      <c r="C62">
        <f>(C63+C61)/2</f>
        <v>18.7</v>
      </c>
      <c r="D62">
        <v>2.5</v>
      </c>
      <c r="E62">
        <f t="shared" si="5"/>
        <v>2.5000000000000001E-2</v>
      </c>
      <c r="F62">
        <f t="shared" si="6"/>
        <v>4.1232019355705303</v>
      </c>
      <c r="G62">
        <f t="shared" si="7"/>
        <v>0.22049208211607116</v>
      </c>
    </row>
    <row r="63" spans="1:7" x14ac:dyDescent="0.25">
      <c r="B63" s="24" t="s">
        <v>168</v>
      </c>
      <c r="C63">
        <v>18.899999999999999</v>
      </c>
      <c r="D63">
        <v>43.8</v>
      </c>
      <c r="E63">
        <f t="shared" si="5"/>
        <v>0.43799999999999994</v>
      </c>
      <c r="F63">
        <f t="shared" si="6"/>
        <v>72.23849791119568</v>
      </c>
      <c r="G63">
        <f t="shared" si="7"/>
        <v>3.8221427466241105</v>
      </c>
    </row>
    <row r="64" spans="1:7" x14ac:dyDescent="0.25">
      <c r="B64" s="24" t="s">
        <v>194</v>
      </c>
      <c r="C64">
        <v>18.899999999999999</v>
      </c>
      <c r="D64">
        <v>7.8</v>
      </c>
      <c r="E64">
        <f t="shared" si="5"/>
        <v>7.8E-2</v>
      </c>
      <c r="F64">
        <f t="shared" si="6"/>
        <v>12.864390038980055</v>
      </c>
      <c r="G64">
        <f t="shared" si="7"/>
        <v>0.68065555761799235</v>
      </c>
    </row>
    <row r="65" spans="1:7" x14ac:dyDescent="0.25">
      <c r="B65" s="24" t="s">
        <v>170</v>
      </c>
      <c r="C65">
        <v>16.7</v>
      </c>
      <c r="D65">
        <v>0</v>
      </c>
      <c r="E65">
        <f t="shared" si="5"/>
        <v>0</v>
      </c>
      <c r="F65">
        <f t="shared" si="6"/>
        <v>0</v>
      </c>
      <c r="G65">
        <f t="shared" si="7"/>
        <v>0</v>
      </c>
    </row>
    <row r="66" spans="1:7" x14ac:dyDescent="0.25">
      <c r="B66" s="24" t="s">
        <v>171</v>
      </c>
      <c r="C66">
        <v>18.600000000000001</v>
      </c>
      <c r="D66">
        <v>0</v>
      </c>
      <c r="E66">
        <f t="shared" si="5"/>
        <v>0</v>
      </c>
      <c r="F66">
        <f t="shared" si="6"/>
        <v>0</v>
      </c>
      <c r="G66">
        <f t="shared" si="7"/>
        <v>0</v>
      </c>
    </row>
    <row r="67" spans="1:7" x14ac:dyDescent="0.25">
      <c r="B67" s="24" t="s">
        <v>184</v>
      </c>
      <c r="C67">
        <v>18.3</v>
      </c>
      <c r="D67">
        <v>0</v>
      </c>
      <c r="E67">
        <f t="shared" si="5"/>
        <v>0</v>
      </c>
      <c r="F67">
        <f t="shared" si="6"/>
        <v>0</v>
      </c>
      <c r="G67">
        <f t="shared" si="7"/>
        <v>0</v>
      </c>
    </row>
    <row r="68" spans="1:7" x14ac:dyDescent="0.25">
      <c r="B68" s="24" t="s">
        <v>173</v>
      </c>
      <c r="C68">
        <v>19.7</v>
      </c>
      <c r="D68">
        <v>0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25">
      <c r="B69" s="24" t="s">
        <v>174</v>
      </c>
      <c r="C69">
        <v>21.5</v>
      </c>
      <c r="D69"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25">
      <c r="B70" s="24" t="s">
        <v>175</v>
      </c>
      <c r="C70">
        <v>17.100000000000001</v>
      </c>
      <c r="D70">
        <v>4.7</v>
      </c>
      <c r="E70">
        <f t="shared" si="5"/>
        <v>4.7E-2</v>
      </c>
      <c r="F70">
        <f t="shared" si="6"/>
        <v>7.7516196388725973</v>
      </c>
      <c r="G70">
        <f t="shared" si="7"/>
        <v>0.45331108999254949</v>
      </c>
    </row>
    <row r="71" spans="1:7" x14ac:dyDescent="0.25">
      <c r="B71" s="24" t="s">
        <v>195</v>
      </c>
      <c r="C71">
        <v>18.899999999999999</v>
      </c>
      <c r="D71">
        <v>6.3</v>
      </c>
      <c r="E71">
        <f t="shared" si="5"/>
        <v>6.3E-2</v>
      </c>
      <c r="F71">
        <f t="shared" si="6"/>
        <v>10.390468877637737</v>
      </c>
      <c r="G71">
        <f t="shared" si="7"/>
        <v>0.54976025807607076</v>
      </c>
    </row>
    <row r="72" spans="1:7" x14ac:dyDescent="0.25">
      <c r="B72" s="24" t="s">
        <v>196</v>
      </c>
      <c r="C72">
        <v>15.5</v>
      </c>
      <c r="D72">
        <v>4.7</v>
      </c>
      <c r="E72">
        <f t="shared" si="5"/>
        <v>4.7E-2</v>
      </c>
      <c r="F72">
        <f t="shared" si="6"/>
        <v>7.7516196388725973</v>
      </c>
      <c r="G72">
        <f t="shared" si="7"/>
        <v>0.50010449283049019</v>
      </c>
    </row>
    <row r="73" spans="1:7" x14ac:dyDescent="0.25">
      <c r="B73" s="24" t="s">
        <v>178</v>
      </c>
      <c r="C73">
        <v>18.7</v>
      </c>
      <c r="D73"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1:7" x14ac:dyDescent="0.25">
      <c r="B74" s="24" t="s">
        <v>197</v>
      </c>
      <c r="C74">
        <v>19.100000000000001</v>
      </c>
      <c r="D74"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1:7" ht="15.75" thickBot="1" x14ac:dyDescent="0.3">
      <c r="C75" s="26"/>
      <c r="D75" s="26"/>
    </row>
    <row r="76" spans="1:7" ht="15.75" thickBot="1" x14ac:dyDescent="0.3">
      <c r="A76" s="25" t="s">
        <v>198</v>
      </c>
      <c r="B76" s="25"/>
      <c r="C76" s="25" t="s">
        <v>181</v>
      </c>
      <c r="D76" s="25" t="s">
        <v>182</v>
      </c>
    </row>
    <row r="77" spans="1:7" ht="15.75" thickBot="1" x14ac:dyDescent="0.3">
      <c r="A77" s="25"/>
      <c r="B77" s="25" t="s">
        <v>183</v>
      </c>
      <c r="C77" s="25">
        <f>SUM(D59:D65)</f>
        <v>84.399999999999991</v>
      </c>
      <c r="D77" s="25">
        <f>SUM(G59:G65)</f>
        <v>7.3858617330079745</v>
      </c>
    </row>
    <row r="78" spans="1:7" ht="15.75" thickBot="1" x14ac:dyDescent="0.3">
      <c r="A78" s="25"/>
      <c r="B78" s="25" t="s">
        <v>184</v>
      </c>
      <c r="C78" s="25">
        <f>SUM(D66:D67)</f>
        <v>0</v>
      </c>
      <c r="D78" s="25">
        <f>SUM(G66:G67)</f>
        <v>0</v>
      </c>
    </row>
    <row r="79" spans="1:7" ht="15.75" thickBot="1" x14ac:dyDescent="0.3">
      <c r="A79" s="25"/>
      <c r="B79" s="25" t="s">
        <v>185</v>
      </c>
      <c r="C79" s="25">
        <f>SUM(D68:D74)</f>
        <v>15.7</v>
      </c>
      <c r="D79" s="25">
        <f>SUM(G68:G74)</f>
        <v>1.5031758408991105</v>
      </c>
    </row>
    <row r="80" spans="1:7" ht="15.75" thickBot="1" x14ac:dyDescent="0.3">
      <c r="A80" s="25" t="s">
        <v>18</v>
      </c>
      <c r="B80" s="25"/>
      <c r="C80" s="25">
        <f>SUM(C77:C79)</f>
        <v>100.1</v>
      </c>
      <c r="D80" s="25">
        <f>SUM(D77:D79)</f>
        <v>8.8890375739070855</v>
      </c>
    </row>
    <row r="82" spans="1:7" x14ac:dyDescent="0.25">
      <c r="A82" s="8" t="s">
        <v>3</v>
      </c>
    </row>
    <row r="83" spans="1:7" x14ac:dyDescent="0.25">
      <c r="A83" s="8" t="s">
        <v>199</v>
      </c>
      <c r="B83" s="27">
        <f>'Data herd'!E84-C103</f>
        <v>55.227767077717587</v>
      </c>
    </row>
    <row r="84" spans="1:7" x14ac:dyDescent="0.25">
      <c r="A84" s="8" t="s">
        <v>200</v>
      </c>
      <c r="B84" s="27">
        <f>'Data herd'!E84</f>
        <v>78.727767077717587</v>
      </c>
    </row>
    <row r="85" spans="1:7" x14ac:dyDescent="0.25">
      <c r="C85" t="s">
        <v>159</v>
      </c>
      <c r="D85" t="s">
        <v>160</v>
      </c>
      <c r="E85" t="s">
        <v>189</v>
      </c>
      <c r="G85" t="s">
        <v>190</v>
      </c>
    </row>
    <row r="86" spans="1:7" x14ac:dyDescent="0.25">
      <c r="B86" s="24" t="s">
        <v>164</v>
      </c>
      <c r="C86">
        <v>18.7</v>
      </c>
      <c r="D86">
        <v>47</v>
      </c>
      <c r="E86">
        <f>D86/100</f>
        <v>0.47</v>
      </c>
      <c r="F86">
        <f>$B$84*E86</f>
        <v>37.002050526527263</v>
      </c>
      <c r="G86">
        <f>F86/C86</f>
        <v>1.9787192794934365</v>
      </c>
    </row>
    <row r="87" spans="1:7" x14ac:dyDescent="0.25">
      <c r="B87" s="24" t="s">
        <v>191</v>
      </c>
      <c r="C87">
        <f>(C90+C86)/2</f>
        <v>18.799999999999997</v>
      </c>
      <c r="D87">
        <v>12.8</v>
      </c>
      <c r="E87">
        <f t="shared" ref="E87:E101" si="8">D87/100</f>
        <v>0.128</v>
      </c>
      <c r="F87">
        <f t="shared" ref="F87:F101" si="9">$B$84*E87</f>
        <v>10.077154185947851</v>
      </c>
      <c r="G87">
        <f t="shared" ref="G87:G101" si="10">F87/C87</f>
        <v>0.53601883967807729</v>
      </c>
    </row>
    <row r="88" spans="1:7" x14ac:dyDescent="0.25">
      <c r="B88" s="24" t="s">
        <v>192</v>
      </c>
      <c r="C88">
        <v>18.5</v>
      </c>
      <c r="D88">
        <v>0.5</v>
      </c>
      <c r="E88">
        <f t="shared" si="8"/>
        <v>5.0000000000000001E-3</v>
      </c>
      <c r="F88">
        <f t="shared" si="9"/>
        <v>0.39363883538858796</v>
      </c>
      <c r="G88">
        <f t="shared" si="10"/>
        <v>2.127777488586962E-2</v>
      </c>
    </row>
    <row r="89" spans="1:7" x14ac:dyDescent="0.25">
      <c r="B89" s="24" t="s">
        <v>193</v>
      </c>
      <c r="C89">
        <f>(C90+C88)/2</f>
        <v>18.7</v>
      </c>
      <c r="D89">
        <v>1.4</v>
      </c>
      <c r="E89">
        <f t="shared" si="8"/>
        <v>1.3999999999999999E-2</v>
      </c>
      <c r="F89">
        <f t="shared" si="9"/>
        <v>1.102188739088046</v>
      </c>
      <c r="G89">
        <f t="shared" si="10"/>
        <v>5.8940574282783216E-2</v>
      </c>
    </row>
    <row r="90" spans="1:7" x14ac:dyDescent="0.25">
      <c r="B90" s="24" t="s">
        <v>168</v>
      </c>
      <c r="C90">
        <v>18.899999999999999</v>
      </c>
      <c r="D90">
        <v>24.9</v>
      </c>
      <c r="E90">
        <f t="shared" si="8"/>
        <v>0.249</v>
      </c>
      <c r="F90">
        <f t="shared" si="9"/>
        <v>19.603214002351677</v>
      </c>
      <c r="G90">
        <f t="shared" si="10"/>
        <v>1.0372070900715173</v>
      </c>
    </row>
    <row r="91" spans="1:7" x14ac:dyDescent="0.25">
      <c r="B91" s="24" t="s">
        <v>194</v>
      </c>
      <c r="C91">
        <v>18.899999999999999</v>
      </c>
      <c r="D91">
        <v>4.5</v>
      </c>
      <c r="E91">
        <f t="shared" si="8"/>
        <v>4.4999999999999998E-2</v>
      </c>
      <c r="F91">
        <f t="shared" si="9"/>
        <v>3.5427495184972915</v>
      </c>
      <c r="G91">
        <f t="shared" si="10"/>
        <v>0.18744706447075618</v>
      </c>
    </row>
    <row r="92" spans="1:7" x14ac:dyDescent="0.25">
      <c r="B92" s="24" t="s">
        <v>170</v>
      </c>
      <c r="C92">
        <v>16.7</v>
      </c>
      <c r="D92">
        <v>0</v>
      </c>
      <c r="E92">
        <f t="shared" si="8"/>
        <v>0</v>
      </c>
      <c r="F92">
        <f t="shared" si="9"/>
        <v>0</v>
      </c>
      <c r="G92">
        <f t="shared" si="10"/>
        <v>0</v>
      </c>
    </row>
    <row r="93" spans="1:7" x14ac:dyDescent="0.25">
      <c r="B93" s="24" t="s">
        <v>171</v>
      </c>
      <c r="C93">
        <v>18.600000000000001</v>
      </c>
      <c r="D93">
        <v>0</v>
      </c>
      <c r="E93">
        <f t="shared" si="8"/>
        <v>0</v>
      </c>
      <c r="F93">
        <f t="shared" si="9"/>
        <v>0</v>
      </c>
      <c r="G93">
        <f t="shared" si="10"/>
        <v>0</v>
      </c>
    </row>
    <row r="94" spans="1:7" x14ac:dyDescent="0.25">
      <c r="B94" s="24" t="s">
        <v>184</v>
      </c>
      <c r="C94">
        <v>18.3</v>
      </c>
      <c r="D94">
        <v>5</v>
      </c>
      <c r="E94">
        <f t="shared" si="8"/>
        <v>0.05</v>
      </c>
      <c r="F94">
        <f t="shared" si="9"/>
        <v>3.9363883538858797</v>
      </c>
      <c r="G94">
        <f t="shared" si="10"/>
        <v>0.21510318873693332</v>
      </c>
    </row>
    <row r="95" spans="1:7" x14ac:dyDescent="0.25">
      <c r="B95" s="24" t="s">
        <v>173</v>
      </c>
      <c r="C95">
        <v>19.7</v>
      </c>
      <c r="D95">
        <v>0</v>
      </c>
      <c r="E95">
        <f t="shared" si="8"/>
        <v>0</v>
      </c>
      <c r="F95">
        <f t="shared" si="9"/>
        <v>0</v>
      </c>
      <c r="G95">
        <f t="shared" si="10"/>
        <v>0</v>
      </c>
    </row>
    <row r="96" spans="1:7" x14ac:dyDescent="0.25">
      <c r="B96" s="24" t="s">
        <v>174</v>
      </c>
      <c r="C96">
        <v>21.5</v>
      </c>
      <c r="D96"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7" x14ac:dyDescent="0.25">
      <c r="B97" s="24" t="s">
        <v>175</v>
      </c>
      <c r="C97">
        <v>17.100000000000001</v>
      </c>
      <c r="D97">
        <v>2.7</v>
      </c>
      <c r="E97">
        <f t="shared" si="8"/>
        <v>2.7000000000000003E-2</v>
      </c>
      <c r="F97">
        <f t="shared" si="9"/>
        <v>2.125649711098375</v>
      </c>
      <c r="G97">
        <f t="shared" si="10"/>
        <v>0.12430700064902776</v>
      </c>
    </row>
    <row r="98" spans="1:7" x14ac:dyDescent="0.25">
      <c r="B98" s="24" t="s">
        <v>195</v>
      </c>
      <c r="C98">
        <v>18.899999999999999</v>
      </c>
      <c r="D98">
        <v>3.6</v>
      </c>
      <c r="E98">
        <f t="shared" si="8"/>
        <v>3.6000000000000004E-2</v>
      </c>
      <c r="F98">
        <f t="shared" si="9"/>
        <v>2.8341996147978334</v>
      </c>
      <c r="G98">
        <f t="shared" si="10"/>
        <v>0.14995765157660496</v>
      </c>
    </row>
    <row r="99" spans="1:7" x14ac:dyDescent="0.25">
      <c r="B99" s="24" t="s">
        <v>196</v>
      </c>
      <c r="C99">
        <v>15.5</v>
      </c>
      <c r="D99">
        <v>2.7</v>
      </c>
      <c r="E99">
        <f t="shared" si="8"/>
        <v>2.7000000000000003E-2</v>
      </c>
      <c r="F99">
        <f t="shared" si="9"/>
        <v>2.125649711098375</v>
      </c>
      <c r="G99">
        <f t="shared" si="10"/>
        <v>0.13713869103860485</v>
      </c>
    </row>
    <row r="100" spans="1:7" x14ac:dyDescent="0.25">
      <c r="B100" s="24" t="s">
        <v>178</v>
      </c>
      <c r="C100">
        <v>18.7</v>
      </c>
      <c r="D100">
        <v>0</v>
      </c>
      <c r="E100">
        <f t="shared" si="8"/>
        <v>0</v>
      </c>
      <c r="F100">
        <f t="shared" si="9"/>
        <v>0</v>
      </c>
      <c r="G100">
        <f t="shared" si="10"/>
        <v>0</v>
      </c>
    </row>
    <row r="101" spans="1:7" x14ac:dyDescent="0.25">
      <c r="B101" s="24" t="s">
        <v>197</v>
      </c>
      <c r="C101">
        <v>19.100000000000001</v>
      </c>
      <c r="D101">
        <v>0</v>
      </c>
      <c r="E101">
        <f t="shared" si="8"/>
        <v>0</v>
      </c>
      <c r="F101">
        <f t="shared" si="9"/>
        <v>0</v>
      </c>
      <c r="G101">
        <f t="shared" si="10"/>
        <v>0</v>
      </c>
    </row>
    <row r="102" spans="1:7" x14ac:dyDescent="0.25">
      <c r="B102" s="24"/>
    </row>
    <row r="103" spans="1:7" x14ac:dyDescent="0.25">
      <c r="B103" s="24" t="s">
        <v>201</v>
      </c>
      <c r="C103">
        <v>23.5</v>
      </c>
      <c r="D103">
        <f>(C103*100)/B83</f>
        <v>42.551059446112212</v>
      </c>
      <c r="E103">
        <f>D103/100</f>
        <v>0.4255105944611221</v>
      </c>
      <c r="F103">
        <f>B84*E103</f>
        <v>33.499498969836367</v>
      </c>
      <c r="G103">
        <f>F103/C103</f>
        <v>1.4255105944611219</v>
      </c>
    </row>
    <row r="104" spans="1:7" ht="15.75" thickBot="1" x14ac:dyDescent="0.3"/>
    <row r="105" spans="1:7" ht="15.75" thickBot="1" x14ac:dyDescent="0.3">
      <c r="A105" s="25" t="s">
        <v>3</v>
      </c>
      <c r="B105" s="25"/>
      <c r="C105" s="25" t="s">
        <v>181</v>
      </c>
      <c r="D105" s="25" t="s">
        <v>182</v>
      </c>
    </row>
    <row r="106" spans="1:7" ht="15.75" thickBot="1" x14ac:dyDescent="0.3">
      <c r="A106" s="25"/>
      <c r="B106" s="25" t="s">
        <v>183</v>
      </c>
      <c r="C106" s="25"/>
      <c r="D106" s="25">
        <f>SUM(G86:G92)</f>
        <v>3.8196106228824402</v>
      </c>
    </row>
    <row r="107" spans="1:7" ht="15.75" thickBot="1" x14ac:dyDescent="0.3">
      <c r="A107" s="25"/>
      <c r="B107" s="25" t="s">
        <v>184</v>
      </c>
      <c r="C107" s="25"/>
      <c r="D107" s="25">
        <f>SUM(G93:G94)</f>
        <v>0.21510318873693332</v>
      </c>
    </row>
    <row r="108" spans="1:7" ht="15.75" thickBot="1" x14ac:dyDescent="0.3">
      <c r="A108" s="25"/>
      <c r="B108" s="25" t="s">
        <v>185</v>
      </c>
      <c r="C108" s="25"/>
      <c r="D108" s="25">
        <f>SUM(G95:G101)</f>
        <v>0.41140334326423755</v>
      </c>
    </row>
    <row r="109" spans="1:7" ht="15.75" thickBot="1" x14ac:dyDescent="0.3">
      <c r="A109" s="25"/>
      <c r="B109" s="25" t="s">
        <v>201</v>
      </c>
      <c r="C109" s="25"/>
      <c r="D109" s="25">
        <f>G103</f>
        <v>1.4255105944611219</v>
      </c>
    </row>
    <row r="110" spans="1:7" ht="15.75" thickBot="1" x14ac:dyDescent="0.3">
      <c r="A110" s="25" t="s">
        <v>18</v>
      </c>
      <c r="B110" s="25"/>
      <c r="C110" s="25"/>
      <c r="D110" s="25">
        <f>SUM(D106:D109)</f>
        <v>5.8716277493447331</v>
      </c>
    </row>
    <row r="116" spans="1:9" x14ac:dyDescent="0.25">
      <c r="A116" s="8" t="s">
        <v>202</v>
      </c>
    </row>
    <row r="117" spans="1:9" x14ac:dyDescent="0.25">
      <c r="A117" s="21" t="s">
        <v>203</v>
      </c>
      <c r="B117" s="21">
        <f>'[1]Data herd'!E83</f>
        <v>179.22110359768232</v>
      </c>
    </row>
    <row r="118" spans="1:9" x14ac:dyDescent="0.25">
      <c r="A118" s="21" t="s">
        <v>204</v>
      </c>
      <c r="B118" s="21">
        <f>'[1]Data herd'!E84</f>
        <v>76.060095944260055</v>
      </c>
    </row>
    <row r="119" spans="1:9" x14ac:dyDescent="0.25">
      <c r="C119" t="s">
        <v>159</v>
      </c>
      <c r="D119" t="s">
        <v>160</v>
      </c>
      <c r="E119" t="s">
        <v>189</v>
      </c>
      <c r="G119" t="s">
        <v>205</v>
      </c>
      <c r="I119" t="s">
        <v>206</v>
      </c>
    </row>
    <row r="120" spans="1:9" x14ac:dyDescent="0.25">
      <c r="B120" s="24" t="s">
        <v>164</v>
      </c>
      <c r="C120">
        <v>18.7</v>
      </c>
      <c r="D120">
        <v>7</v>
      </c>
      <c r="E120">
        <f t="shared" ref="E120:E135" si="11">D120/100</f>
        <v>7.0000000000000007E-2</v>
      </c>
      <c r="F120">
        <f>$B$117*E120</f>
        <v>12.545477251837763</v>
      </c>
      <c r="G120">
        <f>F120/C120</f>
        <v>0.6708811364619125</v>
      </c>
      <c r="H120">
        <f>$B$118*E120</f>
        <v>5.3242067160982041</v>
      </c>
      <c r="I120">
        <f>H120/C120</f>
        <v>0.28471693668974352</v>
      </c>
    </row>
    <row r="121" spans="1:9" x14ac:dyDescent="0.25">
      <c r="B121" s="24" t="s">
        <v>191</v>
      </c>
      <c r="C121">
        <f>(C124+C120)/2</f>
        <v>18.799999999999997</v>
      </c>
      <c r="D121">
        <v>22.5</v>
      </c>
      <c r="E121">
        <f t="shared" si="11"/>
        <v>0.22500000000000001</v>
      </c>
      <c r="F121">
        <f t="shared" ref="F121:F135" si="12">$B$117*E121</f>
        <v>40.324748309478522</v>
      </c>
      <c r="G121">
        <f t="shared" ref="G121:G135" si="13">F121/C121</f>
        <v>2.144933420716943</v>
      </c>
      <c r="H121">
        <f t="shared" ref="H121:H135" si="14">$B$118*E121</f>
        <v>17.113521587458514</v>
      </c>
      <c r="I121">
        <f t="shared" ref="I121:I135" si="15">H121/C121</f>
        <v>0.91029370146055943</v>
      </c>
    </row>
    <row r="122" spans="1:9" x14ac:dyDescent="0.25">
      <c r="B122" s="24" t="s">
        <v>192</v>
      </c>
      <c r="C122">
        <v>18.5</v>
      </c>
      <c r="D122">
        <v>0.8</v>
      </c>
      <c r="E122">
        <f t="shared" si="11"/>
        <v>8.0000000000000002E-3</v>
      </c>
      <c r="F122">
        <f t="shared" si="12"/>
        <v>1.4337688287814585</v>
      </c>
      <c r="G122">
        <f t="shared" si="13"/>
        <v>7.7501017771970729E-2</v>
      </c>
      <c r="H122">
        <f t="shared" si="14"/>
        <v>0.60848076755408043</v>
      </c>
      <c r="I122">
        <f t="shared" si="15"/>
        <v>3.2890852300220562E-2</v>
      </c>
    </row>
    <row r="123" spans="1:9" x14ac:dyDescent="0.25">
      <c r="B123" s="24" t="s">
        <v>193</v>
      </c>
      <c r="C123">
        <f>(C124+C122)/2</f>
        <v>18.7</v>
      </c>
      <c r="D123">
        <v>2.5</v>
      </c>
      <c r="E123">
        <f t="shared" si="11"/>
        <v>2.5000000000000001E-2</v>
      </c>
      <c r="F123">
        <f t="shared" si="12"/>
        <v>4.4805275899420582</v>
      </c>
      <c r="G123">
        <f t="shared" si="13"/>
        <v>0.23960040587925446</v>
      </c>
      <c r="H123">
        <f t="shared" si="14"/>
        <v>1.9015023986065014</v>
      </c>
      <c r="I123">
        <f t="shared" si="15"/>
        <v>0.10168462024633698</v>
      </c>
    </row>
    <row r="124" spans="1:9" x14ac:dyDescent="0.25">
      <c r="B124" s="24" t="s">
        <v>168</v>
      </c>
      <c r="C124">
        <v>18.899999999999999</v>
      </c>
      <c r="D124">
        <v>43.8</v>
      </c>
      <c r="E124">
        <f t="shared" si="11"/>
        <v>0.43799999999999994</v>
      </c>
      <c r="F124">
        <f t="shared" si="12"/>
        <v>78.498843375784844</v>
      </c>
      <c r="G124">
        <f t="shared" si="13"/>
        <v>4.1533779563907327</v>
      </c>
      <c r="H124">
        <f t="shared" si="14"/>
        <v>33.314322023585902</v>
      </c>
      <c r="I124">
        <f t="shared" si="15"/>
        <v>1.762662540930471</v>
      </c>
    </row>
    <row r="125" spans="1:9" x14ac:dyDescent="0.25">
      <c r="B125" s="24" t="s">
        <v>194</v>
      </c>
      <c r="C125">
        <v>18.899999999999999</v>
      </c>
      <c r="D125">
        <v>7.8</v>
      </c>
      <c r="E125">
        <f t="shared" si="11"/>
        <v>7.8E-2</v>
      </c>
      <c r="F125">
        <f t="shared" si="12"/>
        <v>13.979246080619221</v>
      </c>
      <c r="G125">
        <f t="shared" si="13"/>
        <v>0.73964264976821281</v>
      </c>
      <c r="H125">
        <f t="shared" si="14"/>
        <v>5.932687483652284</v>
      </c>
      <c r="I125">
        <f t="shared" si="15"/>
        <v>0.31389880865885106</v>
      </c>
    </row>
    <row r="126" spans="1:9" x14ac:dyDescent="0.25">
      <c r="B126" s="24" t="s">
        <v>170</v>
      </c>
      <c r="C126">
        <v>16.7</v>
      </c>
      <c r="D126">
        <v>0</v>
      </c>
      <c r="E126">
        <f t="shared" si="11"/>
        <v>0</v>
      </c>
      <c r="F126">
        <f t="shared" si="12"/>
        <v>0</v>
      </c>
      <c r="G126">
        <f t="shared" si="13"/>
        <v>0</v>
      </c>
      <c r="H126">
        <f t="shared" si="14"/>
        <v>0</v>
      </c>
      <c r="I126">
        <f t="shared" si="15"/>
        <v>0</v>
      </c>
    </row>
    <row r="127" spans="1:9" x14ac:dyDescent="0.25">
      <c r="B127" s="24" t="s">
        <v>171</v>
      </c>
      <c r="C127">
        <v>18.600000000000001</v>
      </c>
      <c r="D127">
        <v>0</v>
      </c>
      <c r="E127">
        <f t="shared" si="11"/>
        <v>0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 x14ac:dyDescent="0.25">
      <c r="B128" s="24" t="s">
        <v>184</v>
      </c>
      <c r="C128">
        <v>18.3</v>
      </c>
      <c r="D128">
        <v>0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 x14ac:dyDescent="0.25">
      <c r="B129" s="24" t="s">
        <v>173</v>
      </c>
      <c r="C129">
        <v>19.7</v>
      </c>
      <c r="D129">
        <v>0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 x14ac:dyDescent="0.25">
      <c r="B130" s="24" t="s">
        <v>174</v>
      </c>
      <c r="C130">
        <v>21.5</v>
      </c>
      <c r="D130">
        <v>0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 x14ac:dyDescent="0.25">
      <c r="B131" s="24" t="s">
        <v>175</v>
      </c>
      <c r="C131">
        <v>17.100000000000001</v>
      </c>
      <c r="D131">
        <v>4.7</v>
      </c>
      <c r="E131">
        <f t="shared" si="11"/>
        <v>4.7E-2</v>
      </c>
      <c r="F131">
        <f t="shared" si="12"/>
        <v>8.4233918690910681</v>
      </c>
      <c r="G131">
        <f t="shared" si="13"/>
        <v>0.49259601573631973</v>
      </c>
      <c r="H131">
        <f t="shared" si="14"/>
        <v>3.5748245093802224</v>
      </c>
      <c r="I131">
        <f t="shared" si="15"/>
        <v>0.20905406487603639</v>
      </c>
    </row>
    <row r="132" spans="1:9" x14ac:dyDescent="0.25">
      <c r="B132" s="24" t="s">
        <v>195</v>
      </c>
      <c r="C132">
        <v>18.899999999999999</v>
      </c>
      <c r="D132">
        <v>6.3</v>
      </c>
      <c r="E132">
        <f t="shared" si="11"/>
        <v>6.3E-2</v>
      </c>
      <c r="F132">
        <f t="shared" si="12"/>
        <v>11.290929526653986</v>
      </c>
      <c r="G132">
        <f t="shared" si="13"/>
        <v>0.59740367865894117</v>
      </c>
      <c r="H132">
        <f t="shared" si="14"/>
        <v>4.7917860444883837</v>
      </c>
      <c r="I132">
        <f t="shared" si="15"/>
        <v>0.25353365314753357</v>
      </c>
    </row>
    <row r="133" spans="1:9" x14ac:dyDescent="0.25">
      <c r="B133" s="24" t="s">
        <v>196</v>
      </c>
      <c r="C133">
        <v>15.5</v>
      </c>
      <c r="D133">
        <v>4.7</v>
      </c>
      <c r="E133">
        <f t="shared" si="11"/>
        <v>4.7E-2</v>
      </c>
      <c r="F133">
        <f t="shared" si="12"/>
        <v>8.4233918690910681</v>
      </c>
      <c r="G133">
        <f t="shared" si="13"/>
        <v>0.54344463671555276</v>
      </c>
      <c r="H133">
        <f t="shared" si="14"/>
        <v>3.5748245093802224</v>
      </c>
      <c r="I133">
        <f t="shared" si="15"/>
        <v>0.23063383931485307</v>
      </c>
    </row>
    <row r="134" spans="1:9" x14ac:dyDescent="0.25">
      <c r="B134" s="24" t="s">
        <v>178</v>
      </c>
      <c r="C134">
        <v>18.7</v>
      </c>
      <c r="D134">
        <v>0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 x14ac:dyDescent="0.25">
      <c r="B135" s="24" t="s">
        <v>197</v>
      </c>
      <c r="C135">
        <v>19.100000000000001</v>
      </c>
      <c r="D135">
        <v>0</v>
      </c>
      <c r="E135">
        <f t="shared" si="11"/>
        <v>0</v>
      </c>
      <c r="F135">
        <f t="shared" si="12"/>
        <v>0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1:9" ht="15.75" thickBot="1" x14ac:dyDescent="0.3"/>
    <row r="137" spans="1:9" ht="15.75" thickBot="1" x14ac:dyDescent="0.3">
      <c r="A137" s="25" t="s">
        <v>207</v>
      </c>
      <c r="B137" s="25"/>
      <c r="C137" s="25" t="s">
        <v>181</v>
      </c>
      <c r="D137" s="25" t="s">
        <v>182</v>
      </c>
    </row>
    <row r="138" spans="1:9" ht="15.75" thickBot="1" x14ac:dyDescent="0.3">
      <c r="A138" s="25"/>
      <c r="B138" s="25" t="s">
        <v>183</v>
      </c>
      <c r="C138" s="25">
        <f>SUM(D120:D126)</f>
        <v>84.399999999999991</v>
      </c>
      <c r="D138" s="25">
        <f>SUM(G120:G126)</f>
        <v>8.025936586989026</v>
      </c>
    </row>
    <row r="139" spans="1:9" ht="15.75" thickBot="1" x14ac:dyDescent="0.3">
      <c r="A139" s="25"/>
      <c r="B139" s="25" t="s">
        <v>184</v>
      </c>
      <c r="C139" s="25">
        <f>SUM(D127:D128)</f>
        <v>0</v>
      </c>
      <c r="D139" s="25">
        <f>SUM(G127:G128)</f>
        <v>0</v>
      </c>
    </row>
    <row r="140" spans="1:9" ht="15.75" thickBot="1" x14ac:dyDescent="0.3">
      <c r="A140" s="25"/>
      <c r="B140" s="25" t="s">
        <v>185</v>
      </c>
      <c r="C140" s="25">
        <f>SUM(D129:D135)</f>
        <v>15.7</v>
      </c>
      <c r="D140" s="25">
        <f>SUM(G129:G135)</f>
        <v>1.6334443311108138</v>
      </c>
    </row>
    <row r="141" spans="1:9" ht="15.75" thickBot="1" x14ac:dyDescent="0.3">
      <c r="A141" s="25" t="s">
        <v>18</v>
      </c>
      <c r="B141" s="25"/>
      <c r="C141" s="25">
        <f>SUM(C138:C140)</f>
        <v>100.1</v>
      </c>
      <c r="D141" s="25">
        <f>SUM(D138:D140)</f>
        <v>9.6593809180998402</v>
      </c>
    </row>
    <row r="143" spans="1:9" ht="15.75" thickBot="1" x14ac:dyDescent="0.3"/>
    <row r="144" spans="1:9" ht="15.75" thickBot="1" x14ac:dyDescent="0.3">
      <c r="A144" s="25" t="s">
        <v>208</v>
      </c>
      <c r="B144" s="25"/>
      <c r="C144" s="25" t="s">
        <v>181</v>
      </c>
      <c r="D144" s="25" t="s">
        <v>182</v>
      </c>
    </row>
    <row r="145" spans="1:4" ht="15.75" thickBot="1" x14ac:dyDescent="0.3">
      <c r="A145" s="25"/>
      <c r="B145" s="25" t="s">
        <v>183</v>
      </c>
      <c r="C145" s="25">
        <f>SUM(D120:D126)</f>
        <v>84.399999999999991</v>
      </c>
      <c r="D145" s="25">
        <f>SUM(I120:I126)</f>
        <v>3.4061474602861823</v>
      </c>
    </row>
    <row r="146" spans="1:4" ht="15.75" thickBot="1" x14ac:dyDescent="0.3">
      <c r="A146" s="25"/>
      <c r="B146" s="25" t="s">
        <v>184</v>
      </c>
      <c r="C146" s="25">
        <f>SUM(D127:D128)</f>
        <v>0</v>
      </c>
      <c r="D146" s="25">
        <f>SUM(I127:I128)</f>
        <v>0</v>
      </c>
    </row>
    <row r="147" spans="1:4" ht="15.75" thickBot="1" x14ac:dyDescent="0.3">
      <c r="A147" s="25"/>
      <c r="B147" s="25" t="s">
        <v>185</v>
      </c>
      <c r="C147" s="25">
        <f>SUM(D129:D135)</f>
        <v>15.7</v>
      </c>
      <c r="D147" s="25">
        <f>SUM(I129:I135)</f>
        <v>0.69322155733842306</v>
      </c>
    </row>
    <row r="148" spans="1:4" ht="15.75" thickBot="1" x14ac:dyDescent="0.3">
      <c r="A148" s="25" t="s">
        <v>18</v>
      </c>
      <c r="B148" s="25"/>
      <c r="C148" s="25">
        <f>SUM(C145:C147)</f>
        <v>100.1</v>
      </c>
      <c r="D148" s="25">
        <f>SUM(D145:D147)</f>
        <v>4.0993690176246051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D30" zoomScale="70" zoomScaleNormal="70" workbookViewId="0">
      <selection activeCell="AZ76" sqref="AZ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40" zoomScaleNormal="40"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herd</vt:lpstr>
      <vt:lpstr>Input</vt:lpstr>
      <vt:lpstr>Output</vt:lpstr>
      <vt:lpstr>Import &amp; Export</vt:lpstr>
      <vt:lpstr>Variables calculations</vt:lpstr>
      <vt:lpstr>SEM per week</vt:lpstr>
      <vt:lpstr>SEM per year (Potential)</vt:lpstr>
      <vt:lpstr>SEM Total</vt:lpstr>
      <vt:lpstr>Database Box 1 Adult Cattle</vt:lpstr>
      <vt:lpstr>Database box 2 Calves</vt:lpstr>
      <vt:lpstr>Database box 3 Young Cattle</vt:lpstr>
      <vt:lpstr>Database Country Level</vt:lpstr>
      <vt:lpstr>Database</vt:lpstr>
      <vt:lpstr>Data feed processing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Muscat, Abigail</dc:creator>
  <cp:lastModifiedBy>Muscat, Abigail</cp:lastModifiedBy>
  <dcterms:created xsi:type="dcterms:W3CDTF">2017-12-14T11:11:21Z</dcterms:created>
  <dcterms:modified xsi:type="dcterms:W3CDTF">2018-02-12T17:34:47Z</dcterms:modified>
</cp:coreProperties>
</file>