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musca002\My Documents\MAGIC\WP4 Case study\Sweden\"/>
    </mc:Choice>
  </mc:AlternateContent>
  <bookViews>
    <workbookView xWindow="0" yWindow="0" windowWidth="21570" windowHeight="6855" activeTab="2"/>
  </bookViews>
  <sheets>
    <sheet name="Data herd" sheetId="1" r:id="rId1"/>
    <sheet name="Input" sheetId="2" r:id="rId2"/>
    <sheet name="Output" sheetId="3" r:id="rId3"/>
    <sheet name="Import &amp; Export" sheetId="4" r:id="rId4"/>
    <sheet name="Variables calculations" sheetId="5" r:id="rId5"/>
    <sheet name="SEM per week" sheetId="6" r:id="rId6"/>
    <sheet name=" SEM per year (Potential)" sheetId="7" r:id="rId7"/>
    <sheet name="SEM Total" sheetId="8" r:id="rId8"/>
    <sheet name="Database Box 1 Adult Cattle" sheetId="15" r:id="rId9"/>
    <sheet name="Database box 2 Calves" sheetId="12" r:id="rId10"/>
    <sheet name="Database box 3 Young Cattle" sheetId="13" r:id="rId11"/>
    <sheet name="Database Country Level" sheetId="17" r:id="rId12"/>
    <sheet name="Database" sheetId="18" r:id="rId13"/>
  </sheets>
  <externalReferences>
    <externalReference r:id="rId14"/>
  </externalReferences>
  <definedNames>
    <definedName name="_xlnm._FilterDatabase" localSheetId="12" hidden="1">Database!$A$1:$N$1</definedName>
    <definedName name="_xlnm._FilterDatabase" localSheetId="8" hidden="1">'Database Box 1 Adult Cattle'!$A$1:$AB$1</definedName>
    <definedName name="_xlnm._FilterDatabase" localSheetId="9" hidden="1">'Database box 2 Calves'!$A$1:$AB$1</definedName>
    <definedName name="_xlnm._FilterDatabase" localSheetId="10" hidden="1">'Database box 3 Young Cattle'!$A$1:$AB$1</definedName>
    <definedName name="_xlnm._FilterDatabase" localSheetId="11" hidden="1">'Database Country Level'!$A$1:$K$1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3" l="1"/>
  <c r="N35" i="3"/>
  <c r="N27" i="3"/>
  <c r="N26" i="3"/>
  <c r="N17" i="3"/>
  <c r="N16" i="3"/>
  <c r="M14" i="3"/>
  <c r="M33" i="3"/>
  <c r="M24" i="3"/>
  <c r="N32" i="3"/>
  <c r="N23" i="3"/>
  <c r="N13" i="3"/>
  <c r="M32" i="3"/>
  <c r="M23" i="3"/>
  <c r="E15" i="3"/>
  <c r="N166" i="2"/>
  <c r="N170" i="2" s="1"/>
  <c r="N167" i="2"/>
  <c r="N168" i="2"/>
  <c r="N165" i="2"/>
  <c r="N172" i="2"/>
  <c r="N171" i="2"/>
  <c r="N169" i="2"/>
  <c r="N155" i="2"/>
  <c r="N156" i="2" s="1"/>
  <c r="N157" i="2" s="1"/>
  <c r="N154" i="2"/>
  <c r="N151" i="2"/>
  <c r="N147" i="2"/>
  <c r="N146" i="2"/>
  <c r="N152" i="2"/>
  <c r="N148" i="2"/>
  <c r="N149" i="2" s="1"/>
  <c r="N28" i="3" l="1"/>
  <c r="N29" i="3" s="1"/>
  <c r="N37" i="3"/>
  <c r="N38" i="3" s="1"/>
  <c r="N18" i="3"/>
  <c r="N19" i="3" s="1"/>
  <c r="N51" i="2" l="1"/>
  <c r="N44" i="2"/>
  <c r="N38" i="2"/>
  <c r="N34" i="2"/>
  <c r="E36" i="2"/>
  <c r="N3" i="2"/>
  <c r="E18" i="1" l="1"/>
  <c r="E17" i="1"/>
  <c r="L36" i="1" l="1"/>
  <c r="N2" i="4" l="1"/>
  <c r="N7" i="4" s="1"/>
  <c r="N4" i="4"/>
  <c r="N3" i="4"/>
  <c r="N6" i="3"/>
  <c r="N4" i="3"/>
  <c r="N5" i="3"/>
  <c r="N3" i="3"/>
  <c r="N10" i="3"/>
  <c r="N9" i="3"/>
  <c r="N8" i="3"/>
  <c r="N46" i="2" l="1"/>
  <c r="N24" i="2"/>
  <c r="N18" i="2" s="1"/>
  <c r="N16" i="2"/>
  <c r="N7" i="2"/>
  <c r="N4" i="2"/>
  <c r="C148" i="5"/>
  <c r="C147" i="5"/>
  <c r="C146" i="5"/>
  <c r="C149" i="5" s="1"/>
  <c r="C141" i="5"/>
  <c r="C140" i="5"/>
  <c r="C139" i="5"/>
  <c r="C142" i="5" s="1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C124" i="5"/>
  <c r="E123" i="5"/>
  <c r="E122" i="5"/>
  <c r="C122" i="5"/>
  <c r="E121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C90" i="5"/>
  <c r="E89" i="5"/>
  <c r="E88" i="5"/>
  <c r="C88" i="5"/>
  <c r="E87" i="5"/>
  <c r="C80" i="5"/>
  <c r="C79" i="5"/>
  <c r="C78" i="5"/>
  <c r="C81" i="5" s="1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C63" i="5"/>
  <c r="E62" i="5"/>
  <c r="E61" i="5"/>
  <c r="C61" i="5"/>
  <c r="E60" i="5"/>
  <c r="C54" i="5"/>
  <c r="C53" i="5"/>
  <c r="C52" i="5"/>
  <c r="C55" i="5" s="1"/>
  <c r="C48" i="5"/>
  <c r="C47" i="5"/>
  <c r="C46" i="5"/>
  <c r="C49" i="5" s="1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C31" i="5"/>
  <c r="E30" i="5"/>
  <c r="E29" i="5"/>
  <c r="C29" i="5"/>
  <c r="E28" i="5"/>
  <c r="E78" i="1"/>
  <c r="E77" i="1"/>
  <c r="E76" i="1"/>
  <c r="E74" i="1"/>
  <c r="E73" i="1"/>
  <c r="E72" i="1"/>
  <c r="E66" i="1"/>
  <c r="E63" i="1"/>
  <c r="E62" i="1"/>
  <c r="E61" i="1"/>
  <c r="L45" i="1"/>
  <c r="L23" i="1"/>
  <c r="L17" i="1"/>
  <c r="L13" i="1"/>
  <c r="E57" i="1"/>
  <c r="E84" i="1" s="1"/>
  <c r="E56" i="1"/>
  <c r="E52" i="1"/>
  <c r="E51" i="1"/>
  <c r="E50" i="1"/>
  <c r="E49" i="1"/>
  <c r="E83" i="1" s="1"/>
  <c r="B58" i="5" s="1"/>
  <c r="E48" i="1"/>
  <c r="E82" i="1" s="1"/>
  <c r="B26" i="5" s="1"/>
  <c r="E47" i="1"/>
  <c r="E54" i="1" s="1"/>
  <c r="D18" i="5"/>
  <c r="N9" i="2" l="1"/>
  <c r="B84" i="5"/>
  <c r="B85" i="5"/>
  <c r="F69" i="5"/>
  <c r="F74" i="5"/>
  <c r="G74" i="5" s="1"/>
  <c r="F70" i="5"/>
  <c r="F67" i="5"/>
  <c r="F72" i="5"/>
  <c r="F68" i="5"/>
  <c r="G68" i="5" s="1"/>
  <c r="F73" i="5"/>
  <c r="H37" i="5"/>
  <c r="H36" i="5"/>
  <c r="I36" i="5" s="1"/>
  <c r="H38" i="5"/>
  <c r="H35" i="5"/>
  <c r="H41" i="5"/>
  <c r="H42" i="5"/>
  <c r="F64" i="5"/>
  <c r="G64" i="5" s="1"/>
  <c r="F87" i="5"/>
  <c r="G87" i="5" s="1"/>
  <c r="H31" i="5"/>
  <c r="I31" i="5" s="1"/>
  <c r="F62" i="5"/>
  <c r="G62" i="5" s="1"/>
  <c r="F65" i="5"/>
  <c r="F61" i="5"/>
  <c r="E58" i="1"/>
  <c r="E86" i="1" s="1"/>
  <c r="B119" i="5" s="1"/>
  <c r="E55" i="1"/>
  <c r="E59" i="1"/>
  <c r="H39" i="5"/>
  <c r="F60" i="5"/>
  <c r="G60" i="5" s="1"/>
  <c r="F66" i="5"/>
  <c r="G66" i="5" s="1"/>
  <c r="F88" i="5"/>
  <c r="G88" i="5" s="1"/>
  <c r="F91" i="5"/>
  <c r="G91" i="5" s="1"/>
  <c r="F95" i="5"/>
  <c r="G95" i="5" s="1"/>
  <c r="F93" i="5"/>
  <c r="G93" i="5" s="1"/>
  <c r="E69" i="1"/>
  <c r="E81" i="1" s="1"/>
  <c r="B25" i="5" s="1"/>
  <c r="H30" i="5"/>
  <c r="H33" i="5"/>
  <c r="H43" i="5"/>
  <c r="G67" i="5"/>
  <c r="D79" i="5" s="1"/>
  <c r="N68" i="2" s="1"/>
  <c r="N80" i="2" s="1"/>
  <c r="F99" i="5"/>
  <c r="G99" i="5" s="1"/>
  <c r="N47" i="2"/>
  <c r="N48" i="2" s="1"/>
  <c r="N40" i="2"/>
  <c r="N41" i="2" s="1"/>
  <c r="N42" i="2" s="1"/>
  <c r="N53" i="2"/>
  <c r="N54" i="2" s="1"/>
  <c r="N55" i="2" s="1"/>
  <c r="F102" i="5"/>
  <c r="F98" i="5"/>
  <c r="G98" i="5" s="1"/>
  <c r="F92" i="5"/>
  <c r="G92" i="5" s="1"/>
  <c r="F90" i="5"/>
  <c r="G90" i="5" s="1"/>
  <c r="F89" i="5"/>
  <c r="G89" i="5" s="1"/>
  <c r="F75" i="5"/>
  <c r="G75" i="5" s="1"/>
  <c r="G71" i="5"/>
  <c r="F71" i="5"/>
  <c r="F63" i="5"/>
  <c r="G63" i="5" s="1"/>
  <c r="H40" i="5"/>
  <c r="H34" i="5"/>
  <c r="I34" i="5" s="1"/>
  <c r="H32" i="5"/>
  <c r="H29" i="5"/>
  <c r="I29" i="5" s="1"/>
  <c r="H28" i="5"/>
  <c r="N26" i="2"/>
  <c r="N28" i="2" s="1"/>
  <c r="N29" i="2" s="1"/>
  <c r="N11" i="2"/>
  <c r="N12" i="2" s="1"/>
  <c r="N20" i="2"/>
  <c r="N21" i="2" s="1"/>
  <c r="G65" i="5"/>
  <c r="G73" i="5"/>
  <c r="I30" i="5"/>
  <c r="I33" i="5"/>
  <c r="I35" i="5"/>
  <c r="I37" i="5"/>
  <c r="I39" i="5"/>
  <c r="I41" i="5"/>
  <c r="I43" i="5"/>
  <c r="G61" i="5"/>
  <c r="I28" i="5"/>
  <c r="I32" i="5"/>
  <c r="I38" i="5"/>
  <c r="I40" i="5"/>
  <c r="I42" i="5" l="1"/>
  <c r="F35" i="5"/>
  <c r="G35" i="5" s="1"/>
  <c r="D47" i="5" s="1"/>
  <c r="N60" i="2" s="1"/>
  <c r="N72" i="2" s="1"/>
  <c r="F41" i="5"/>
  <c r="G41" i="5" s="1"/>
  <c r="F38" i="5"/>
  <c r="G38" i="5" s="1"/>
  <c r="F36" i="5"/>
  <c r="G36" i="5" s="1"/>
  <c r="F42" i="5"/>
  <c r="G42" i="5" s="1"/>
  <c r="F37" i="5"/>
  <c r="G37" i="5" s="1"/>
  <c r="F40" i="5"/>
  <c r="G40" i="5" s="1"/>
  <c r="F31" i="5"/>
  <c r="G31" i="5" s="1"/>
  <c r="F28" i="5"/>
  <c r="G28" i="5" s="1"/>
  <c r="F34" i="5"/>
  <c r="G34" i="5" s="1"/>
  <c r="D46" i="5" s="1"/>
  <c r="F33" i="5"/>
  <c r="G33" i="5" s="1"/>
  <c r="F30" i="5"/>
  <c r="G30" i="5" s="1"/>
  <c r="F43" i="5"/>
  <c r="G43" i="5" s="1"/>
  <c r="F39" i="5"/>
  <c r="G39" i="5" s="1"/>
  <c r="F32" i="5"/>
  <c r="G32" i="5" s="1"/>
  <c r="F29" i="5"/>
  <c r="G29" i="5" s="1"/>
  <c r="H124" i="5"/>
  <c r="I124" i="5" s="1"/>
  <c r="H122" i="5"/>
  <c r="I122" i="5" s="1"/>
  <c r="D146" i="5" s="1"/>
  <c r="H126" i="5"/>
  <c r="I126" i="5" s="1"/>
  <c r="H135" i="5"/>
  <c r="I135" i="5" s="1"/>
  <c r="H127" i="5"/>
  <c r="I127" i="5" s="1"/>
  <c r="H123" i="5"/>
  <c r="I123" i="5" s="1"/>
  <c r="H128" i="5"/>
  <c r="I128" i="5" s="1"/>
  <c r="H130" i="5"/>
  <c r="I130" i="5" s="1"/>
  <c r="H133" i="5"/>
  <c r="I133" i="5" s="1"/>
  <c r="H125" i="5"/>
  <c r="I125" i="5" s="1"/>
  <c r="H136" i="5"/>
  <c r="I136" i="5" s="1"/>
  <c r="H129" i="5"/>
  <c r="I129" i="5" s="1"/>
  <c r="H132" i="5"/>
  <c r="I132" i="5" s="1"/>
  <c r="H134" i="5"/>
  <c r="I134" i="5" s="1"/>
  <c r="D148" i="5" s="1"/>
  <c r="N125" i="2" s="1"/>
  <c r="N133" i="2" s="1"/>
  <c r="H131" i="5"/>
  <c r="I131" i="5" s="1"/>
  <c r="H121" i="5"/>
  <c r="I121" i="5" s="1"/>
  <c r="G72" i="5"/>
  <c r="G102" i="5"/>
  <c r="E85" i="1"/>
  <c r="B118" i="5" s="1"/>
  <c r="G69" i="5"/>
  <c r="G70" i="5"/>
  <c r="D80" i="5" s="1"/>
  <c r="N69" i="2" s="1"/>
  <c r="N81" i="2" s="1"/>
  <c r="F96" i="5"/>
  <c r="G96" i="5" s="1"/>
  <c r="D104" i="5"/>
  <c r="E104" i="5" s="1"/>
  <c r="F104" i="5" s="1"/>
  <c r="G104" i="5" s="1"/>
  <c r="D110" i="5" s="1"/>
  <c r="N96" i="2" s="1"/>
  <c r="F94" i="5"/>
  <c r="G94" i="5" s="1"/>
  <c r="D108" i="5" s="1"/>
  <c r="N94" i="2" s="1"/>
  <c r="F97" i="5"/>
  <c r="G97" i="5" s="1"/>
  <c r="F100" i="5"/>
  <c r="G100" i="5" s="1"/>
  <c r="F101" i="5"/>
  <c r="D107" i="5"/>
  <c r="N93" i="2" s="1"/>
  <c r="D48" i="5"/>
  <c r="N61" i="2" s="1"/>
  <c r="N73" i="2" s="1"/>
  <c r="D78" i="5"/>
  <c r="D147" i="5"/>
  <c r="N124" i="2" s="1"/>
  <c r="N132" i="2" s="1"/>
  <c r="D52" i="5"/>
  <c r="N63" i="2" s="1"/>
  <c r="N75" i="2" s="1"/>
  <c r="D53" i="5"/>
  <c r="N64" i="2" s="1"/>
  <c r="N76" i="2" s="1"/>
  <c r="D54" i="5"/>
  <c r="N65" i="2" s="1"/>
  <c r="N77" i="2" s="1"/>
  <c r="N102" i="2" l="1"/>
  <c r="N114" i="2" s="1"/>
  <c r="N108" i="2"/>
  <c r="N99" i="2"/>
  <c r="N111" i="2" s="1"/>
  <c r="N105" i="2"/>
  <c r="N100" i="2"/>
  <c r="N112" i="2" s="1"/>
  <c r="N106" i="2"/>
  <c r="F130" i="5"/>
  <c r="G130" i="5" s="1"/>
  <c r="F122" i="5"/>
  <c r="G122" i="5" s="1"/>
  <c r="F135" i="5"/>
  <c r="G135" i="5" s="1"/>
  <c r="F127" i="5"/>
  <c r="G127" i="5" s="1"/>
  <c r="F136" i="5"/>
  <c r="G136" i="5" s="1"/>
  <c r="F128" i="5"/>
  <c r="G128" i="5" s="1"/>
  <c r="D140" i="5" s="1"/>
  <c r="N120" i="2" s="1"/>
  <c r="N128" i="2" s="1"/>
  <c r="N136" i="2" s="1"/>
  <c r="N141" i="2" s="1"/>
  <c r="F133" i="5"/>
  <c r="G133" i="5" s="1"/>
  <c r="F125" i="5"/>
  <c r="G125" i="5" s="1"/>
  <c r="F129" i="5"/>
  <c r="G129" i="5" s="1"/>
  <c r="F134" i="5"/>
  <c r="G134" i="5" s="1"/>
  <c r="F126" i="5"/>
  <c r="G126" i="5" s="1"/>
  <c r="F131" i="5"/>
  <c r="G131" i="5" s="1"/>
  <c r="F123" i="5"/>
  <c r="G123" i="5" s="1"/>
  <c r="F132" i="5"/>
  <c r="G132" i="5" s="1"/>
  <c r="F124" i="5"/>
  <c r="G124" i="5" s="1"/>
  <c r="F121" i="5"/>
  <c r="G121" i="5" s="1"/>
  <c r="N84" i="2"/>
  <c r="N89" i="2" s="1"/>
  <c r="N85" i="2"/>
  <c r="N90" i="2" s="1"/>
  <c r="G101" i="5"/>
  <c r="D109" i="5" s="1"/>
  <c r="D149" i="5"/>
  <c r="N123" i="2"/>
  <c r="N131" i="2" s="1"/>
  <c r="D81" i="5"/>
  <c r="N67" i="2"/>
  <c r="N79" i="2" s="1"/>
  <c r="D49" i="5"/>
  <c r="N59" i="2"/>
  <c r="N71" i="2" s="1"/>
  <c r="D55" i="5"/>
  <c r="N95" i="2" l="1"/>
  <c r="D111" i="5"/>
  <c r="N97" i="2" s="1"/>
  <c r="N109" i="2" s="1"/>
  <c r="D141" i="5"/>
  <c r="N121" i="2" s="1"/>
  <c r="N129" i="2" s="1"/>
  <c r="N137" i="2" s="1"/>
  <c r="N142" i="2" s="1"/>
  <c r="D139" i="5"/>
  <c r="N83" i="2"/>
  <c r="N86" i="2" s="1"/>
  <c r="N91" i="2" s="1"/>
  <c r="E6" i="1"/>
  <c r="E5" i="1"/>
  <c r="N101" i="2" l="1"/>
  <c r="N113" i="2" s="1"/>
  <c r="N107" i="2"/>
  <c r="N119" i="2"/>
  <c r="N127" i="2" s="1"/>
  <c r="N135" i="2" s="1"/>
  <c r="D142" i="5"/>
  <c r="N103" i="2"/>
  <c r="N115" i="2" s="1"/>
  <c r="N88" i="2"/>
  <c r="L12" i="1"/>
  <c r="E22" i="1"/>
  <c r="E35" i="1" s="1"/>
  <c r="E7" i="1"/>
  <c r="N138" i="2" l="1"/>
  <c r="N143" i="2" s="1"/>
  <c r="N140" i="2"/>
  <c r="L46" i="1"/>
  <c r="L47" i="1" s="1"/>
  <c r="L43" i="1"/>
  <c r="L42" i="1"/>
  <c r="L30" i="1"/>
  <c r="L29" i="1"/>
  <c r="L38" i="1" l="1"/>
  <c r="L25" i="1"/>
  <c r="L27" i="1" s="1"/>
  <c r="L14" i="1"/>
  <c r="E8" i="2"/>
  <c r="E7" i="2"/>
  <c r="L40" i="1" l="1"/>
  <c r="L2" i="1"/>
</calcChain>
</file>

<file path=xl/sharedStrings.xml><?xml version="1.0" encoding="utf-8"?>
<sst xmlns="http://schemas.openxmlformats.org/spreadsheetml/2006/main" count="1013" uniqueCount="302">
  <si>
    <t>Beef farms</t>
  </si>
  <si>
    <t>Herd Composition</t>
  </si>
  <si>
    <t>Adult Cattle</t>
  </si>
  <si>
    <t>Calves</t>
  </si>
  <si>
    <t>Young Cattle</t>
  </si>
  <si>
    <t>Feed/Energy requirements</t>
  </si>
  <si>
    <t>Labour Use</t>
  </si>
  <si>
    <t>Year</t>
  </si>
  <si>
    <t>Unit</t>
  </si>
  <si>
    <t>Value</t>
  </si>
  <si>
    <t>ID Number</t>
  </si>
  <si>
    <t>Source</t>
  </si>
  <si>
    <t>Notes</t>
  </si>
  <si>
    <t>Total Agricultural Labour</t>
  </si>
  <si>
    <t>Work Units/year</t>
  </si>
  <si>
    <t>Eurostat</t>
  </si>
  <si>
    <t>Exports</t>
  </si>
  <si>
    <t>Imports</t>
  </si>
  <si>
    <t>Live Animals</t>
  </si>
  <si>
    <t>Total Beef Cattle</t>
  </si>
  <si>
    <t>Young Cattle and Calves</t>
  </si>
  <si>
    <t>EUROSTAT</t>
  </si>
  <si>
    <t>Animal Heads/year</t>
  </si>
  <si>
    <t>Meat Production</t>
  </si>
  <si>
    <t xml:space="preserve">Cattle Slaughtering </t>
  </si>
  <si>
    <t>tonnes/year</t>
  </si>
  <si>
    <t>Total</t>
  </si>
  <si>
    <t>Beef Labour</t>
  </si>
  <si>
    <t>Breeders</t>
  </si>
  <si>
    <t>Fatteners</t>
  </si>
  <si>
    <t>Breeders Fatteners</t>
  </si>
  <si>
    <t>FADN Beef data</t>
  </si>
  <si>
    <t>Annual Work Units/farm</t>
  </si>
  <si>
    <t>Hours/year/farm</t>
  </si>
  <si>
    <t>Own Calculation</t>
  </si>
  <si>
    <t>Own Calculation Annual working units X 1800 hours which is 8 hrs a day for 225 days</t>
  </si>
  <si>
    <t>Land Use</t>
  </si>
  <si>
    <t>Avg. UAA</t>
  </si>
  <si>
    <t xml:space="preserve">Breeders-Fatteners </t>
  </si>
  <si>
    <t>ha/farm</t>
  </si>
  <si>
    <t>Forage crops</t>
  </si>
  <si>
    <t>Breeders-Fatteners</t>
  </si>
  <si>
    <t>Cattle Slaughtering</t>
  </si>
  <si>
    <t>heads/year</t>
  </si>
  <si>
    <t>ID</t>
  </si>
  <si>
    <t>Biosphere/Technosphere</t>
  </si>
  <si>
    <t>Input/Output/Export/Import</t>
  </si>
  <si>
    <t>Fund/Flow</t>
  </si>
  <si>
    <t>Parameter/interface</t>
  </si>
  <si>
    <t>Name</t>
  </si>
  <si>
    <t>Value/year</t>
  </si>
  <si>
    <t>Value/week</t>
  </si>
  <si>
    <t>Value on scale</t>
  </si>
  <si>
    <t>Dependency</t>
  </si>
  <si>
    <t>Formula</t>
  </si>
  <si>
    <t>Input/output/import/export</t>
  </si>
  <si>
    <t>Interface/parameter</t>
  </si>
  <si>
    <t>Souce</t>
  </si>
  <si>
    <t>Processor</t>
  </si>
  <si>
    <t>Calculations</t>
  </si>
  <si>
    <t xml:space="preserve">Unit </t>
  </si>
  <si>
    <t>Farm/Country</t>
  </si>
  <si>
    <t>H.1</t>
  </si>
  <si>
    <t>June Census</t>
  </si>
  <si>
    <t>Total Biomass</t>
  </si>
  <si>
    <t>Kg/year</t>
  </si>
  <si>
    <t>H.2</t>
  </si>
  <si>
    <t xml:space="preserve"> Heads/year</t>
  </si>
  <si>
    <t>H.3</t>
  </si>
  <si>
    <t>Heads/year</t>
  </si>
  <si>
    <t>H.4</t>
  </si>
  <si>
    <t>H.5</t>
  </si>
  <si>
    <t>Weight of Adult female</t>
  </si>
  <si>
    <t>kg/head</t>
  </si>
  <si>
    <t>H.6</t>
  </si>
  <si>
    <t>GLEAM</t>
  </si>
  <si>
    <t>Weight of Adult male</t>
  </si>
  <si>
    <t>H.7</t>
  </si>
  <si>
    <t>Mortality of Adult Animals</t>
  </si>
  <si>
    <t>%</t>
  </si>
  <si>
    <t>H.8</t>
  </si>
  <si>
    <t>Age at First Calving</t>
  </si>
  <si>
    <t>months</t>
  </si>
  <si>
    <t>H.9</t>
  </si>
  <si>
    <t>Biomass Male</t>
  </si>
  <si>
    <t>Adult Females Replacement</t>
  </si>
  <si>
    <t>H.10</t>
  </si>
  <si>
    <t>Biomass Female</t>
  </si>
  <si>
    <t>Fertility of adult females</t>
  </si>
  <si>
    <t>H.11</t>
  </si>
  <si>
    <t xml:space="preserve"> Animal FUND</t>
  </si>
  <si>
    <t xml:space="preserve">Biomass total </t>
  </si>
  <si>
    <t>Percentage of population lactating</t>
  </si>
  <si>
    <t>Assumption</t>
  </si>
  <si>
    <t>Females Lactating</t>
  </si>
  <si>
    <t>Tg/year</t>
  </si>
  <si>
    <t>Females not-lactating</t>
  </si>
  <si>
    <t>Start Weight Calves (1 days)</t>
  </si>
  <si>
    <t>Goonawardene 1986</t>
  </si>
  <si>
    <t>End Weight Calves (365 days)</t>
  </si>
  <si>
    <t xml:space="preserve">Mid-Point Calves  (180 days) </t>
  </si>
  <si>
    <t>Animal FUND</t>
  </si>
  <si>
    <t>Biomass Total</t>
  </si>
  <si>
    <t>Gg/year</t>
  </si>
  <si>
    <t>Mortality of young females</t>
  </si>
  <si>
    <t>Daily Weight Gain Calf</t>
  </si>
  <si>
    <t>kg/day/head</t>
  </si>
  <si>
    <t>Mortality of young males</t>
  </si>
  <si>
    <t>Mortality of Calves</t>
  </si>
  <si>
    <t>kg/year</t>
  </si>
  <si>
    <t>Start Weight Young Cattle (365 days)</t>
  </si>
  <si>
    <t>End Weight Young Cattle (730 days)</t>
  </si>
  <si>
    <t>Biomass total</t>
  </si>
  <si>
    <t>Mid Point Young Cattle (548 days)</t>
  </si>
  <si>
    <t>Daily weight gain Young Cattle</t>
  </si>
  <si>
    <t>Mortality of Young Cattle</t>
  </si>
  <si>
    <t xml:space="preserve">Mortality of young males </t>
  </si>
  <si>
    <t>Replacement Females</t>
  </si>
  <si>
    <t>Net Energy Maintenance Adult Cattle Female Lactating Cows</t>
  </si>
  <si>
    <t>.</t>
  </si>
  <si>
    <t>MJ/day/head</t>
  </si>
  <si>
    <t>IPCC caclulation</t>
  </si>
  <si>
    <t>Net Energy Maintenance Adult Cattle Female Non-Lactating Cows</t>
  </si>
  <si>
    <t>Net Energy Maintenance Adult Cattle Male</t>
  </si>
  <si>
    <t>Net Energy Maintenance Calves</t>
  </si>
  <si>
    <t>Net Energy Maintenance Young Cattle female</t>
  </si>
  <si>
    <t>Net Energy Maintenance Young Cattle Male</t>
  </si>
  <si>
    <t>Net Energy Activity Adult Cattle Male</t>
  </si>
  <si>
    <t>Net Energy Activity Calves</t>
  </si>
  <si>
    <t>Net Energy for Growth  Calves</t>
  </si>
  <si>
    <t>Net Energy for Growth Young Cattle Female</t>
  </si>
  <si>
    <t>Net Energy for Growth Young Cattle male</t>
  </si>
  <si>
    <t>Net Energy for Lactation Adult Cattle Female</t>
  </si>
  <si>
    <t>REM Adult Cattle</t>
  </si>
  <si>
    <t>REM Calves</t>
  </si>
  <si>
    <t>REM Young Cattle</t>
  </si>
  <si>
    <t>REG Adult Cattle</t>
  </si>
  <si>
    <t>REG Calves</t>
  </si>
  <si>
    <t>REG Young Cattle</t>
  </si>
  <si>
    <t>Gross Energy Requirements Adult Cattle  Female Lactating</t>
  </si>
  <si>
    <t>Gross Energy Requiremements Adult Cattle Female Non-lactating</t>
  </si>
  <si>
    <t xml:space="preserve">Gross Energy Requirements Adult Cattle Male </t>
  </si>
  <si>
    <t>Gross Energy Requirements Calves</t>
  </si>
  <si>
    <t>Gross Energy Requirements Young Cattle female</t>
  </si>
  <si>
    <t>Gross Energy Requirements Young Cattle male</t>
  </si>
  <si>
    <t>Adult Reproductive females</t>
  </si>
  <si>
    <t xml:space="preserve">Adult Reproductive males </t>
  </si>
  <si>
    <t>Energy Requirements</t>
  </si>
  <si>
    <t>Coefficients Net Energy Maintenance</t>
  </si>
  <si>
    <t>Non-Lactating Cows</t>
  </si>
  <si>
    <t>MJ/day/kg</t>
  </si>
  <si>
    <t>IPCC</t>
  </si>
  <si>
    <t>Lactating Cows</t>
  </si>
  <si>
    <t>Bulls</t>
  </si>
  <si>
    <t>Coefficients Net Energy for Activity</t>
  </si>
  <si>
    <t>Housing conditions: Pasture</t>
  </si>
  <si>
    <t>Coefficients Net Energy for Growth</t>
  </si>
  <si>
    <t>females</t>
  </si>
  <si>
    <t>bulls</t>
  </si>
  <si>
    <t>Parameters for REG &amp; REM</t>
  </si>
  <si>
    <t xml:space="preserve">DE% Adult Cattle </t>
  </si>
  <si>
    <t>DE% Calves</t>
  </si>
  <si>
    <t>DE% Young Cattle</t>
  </si>
  <si>
    <t>Parameters for NE lactation</t>
  </si>
  <si>
    <t>Milk Fat content</t>
  </si>
  <si>
    <t>Milk produced</t>
  </si>
  <si>
    <t>kg/milk/day</t>
  </si>
  <si>
    <t xml:space="preserve">Coefficients Pregnancy </t>
  </si>
  <si>
    <t>Cattle and Buffalo</t>
  </si>
  <si>
    <t>constant</t>
  </si>
  <si>
    <t>Net Energy for Activity Adult Cattle Female lactating</t>
  </si>
  <si>
    <t>Net Energy for Activity Adult Cattle Female Non-Lactating</t>
  </si>
  <si>
    <t>Net Energy Activity Young Cattle female</t>
  </si>
  <si>
    <t>Net Energy Young Cattle Male</t>
  </si>
  <si>
    <t>Biomass Calves</t>
  </si>
  <si>
    <t>Biomass Young Cattle</t>
  </si>
  <si>
    <t>Net Energy for pregnancy Adult Cattle female</t>
  </si>
  <si>
    <t>Energy in Feed crops</t>
  </si>
  <si>
    <t>GE Females Lactating</t>
  </si>
  <si>
    <t>GE Females Non-Lactating</t>
  </si>
  <si>
    <t>Adult Females</t>
  </si>
  <si>
    <t>MJ/kg (Source: INRA Feed tables)</t>
  </si>
  <si>
    <t>DMI % (Gleam)</t>
  </si>
  <si>
    <t>Ratio DMI (Calculated)</t>
  </si>
  <si>
    <t xml:space="preserve"> Kg DMI/head Lactating (Calculated)</t>
  </si>
  <si>
    <t>Kg DMI/Head Non-Lactating (Calculated)</t>
  </si>
  <si>
    <t xml:space="preserve">Fresh grass </t>
  </si>
  <si>
    <t>Hay or silage from grass  (avg of maize silage and fresh grass)</t>
  </si>
  <si>
    <t>Fresh mixture of grass and legumes (avg of grass and white clover)</t>
  </si>
  <si>
    <t>Hay or silage from grass and legumes (avg of maie silage and fresh grass/legume mx)</t>
  </si>
  <si>
    <t xml:space="preserve">Silage from whole maize plant </t>
  </si>
  <si>
    <t>Crop residues from wheat (assumed wheat bran)</t>
  </si>
  <si>
    <t>Fodder Beet</t>
  </si>
  <si>
    <t xml:space="preserve">Maize </t>
  </si>
  <si>
    <t>Grains (Assumed Barley)</t>
  </si>
  <si>
    <t xml:space="preserve">By-products from soy </t>
  </si>
  <si>
    <t xml:space="preserve">By-products from rape (canola) </t>
  </si>
  <si>
    <t xml:space="preserve">By-products from sugar beet </t>
  </si>
  <si>
    <t>Oil palm kernel expeller (assumed palm kernel meal)</t>
  </si>
  <si>
    <t>Molasses (assumed beet)</t>
  </si>
  <si>
    <t xml:space="preserve">Maize gluten feed </t>
  </si>
  <si>
    <t>Dry by-product from grain industries  (assumed avg. for wheat middlings)</t>
  </si>
  <si>
    <t>Adult Female Lactating</t>
  </si>
  <si>
    <t>%DMI</t>
  </si>
  <si>
    <t>kg DMI</t>
  </si>
  <si>
    <t>Roughages</t>
  </si>
  <si>
    <t>Grains</t>
  </si>
  <si>
    <t>Agro-Industrial By-products</t>
  </si>
  <si>
    <t>Adult Female Non-Lactating</t>
  </si>
  <si>
    <t>Adult Males</t>
  </si>
  <si>
    <t>GE Males</t>
  </si>
  <si>
    <t>Ratio DMI</t>
  </si>
  <si>
    <t xml:space="preserve"> Kg DMI/head (Calculated)</t>
  </si>
  <si>
    <t xml:space="preserve">Hay or silage from grass </t>
  </si>
  <si>
    <t>Fresh mixture of grass and legumes</t>
  </si>
  <si>
    <t xml:space="preserve">Hay or silage from grass and legumes </t>
  </si>
  <si>
    <t>Crop residues from wheat</t>
  </si>
  <si>
    <t>Oil palm kernel expeller</t>
  </si>
  <si>
    <t>Molasses</t>
  </si>
  <si>
    <t xml:space="preserve">Dry by-product from grain industries </t>
  </si>
  <si>
    <t>Adult Male</t>
  </si>
  <si>
    <t>GE Calves minus milk</t>
  </si>
  <si>
    <t>GE Calves</t>
  </si>
  <si>
    <t>Milk powder whole</t>
  </si>
  <si>
    <t xml:space="preserve">Young Cattle </t>
  </si>
  <si>
    <t>GE Young Cattle Female</t>
  </si>
  <si>
    <t>GE Young Cattle Male</t>
  </si>
  <si>
    <t xml:space="preserve"> Kg DMI/head female (Calculated)</t>
  </si>
  <si>
    <t>Kg DMI/ head male</t>
  </si>
  <si>
    <t>Young Cattle Female</t>
  </si>
  <si>
    <t xml:space="preserve">Young Cattle Male </t>
  </si>
  <si>
    <t>Feed</t>
  </si>
  <si>
    <t>Labour hours in beef sector</t>
  </si>
  <si>
    <t>hours/year</t>
  </si>
  <si>
    <t>Ghours/year</t>
  </si>
  <si>
    <t>Adult cattle Biomass</t>
  </si>
  <si>
    <t>Ratio of total</t>
  </si>
  <si>
    <t>ratio</t>
  </si>
  <si>
    <t>Adult Cattle Labour</t>
  </si>
  <si>
    <t>Calves Biomass</t>
  </si>
  <si>
    <t>Calves Labour</t>
  </si>
  <si>
    <t>Young Cattle Biomass</t>
  </si>
  <si>
    <t>Young Cattle Labour</t>
  </si>
  <si>
    <t>ID number</t>
  </si>
  <si>
    <t>Land Use of Beef Sector</t>
  </si>
  <si>
    <t>ha/year</t>
  </si>
  <si>
    <t xml:space="preserve">Adult Cattle Land Use </t>
  </si>
  <si>
    <t>km2/year</t>
  </si>
  <si>
    <t>Calves Land Use</t>
  </si>
  <si>
    <t>Young Cattle Land Use</t>
  </si>
  <si>
    <t>Caculations</t>
  </si>
  <si>
    <t>kg DMI/head/day</t>
  </si>
  <si>
    <t>Feed Calculations</t>
  </si>
  <si>
    <t>Industrial by-products</t>
  </si>
  <si>
    <t>Industrial By-products</t>
  </si>
  <si>
    <t>Adult Cattle total</t>
  </si>
  <si>
    <t>total</t>
  </si>
  <si>
    <t>Milk powder</t>
  </si>
  <si>
    <t xml:space="preserve">Total </t>
  </si>
  <si>
    <t>Young Cattle Male</t>
  </si>
  <si>
    <t>Young Cattle total</t>
  </si>
  <si>
    <t xml:space="preserve">Gg/year </t>
  </si>
  <si>
    <t xml:space="preserve">Live Animals </t>
  </si>
  <si>
    <t>Adult Cattle female</t>
  </si>
  <si>
    <t>Adult Cattle male</t>
  </si>
  <si>
    <t>Adult Cattle exports</t>
  </si>
  <si>
    <t>Percentage of population non- lactating</t>
  </si>
  <si>
    <t>Specialist cattle-rearing and fattening</t>
  </si>
  <si>
    <t>Water Use</t>
  </si>
  <si>
    <t>Beef cow drinking water</t>
  </si>
  <si>
    <t>l/animal/day</t>
  </si>
  <si>
    <t>Technology to improve water use efficiency - Defra Project WU0123</t>
  </si>
  <si>
    <t>l/animal/year</t>
  </si>
  <si>
    <t>Adult female</t>
  </si>
  <si>
    <t>l/year</t>
  </si>
  <si>
    <t>Beef bull drinking water</t>
  </si>
  <si>
    <t>June Survey</t>
  </si>
  <si>
    <t>Calves drinking water</t>
  </si>
  <si>
    <t>TL/Year</t>
  </si>
  <si>
    <t>Young Cattle female</t>
  </si>
  <si>
    <t>Young Cattle male</t>
  </si>
  <si>
    <r>
      <t xml:space="preserve"> </t>
    </r>
    <r>
      <rPr>
        <b/>
        <sz val="11"/>
        <color rgb="FFFF0000"/>
        <rFont val="Calibri"/>
        <family val="2"/>
        <scheme val="minor"/>
      </rPr>
      <t>FROM UK Database</t>
    </r>
  </si>
  <si>
    <t>Energy Use</t>
  </si>
  <si>
    <t>Beef in England and Wales</t>
  </si>
  <si>
    <t>Primary Energy Used</t>
  </si>
  <si>
    <t>GJ/t carcass</t>
  </si>
  <si>
    <t>Determining the environmental burdens and resource use in the production of agricultural and horticultural commodities.Defra project report IS0205</t>
  </si>
  <si>
    <t>Primary energy use</t>
  </si>
  <si>
    <t>GJ/year</t>
  </si>
  <si>
    <t>TJ/year</t>
  </si>
  <si>
    <t>Manure</t>
  </si>
  <si>
    <t>Beef Cattle</t>
  </si>
  <si>
    <t>Undiluted Slurry</t>
  </si>
  <si>
    <t>Tonnes</t>
  </si>
  <si>
    <t>Smith and Williams 2016 Production and Management of Cattle manure in the UK</t>
  </si>
  <si>
    <t>FYM or Solids</t>
  </si>
  <si>
    <t xml:space="preserve"> FROM UK Database</t>
  </si>
  <si>
    <t>Ratio</t>
  </si>
  <si>
    <t>FYM OR Solids</t>
  </si>
  <si>
    <t>Tonnes/year</t>
  </si>
  <si>
    <t>Undiluted slurry</t>
  </si>
  <si>
    <t>Animal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</si>
</sst>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CC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thick">
        <color rgb="FFC00000"/>
      </top>
      <bottom/>
      <diagonal/>
    </border>
  </borders>
  <cellStyleXfs count="3">
    <xf numFmtId="0" fontId="0" fillId="0" borderId="0"/>
    <xf numFmtId="0" fontId="7" fillId="0" borderId="0"/>
    <xf numFmtId="9" fontId="10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0" borderId="0" xfId="0" applyFont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1" xfId="0" applyBorder="1"/>
    <xf numFmtId="0" fontId="0" fillId="0" borderId="0" xfId="0" applyFill="1" applyBorder="1"/>
    <xf numFmtId="3" fontId="0" fillId="0" borderId="0" xfId="0" applyNumberFormat="1"/>
    <xf numFmtId="0" fontId="7" fillId="4" borderId="0" xfId="1" applyNumberFormat="1" applyFont="1" applyFill="1" applyBorder="1"/>
    <xf numFmtId="9" fontId="7" fillId="4" borderId="0" xfId="1" applyNumberFormat="1" applyFont="1" applyFill="1" applyBorder="1"/>
    <xf numFmtId="0" fontId="0" fillId="0" borderId="2" xfId="0" applyBorder="1" applyAlignment="1">
      <alignment horizontal="left"/>
    </xf>
    <xf numFmtId="0" fontId="0" fillId="0" borderId="0" xfId="0" applyFont="1" applyFill="1"/>
    <xf numFmtId="0" fontId="8" fillId="0" borderId="0" xfId="0" applyFont="1" applyFill="1"/>
    <xf numFmtId="0" fontId="8" fillId="0" borderId="0" xfId="0" applyFont="1"/>
    <xf numFmtId="0" fontId="0" fillId="0" borderId="2" xfId="0" applyBorder="1"/>
    <xf numFmtId="0" fontId="3" fillId="0" borderId="0" xfId="0" applyFont="1"/>
    <xf numFmtId="0" fontId="3" fillId="0" borderId="1" xfId="0" applyFont="1" applyBorder="1"/>
    <xf numFmtId="9" fontId="9" fillId="4" borderId="0" xfId="1" applyNumberFormat="1" applyFont="1" applyFill="1" applyBorder="1"/>
    <xf numFmtId="0" fontId="8" fillId="0" borderId="1" xfId="0" applyFont="1" applyBorder="1"/>
    <xf numFmtId="0" fontId="0" fillId="0" borderId="0" xfId="2" applyNumberFormat="1" applyFont="1"/>
    <xf numFmtId="2" fontId="0" fillId="0" borderId="0" xfId="0" applyNumberFormat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0" borderId="0" xfId="0" applyFont="1"/>
    <xf numFmtId="0" fontId="0" fillId="5" borderId="3" xfId="0" applyFill="1" applyBorder="1"/>
    <xf numFmtId="0" fontId="0" fillId="0" borderId="4" xfId="0" applyBorder="1"/>
    <xf numFmtId="0" fontId="8" fillId="3" borderId="0" xfId="0" applyFont="1" applyFill="1"/>
    <xf numFmtId="0" fontId="2" fillId="2" borderId="0" xfId="0" applyFont="1" applyFill="1" applyBorder="1"/>
    <xf numFmtId="0" fontId="0" fillId="0" borderId="5" xfId="0" applyBorder="1"/>
    <xf numFmtId="0" fontId="0" fillId="0" borderId="0" xfId="0" applyBorder="1"/>
    <xf numFmtId="0" fontId="2" fillId="3" borderId="0" xfId="0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fill"/>
    </xf>
    <xf numFmtId="0" fontId="0" fillId="0" borderId="0" xfId="0" applyFill="1"/>
    <xf numFmtId="0" fontId="2" fillId="2" borderId="6" xfId="0" applyFont="1" applyFill="1" applyBorder="1"/>
    <xf numFmtId="0" fontId="0" fillId="0" borderId="6" xfId="0" applyBorder="1"/>
    <xf numFmtId="0" fontId="2" fillId="3" borderId="6" xfId="0" applyFont="1" applyFill="1" applyBorder="1"/>
    <xf numFmtId="0" fontId="2" fillId="2" borderId="7" xfId="0" applyFont="1" applyFill="1" applyBorder="1"/>
    <xf numFmtId="0" fontId="2" fillId="0" borderId="6" xfId="0" applyFont="1" applyFill="1" applyBorder="1"/>
    <xf numFmtId="0" fontId="0" fillId="0" borderId="6" xfId="0" applyFill="1" applyBorder="1"/>
    <xf numFmtId="0" fontId="11" fillId="0" borderId="0" xfId="0" applyFont="1"/>
  </cellXfs>
  <cellStyles count="3">
    <cellStyle name="Normal" xfId="0" builtinId="0"/>
    <cellStyle name="Normal_Cattle (CTS)_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65</xdr:col>
      <xdr:colOff>602191</xdr:colOff>
      <xdr:row>84</xdr:row>
      <xdr:rowOff>158750</xdr:rowOff>
    </xdr:to>
    <xdr:grpSp>
      <xdr:nvGrpSpPr>
        <xdr:cNvPr id="97" name="Group 96"/>
        <xdr:cNvGrpSpPr/>
      </xdr:nvGrpSpPr>
      <xdr:grpSpPr>
        <a:xfrm>
          <a:off x="5429250" y="4572000"/>
          <a:ext cx="34384191" cy="11588750"/>
          <a:chOff x="4445000" y="3714750"/>
          <a:chExt cx="34384191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384191" cy="11588750"/>
            <a:chOff x="3391958" y="5365750"/>
            <a:chExt cx="34739791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739791" cy="8165399"/>
              <a:chOff x="3391958" y="5365750"/>
              <a:chExt cx="34739791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640852" cy="8165399"/>
                <a:chOff x="3487208" y="5508625"/>
                <a:chExt cx="34640852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640852" cy="8091294"/>
                  <a:chOff x="3487208" y="5582730"/>
                  <a:chExt cx="34640852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54074" cy="505811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27599" y="6481764"/>
                    <a:ext cx="432601" cy="42133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640852" cy="8069069"/>
                    <a:chOff x="3487208" y="5604955"/>
                    <a:chExt cx="34640852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614583"/>
                      <a:ext cx="22323441" cy="7059441"/>
                      <a:chOff x="13942124" y="218016"/>
                      <a:chExt cx="21419217" cy="7059441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74734" y="513965"/>
                        <a:ext cx="764388" cy="52955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13208" y="534458"/>
                        <a:ext cx="716492" cy="61954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455083"/>
                        <a:ext cx="808747" cy="53065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593239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287146" y="1244118"/>
                        <a:ext cx="1054583" cy="1005888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35602" y="433916"/>
                        <a:ext cx="808748" cy="53065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593239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7000250" y="1220307"/>
                        <a:ext cx="1054585" cy="1011180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903333" y="558801"/>
                        <a:ext cx="641351" cy="44253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33189" y="466727"/>
                        <a:ext cx="727076" cy="61954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783655" cy="879034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50" y="3244851"/>
                        <a:ext cx="921808" cy="6349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34459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223559" cy="63052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37782" y="3196167"/>
                        <a:ext cx="2223559" cy="63052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228234" y="3229108"/>
                        <a:ext cx="1300711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8" y="6635751"/>
                      <a:ext cx="7130468" cy="6878109"/>
                      <a:chOff x="2445544" y="2561166"/>
                      <a:chExt cx="6887051" cy="6878109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2848228" y="3586469"/>
                        <a:ext cx="1020255" cy="1049823"/>
                      </a:xfrm>
                      <a:prstGeom prst="bentConnector3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4" y="2561166"/>
                        <a:ext cx="6887051" cy="6878109"/>
                        <a:chOff x="2278856" y="2656416"/>
                        <a:chExt cx="6887051" cy="6878109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405364" y="2914650"/>
                          <a:ext cx="811526" cy="530658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291077" y="2824162"/>
                          <a:ext cx="730393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606269" y="2855119"/>
                          <a:ext cx="645235" cy="457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6" y="3086100"/>
                          <a:ext cx="810129" cy="593239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Animals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69949" cy="505811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43699" y="6503989"/>
                      <a:ext cx="416726" cy="42133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5" y="6156942"/>
                  <a:ext cx="1069949" cy="505811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29978324" y="6407659"/>
                  <a:ext cx="432601" cy="42133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24</xdr:row>
      <xdr:rowOff>95250</xdr:rowOff>
    </xdr:from>
    <xdr:to>
      <xdr:col>57</xdr:col>
      <xdr:colOff>495300</xdr:colOff>
      <xdr:row>85</xdr:row>
      <xdr:rowOff>63500</xdr:rowOff>
    </xdr:to>
    <xdr:grpSp>
      <xdr:nvGrpSpPr>
        <xdr:cNvPr id="97" name="Group 96"/>
        <xdr:cNvGrpSpPr/>
      </xdr:nvGrpSpPr>
      <xdr:grpSpPr>
        <a:xfrm>
          <a:off x="400050" y="4667250"/>
          <a:ext cx="34842450" cy="11588750"/>
          <a:chOff x="4445000" y="3714750"/>
          <a:chExt cx="34479073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479073" cy="11588750"/>
            <a:chOff x="3391958" y="5365750"/>
            <a:chExt cx="34835654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835654" cy="8165399"/>
              <a:chOff x="3391958" y="5365750"/>
              <a:chExt cx="34835654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</a:p>
              <a:p>
                <a:pPr algn="ctr"/>
                <a:r>
                  <a:rPr lang="en-GB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10.84 Gg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835654" cy="8165399"/>
                <a:chOff x="3487208" y="5508625"/>
                <a:chExt cx="34835654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835654" cy="8091294"/>
                  <a:chOff x="3487208" y="5582730"/>
                  <a:chExt cx="34835654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  <a:p>
                    <a:pPr algn="ctr"/>
                    <a:r>
                      <a:rPr lang="en-GB" sz="1100"/>
                      <a:t>0.007Tg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  <a:p>
                    <a:pPr algn="ctr"/>
                    <a:r>
                      <a:rPr lang="en-GB" sz="1100"/>
                      <a:t>0Tg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70523" cy="6246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  <a:p>
                    <a:pPr algn="ctr"/>
                    <a:r>
                      <a:rPr lang="en-GB" sz="1100"/>
                      <a:t>0.0003Tg</a:t>
                    </a:r>
                  </a:p>
                  <a:p>
                    <a:pPr algn="ctr"/>
                    <a:endParaRPr lang="en-GB" sz="1100"/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44048" y="6543390"/>
                    <a:ext cx="416152" cy="359705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835654" cy="8069069"/>
                    <a:chOff x="3487208" y="5604955"/>
                    <a:chExt cx="34835654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383869"/>
                      <a:ext cx="22518243" cy="7290155"/>
                      <a:chOff x="13942124" y="-12698"/>
                      <a:chExt cx="21606129" cy="7290155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09755" y="173786"/>
                        <a:ext cx="869800" cy="9385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0.77 Ghours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  <a:p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1.35 Gg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91181" y="275921"/>
                        <a:ext cx="1175595" cy="84999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</a:p>
                      <a:p>
                        <a:r>
                          <a:rPr lang="en-GB" sz="1600" baseline="0"/>
                          <a:t>300 Km2 </a:t>
                        </a:r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321733"/>
                        <a:ext cx="874940" cy="749821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0.013 TL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109414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</a:p>
                      <a:p>
                        <a:r>
                          <a:rPr lang="en-GB" sz="1600" baseline="0"/>
                          <a:t>97.72 TJ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537600" y="1494572"/>
                        <a:ext cx="553675" cy="1005887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53877" y="167216"/>
                        <a:ext cx="808748" cy="749821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0.03 TL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843693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  <a:p>
                        <a:r>
                          <a:rPr lang="en-GB" sz="1600"/>
                          <a:t>304 TJ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7125477" y="1345534"/>
                        <a:ext cx="804130" cy="1011180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890336" y="-12698"/>
                        <a:ext cx="733252" cy="104336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0.07 Ghours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0.13Gg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46185" y="249011"/>
                        <a:ext cx="1034671" cy="90411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29 Km2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  <a:p>
                        <a:r>
                          <a:rPr lang="en-GB" sz="1600"/>
                          <a:t>0.55 Tg</a:t>
                        </a:r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0.052 Tg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865852" cy="965352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49" y="3244851"/>
                        <a:ext cx="1111366" cy="87463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908215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</a:p>
                      <a:p>
                        <a:pPr marL="0" marR="0" lvl="0" indent="0" algn="l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800" kern="12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3.49 Gg</a:t>
                        </a:r>
                        <a:endParaRPr lang="en-GB">
                          <a:effectLst/>
                        </a:endParaRPr>
                      </a:p>
                      <a:p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343166" cy="90820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843693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</a:p>
                      <a:p>
                        <a:r>
                          <a:rPr lang="en-GB" sz="1600" baseline="0"/>
                          <a:t>0Gg</a:t>
                        </a:r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63773" y="3128131"/>
                        <a:ext cx="2384480" cy="93692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345194" y="3188286"/>
                        <a:ext cx="1300711" cy="843693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</a:p>
                      <a:p>
                        <a:r>
                          <a:rPr lang="en-GB" sz="1600" baseline="0"/>
                          <a:t>0 Gg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7" y="6453454"/>
                      <a:ext cx="7559746" cy="7060406"/>
                      <a:chOff x="2445543" y="2378869"/>
                      <a:chExt cx="7301674" cy="7060406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2962556" y="3700795"/>
                        <a:ext cx="863366" cy="978055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3" y="2378869"/>
                        <a:ext cx="7301674" cy="7060406"/>
                        <a:chOff x="2278855" y="2474119"/>
                        <a:chExt cx="7301674" cy="7060406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368571" y="2705100"/>
                          <a:ext cx="853192" cy="729190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  <a:p>
                          <a:r>
                            <a:rPr lang="en-GB" sz="1400"/>
                            <a:t>1.23 TL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395732" y="2620054"/>
                          <a:ext cx="1184797" cy="90948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r>
                            <a:rPr lang="en-GB" sz="16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20881 Km2</a:t>
                          </a:r>
                        </a:p>
                        <a:p>
                          <a:endParaRPr lang="en-GB" sz="16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580105" y="2474119"/>
                          <a:ext cx="658777" cy="87852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  <a:p>
                          <a:r>
                            <a:rPr lang="en-GB" sz="1600"/>
                            <a:t>53 G hours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</a:p>
                        <a:p>
                          <a:r>
                            <a:rPr lang="en-GB" sz="1600" baseline="0"/>
                            <a:t>0.09 Tg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r>
                            <a:rPr lang="en-GB" sz="1600"/>
                            <a:t>38 Tg</a:t>
                          </a:r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5" y="3086100"/>
                          <a:ext cx="919338" cy="767290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  <a:p>
                          <a:r>
                            <a:rPr lang="en-GB" sz="1600"/>
                            <a:t>3630</a:t>
                          </a:r>
                          <a:r>
                            <a:rPr lang="en-GB" sz="1600" baseline="0"/>
                            <a:t> TJ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Animals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  <a:p>
                      <a:r>
                        <a:rPr lang="en-GB" sz="1600"/>
                        <a:t>1.66 Gg</a:t>
                      </a:r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  <a:p>
                      <a:pPr algn="ctr"/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130 Gg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  <a:p>
                      <a:pPr algn="ctr"/>
                      <a:r>
                        <a:rPr lang="en-GB" sz="1100"/>
                        <a:t>1.02</a:t>
                      </a:r>
                      <a:r>
                        <a:rPr lang="en-GB" sz="1100" baseline="0"/>
                        <a:t> Tg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  <a:p>
                      <a:pPr algn="ctr"/>
                      <a:r>
                        <a:rPr lang="en-GB" sz="1100"/>
                        <a:t>0Tg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53681" cy="629674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  <a:p>
                      <a:pPr algn="ctr"/>
                      <a:r>
                        <a:rPr lang="en-GB" sz="1100"/>
                        <a:t>0.09Tg</a:t>
                      </a:r>
                    </a:p>
                    <a:p>
                      <a:pPr algn="ctr"/>
                      <a:endParaRPr lang="en-GB" sz="1100"/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27432" y="6568109"/>
                      <a:ext cx="432993" cy="35721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  <a:p>
                  <a:pPr algn="ctr"/>
                  <a:r>
                    <a:rPr lang="en-GB" sz="1100"/>
                    <a:t>0.0007Tg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  <a:p>
                  <a:pPr algn="ctr"/>
                  <a:r>
                    <a:rPr lang="en-GB" sz="1100"/>
                    <a:t>0Tg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4" y="6156942"/>
                  <a:ext cx="1152532" cy="753219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  <a:p>
                  <a:pPr algn="ctr"/>
                  <a:r>
                    <a:rPr lang="en-GB" sz="1100"/>
                    <a:t>6.3Tg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30060906" y="6533552"/>
                  <a:ext cx="350019" cy="29543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  <a:p>
            <a:pPr algn="ctr"/>
            <a:r>
              <a:rPr lang="en-GB" sz="1100" baseline="0"/>
              <a:t>0.004 Tg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119062</xdr:colOff>
      <xdr:row>82</xdr:row>
      <xdr:rowOff>119062</xdr:rowOff>
    </xdr:from>
    <xdr:to>
      <xdr:col>35</xdr:col>
      <xdr:colOff>23812</xdr:colOff>
      <xdr:row>84</xdr:row>
      <xdr:rowOff>142875</xdr:rowOff>
    </xdr:to>
    <xdr:sp macro="" textlink="">
      <xdr:nvSpPr>
        <xdr:cNvPr id="5" name="TextBox 4"/>
        <xdr:cNvSpPr txBox="1"/>
      </xdr:nvSpPr>
      <xdr:spPr>
        <a:xfrm>
          <a:off x="16216312" y="15740062"/>
          <a:ext cx="5476875" cy="404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GB" sz="1800" b="0" i="0" u="none" strike="noStrike" kern="1200" cap="none" normalizeH="0" baseline="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Replacement animals 8.34 Gg</a:t>
          </a:r>
        </a:p>
        <a:p>
          <a:endParaRPr kumimoji="0" lang="en-GB" sz="1800" b="0" i="0" u="none" strike="noStrike" kern="1200" cap="none" normalizeH="0" baseline="0">
            <a:ln>
              <a:noFill/>
            </a:ln>
            <a:solidFill>
              <a:srgbClr val="000000"/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UK/Copy%20of%20Beef%20Production_UK_%20my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herd"/>
      <sheetName val="Input"/>
      <sheetName val="Output"/>
      <sheetName val="Import &amp; Export"/>
      <sheetName val="Coefficients"/>
      <sheetName val="SEM per week"/>
      <sheetName val="SEM per year (Statistics)"/>
      <sheetName val="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/>
      <sheetData sheetId="1">
        <row r="12">
          <cell r="K12" t="str">
            <v>Kg/year</v>
          </cell>
        </row>
        <row r="25">
          <cell r="K25" t="str">
            <v>Kg/year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opLeftCell="B13" workbookViewId="0">
      <selection activeCell="L15" sqref="L15"/>
    </sheetView>
  </sheetViews>
  <sheetFormatPr defaultRowHeight="15" x14ac:dyDescent="0.25"/>
  <cols>
    <col min="1" max="1" width="27.85546875" customWidth="1"/>
    <col min="2" max="2" width="57.42578125" customWidth="1"/>
    <col min="4" max="4" width="19.28515625" customWidth="1"/>
    <col min="5" max="5" width="16.7109375" customWidth="1"/>
    <col min="7" max="7" width="17.85546875" customWidth="1"/>
    <col min="8" max="8" width="29" customWidth="1"/>
    <col min="9" max="9" width="41.7109375" customWidth="1"/>
    <col min="10" max="10" width="29.85546875" customWidth="1"/>
    <col min="12" max="12" width="19.85546875" customWidth="1"/>
  </cols>
  <sheetData>
    <row r="1" spans="1:14" x14ac:dyDescent="0.25">
      <c r="A1" s="3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11" t="s">
        <v>12</v>
      </c>
      <c r="I1" s="3" t="s">
        <v>59</v>
      </c>
      <c r="J1" s="12"/>
      <c r="K1" t="s">
        <v>60</v>
      </c>
      <c r="L1" t="s">
        <v>9</v>
      </c>
      <c r="M1" t="s">
        <v>10</v>
      </c>
      <c r="N1" t="s">
        <v>54</v>
      </c>
    </row>
    <row r="2" spans="1:14" x14ac:dyDescent="0.25">
      <c r="B2" t="s">
        <v>267</v>
      </c>
      <c r="C2">
        <v>2013</v>
      </c>
      <c r="D2" t="s">
        <v>61</v>
      </c>
      <c r="E2" s="13">
        <v>10600</v>
      </c>
      <c r="F2" t="s">
        <v>62</v>
      </c>
      <c r="G2" t="s">
        <v>15</v>
      </c>
      <c r="H2" s="11"/>
      <c r="J2" t="s">
        <v>64</v>
      </c>
      <c r="K2" t="s">
        <v>65</v>
      </c>
      <c r="L2">
        <f>L14+L25+L38</f>
        <v>95284822.192850009</v>
      </c>
    </row>
    <row r="3" spans="1:14" x14ac:dyDescent="0.25">
      <c r="D3" t="s">
        <v>61</v>
      </c>
      <c r="E3" s="13"/>
      <c r="F3" t="s">
        <v>66</v>
      </c>
      <c r="H3" s="11"/>
    </row>
    <row r="4" spans="1:14" x14ac:dyDescent="0.25">
      <c r="A4" s="3" t="s">
        <v>1</v>
      </c>
      <c r="B4" s="2" t="s">
        <v>2</v>
      </c>
      <c r="H4" s="11"/>
    </row>
    <row r="5" spans="1:14" x14ac:dyDescent="0.25">
      <c r="B5" t="s">
        <v>145</v>
      </c>
      <c r="D5" t="s">
        <v>67</v>
      </c>
      <c r="E5" s="14">
        <f>117524+44602</f>
        <v>162126</v>
      </c>
      <c r="F5" t="s">
        <v>68</v>
      </c>
      <c r="G5" t="s">
        <v>75</v>
      </c>
      <c r="H5" s="11"/>
    </row>
    <row r="6" spans="1:14" x14ac:dyDescent="0.25">
      <c r="B6" t="s">
        <v>146</v>
      </c>
      <c r="D6" t="s">
        <v>69</v>
      </c>
      <c r="E6" s="14">
        <f>4701+1784</f>
        <v>6485</v>
      </c>
      <c r="F6" t="s">
        <v>70</v>
      </c>
      <c r="G6" t="s">
        <v>75</v>
      </c>
      <c r="H6" s="11"/>
      <c r="I6" s="3" t="s">
        <v>59</v>
      </c>
      <c r="J6" s="2" t="s">
        <v>2</v>
      </c>
    </row>
    <row r="7" spans="1:14" x14ac:dyDescent="0.25">
      <c r="B7" t="s">
        <v>26</v>
      </c>
      <c r="D7" t="s">
        <v>69</v>
      </c>
      <c r="E7" s="14">
        <f>SUM(E5:E6)</f>
        <v>168611</v>
      </c>
      <c r="F7" t="s">
        <v>71</v>
      </c>
      <c r="G7" t="s">
        <v>75</v>
      </c>
      <c r="H7" s="11"/>
    </row>
    <row r="8" spans="1:14" x14ac:dyDescent="0.25">
      <c r="E8" s="14"/>
      <c r="H8" s="11"/>
    </row>
    <row r="9" spans="1:14" x14ac:dyDescent="0.25">
      <c r="B9" t="s">
        <v>72</v>
      </c>
      <c r="C9">
        <v>2010</v>
      </c>
      <c r="D9" t="s">
        <v>73</v>
      </c>
      <c r="E9" s="14">
        <v>550</v>
      </c>
      <c r="F9" t="s">
        <v>74</v>
      </c>
      <c r="G9" t="s">
        <v>75</v>
      </c>
      <c r="H9" s="11"/>
    </row>
    <row r="10" spans="1:14" x14ac:dyDescent="0.25">
      <c r="B10" t="s">
        <v>76</v>
      </c>
      <c r="C10">
        <v>2010</v>
      </c>
      <c r="D10" t="s">
        <v>73</v>
      </c>
      <c r="E10" s="14">
        <v>715</v>
      </c>
      <c r="F10" t="s">
        <v>77</v>
      </c>
      <c r="G10" t="s">
        <v>75</v>
      </c>
      <c r="H10" s="11"/>
    </row>
    <row r="11" spans="1:14" x14ac:dyDescent="0.25">
      <c r="B11" t="s">
        <v>78</v>
      </c>
      <c r="C11">
        <v>2010</v>
      </c>
      <c r="D11" t="s">
        <v>79</v>
      </c>
      <c r="E11" s="15">
        <v>0.03</v>
      </c>
      <c r="F11" t="s">
        <v>80</v>
      </c>
      <c r="G11" t="s">
        <v>75</v>
      </c>
      <c r="H11" s="11"/>
    </row>
    <row r="12" spans="1:14" x14ac:dyDescent="0.25">
      <c r="B12" t="s">
        <v>81</v>
      </c>
      <c r="C12">
        <v>2010</v>
      </c>
      <c r="D12" t="s">
        <v>82</v>
      </c>
      <c r="E12" s="14">
        <v>28</v>
      </c>
      <c r="F12" t="s">
        <v>83</v>
      </c>
      <c r="G12" t="s">
        <v>75</v>
      </c>
      <c r="H12" s="11"/>
      <c r="I12" s="16"/>
      <c r="J12" t="s">
        <v>84</v>
      </c>
      <c r="K12" t="s">
        <v>65</v>
      </c>
      <c r="L12">
        <f>E6*E10</f>
        <v>4636775</v>
      </c>
    </row>
    <row r="13" spans="1:14" x14ac:dyDescent="0.25">
      <c r="B13" t="s">
        <v>85</v>
      </c>
      <c r="C13">
        <v>2010</v>
      </c>
      <c r="D13" t="s">
        <v>79</v>
      </c>
      <c r="E13" s="15">
        <v>0.15</v>
      </c>
      <c r="F13" t="s">
        <v>86</v>
      </c>
      <c r="G13" t="s">
        <v>75</v>
      </c>
      <c r="H13" s="11"/>
      <c r="J13" t="s">
        <v>87</v>
      </c>
      <c r="K13" t="s">
        <v>65</v>
      </c>
      <c r="L13">
        <f>E5*E9</f>
        <v>89169300</v>
      </c>
    </row>
    <row r="14" spans="1:14" x14ac:dyDescent="0.25">
      <c r="B14" s="17" t="s">
        <v>88</v>
      </c>
      <c r="C14">
        <v>2010</v>
      </c>
      <c r="D14" t="s">
        <v>79</v>
      </c>
      <c r="E14" s="15">
        <v>0.93</v>
      </c>
      <c r="F14" t="s">
        <v>89</v>
      </c>
      <c r="G14" t="s">
        <v>75</v>
      </c>
      <c r="H14" s="11"/>
      <c r="I14" s="12" t="s">
        <v>90</v>
      </c>
      <c r="J14" t="s">
        <v>91</v>
      </c>
      <c r="K14" t="s">
        <v>65</v>
      </c>
      <c r="L14">
        <f>SUM(L12:L13)</f>
        <v>93806075</v>
      </c>
    </row>
    <row r="15" spans="1:14" x14ac:dyDescent="0.25">
      <c r="B15" s="18" t="s">
        <v>92</v>
      </c>
      <c r="C15" s="19"/>
      <c r="D15" s="19" t="s">
        <v>79</v>
      </c>
      <c r="E15" s="15">
        <v>0.93</v>
      </c>
      <c r="F15" s="19"/>
      <c r="G15" s="19" t="s">
        <v>93</v>
      </c>
      <c r="H15" s="11"/>
      <c r="I15" s="20"/>
    </row>
    <row r="16" spans="1:14" x14ac:dyDescent="0.25">
      <c r="B16" s="18" t="s">
        <v>266</v>
      </c>
      <c r="C16" s="19"/>
      <c r="D16" s="19" t="s">
        <v>79</v>
      </c>
      <c r="E16" s="15">
        <v>7.0000000000000007E-2</v>
      </c>
      <c r="F16" s="19"/>
      <c r="G16" s="19" t="s">
        <v>93</v>
      </c>
      <c r="H16" s="11"/>
      <c r="I16" s="36"/>
      <c r="K16" t="s">
        <v>103</v>
      </c>
    </row>
    <row r="17" spans="1:17" x14ac:dyDescent="0.25">
      <c r="B17" s="17" t="s">
        <v>94</v>
      </c>
      <c r="D17" t="s">
        <v>67</v>
      </c>
      <c r="E17">
        <f>(E5*E15)/100%</f>
        <v>150777.18000000002</v>
      </c>
      <c r="H17" s="11"/>
      <c r="K17" t="s">
        <v>95</v>
      </c>
      <c r="L17">
        <f>L14/1000000000</f>
        <v>9.3806075000000003E-2</v>
      </c>
    </row>
    <row r="18" spans="1:17" x14ac:dyDescent="0.25">
      <c r="B18" s="17" t="s">
        <v>96</v>
      </c>
      <c r="D18" t="s">
        <v>67</v>
      </c>
      <c r="E18" s="14">
        <f>(E5*E16)/100%</f>
        <v>11348.820000000002</v>
      </c>
      <c r="H18" s="11"/>
    </row>
    <row r="19" spans="1:17" x14ac:dyDescent="0.25">
      <c r="B19" s="2" t="s">
        <v>3</v>
      </c>
      <c r="H19" s="11"/>
    </row>
    <row r="20" spans="1:17" x14ac:dyDescent="0.25">
      <c r="E20" s="14"/>
      <c r="H20" s="11"/>
      <c r="I20" s="3" t="s">
        <v>59</v>
      </c>
      <c r="J20" s="2" t="s">
        <v>3</v>
      </c>
    </row>
    <row r="21" spans="1:17" x14ac:dyDescent="0.25">
      <c r="E21" s="14"/>
      <c r="H21" s="11"/>
    </row>
    <row r="22" spans="1:17" x14ac:dyDescent="0.25">
      <c r="B22" t="s">
        <v>3</v>
      </c>
      <c r="D22" t="s">
        <v>69</v>
      </c>
      <c r="E22" s="14">
        <f>E5*E14*L30</f>
        <v>7538.8590000000013</v>
      </c>
      <c r="G22" t="s">
        <v>75</v>
      </c>
      <c r="H22" s="11"/>
    </row>
    <row r="23" spans="1:17" x14ac:dyDescent="0.25">
      <c r="B23" t="s">
        <v>97</v>
      </c>
      <c r="D23" t="s">
        <v>73</v>
      </c>
      <c r="E23">
        <v>40</v>
      </c>
      <c r="G23" t="s">
        <v>98</v>
      </c>
      <c r="H23" s="11"/>
      <c r="J23" s="19" t="s">
        <v>174</v>
      </c>
      <c r="K23" t="s">
        <v>65</v>
      </c>
      <c r="L23">
        <f>E22*E25</f>
        <v>1349455.7610000002</v>
      </c>
    </row>
    <row r="24" spans="1:17" x14ac:dyDescent="0.25">
      <c r="A24" s="21"/>
      <c r="B24" t="s">
        <v>99</v>
      </c>
      <c r="D24" t="s">
        <v>73</v>
      </c>
      <c r="E24" s="19">
        <v>277</v>
      </c>
      <c r="G24" t="s">
        <v>98</v>
      </c>
      <c r="H24" s="22"/>
      <c r="I24" s="21"/>
      <c r="J24" s="19"/>
      <c r="L24" s="19"/>
      <c r="M24" s="21"/>
      <c r="N24" s="21"/>
      <c r="O24" s="21"/>
      <c r="P24" s="21"/>
      <c r="Q24" s="21"/>
    </row>
    <row r="25" spans="1:17" x14ac:dyDescent="0.25">
      <c r="A25" s="21"/>
      <c r="B25" t="s">
        <v>100</v>
      </c>
      <c r="D25" t="s">
        <v>73</v>
      </c>
      <c r="E25" s="19">
        <v>179</v>
      </c>
      <c r="G25" t="s">
        <v>98</v>
      </c>
      <c r="H25" s="22"/>
      <c r="I25" s="19" t="s">
        <v>101</v>
      </c>
      <c r="J25" s="19" t="s">
        <v>102</v>
      </c>
      <c r="K25" t="s">
        <v>65</v>
      </c>
      <c r="L25" s="19">
        <f>SUM(L23:L24)</f>
        <v>1349455.7610000002</v>
      </c>
      <c r="M25" s="21"/>
      <c r="N25" s="21"/>
      <c r="O25" s="21"/>
      <c r="P25" s="21"/>
      <c r="Q25" s="21"/>
    </row>
    <row r="26" spans="1:17" x14ac:dyDescent="0.25">
      <c r="A26" s="21"/>
      <c r="E26" s="19"/>
      <c r="H26" s="22"/>
      <c r="I26" s="19"/>
      <c r="J26" s="19"/>
      <c r="L26" s="19"/>
      <c r="M26" s="21"/>
      <c r="N26" s="21"/>
      <c r="O26" s="21"/>
      <c r="P26" s="21"/>
      <c r="Q26" s="21"/>
    </row>
    <row r="27" spans="1:17" x14ac:dyDescent="0.25">
      <c r="A27" s="21"/>
      <c r="E27" s="19"/>
      <c r="H27" s="22"/>
      <c r="I27" s="19"/>
      <c r="J27" s="19"/>
      <c r="K27" t="s">
        <v>103</v>
      </c>
      <c r="L27" s="19">
        <f>L25/1000000</f>
        <v>1.3494557610000002</v>
      </c>
      <c r="M27" s="21"/>
      <c r="N27" s="21"/>
      <c r="O27" s="21"/>
      <c r="P27" s="21"/>
      <c r="Q27" s="21"/>
    </row>
    <row r="28" spans="1:17" x14ac:dyDescent="0.25">
      <c r="A28" s="21"/>
      <c r="E28" s="19"/>
      <c r="H28" s="22"/>
      <c r="I28" s="21"/>
      <c r="J28" s="19"/>
      <c r="L28" s="19"/>
      <c r="M28" s="21"/>
      <c r="N28" s="21"/>
      <c r="O28" s="21"/>
      <c r="P28" s="21"/>
      <c r="Q28" s="21"/>
    </row>
    <row r="29" spans="1:17" x14ac:dyDescent="0.25">
      <c r="A29" s="21"/>
      <c r="B29" s="19" t="s">
        <v>104</v>
      </c>
      <c r="C29" s="19">
        <v>2010</v>
      </c>
      <c r="D29" s="19" t="s">
        <v>79</v>
      </c>
      <c r="E29" s="15">
        <v>0.1</v>
      </c>
      <c r="F29" s="19"/>
      <c r="G29" s="19" t="s">
        <v>75</v>
      </c>
      <c r="H29" s="22"/>
      <c r="I29" s="21"/>
      <c r="J29" s="19" t="s">
        <v>105</v>
      </c>
      <c r="K29" s="19" t="s">
        <v>106</v>
      </c>
      <c r="L29" s="19">
        <f>(E24-E23)/365</f>
        <v>0.64931506849315068</v>
      </c>
      <c r="M29" s="21"/>
      <c r="N29" s="21"/>
      <c r="O29" s="21"/>
      <c r="P29" s="21"/>
      <c r="Q29" s="21"/>
    </row>
    <row r="30" spans="1:17" x14ac:dyDescent="0.25">
      <c r="A30" s="21"/>
      <c r="B30" s="19" t="s">
        <v>107</v>
      </c>
      <c r="C30" s="19">
        <v>2010</v>
      </c>
      <c r="D30" s="19" t="s">
        <v>79</v>
      </c>
      <c r="E30" s="15">
        <v>0.1</v>
      </c>
      <c r="F30" s="19"/>
      <c r="G30" s="19" t="s">
        <v>75</v>
      </c>
      <c r="H30" s="22"/>
      <c r="I30" s="21"/>
      <c r="J30" s="19" t="s">
        <v>108</v>
      </c>
      <c r="K30" s="19" t="s">
        <v>79</v>
      </c>
      <c r="L30" s="19">
        <f>E30/2</f>
        <v>0.05</v>
      </c>
      <c r="M30" s="21"/>
      <c r="N30" s="21"/>
      <c r="O30" s="21"/>
      <c r="P30" s="21"/>
      <c r="Q30" s="21"/>
    </row>
    <row r="31" spans="1:17" x14ac:dyDescent="0.25">
      <c r="A31" s="21"/>
      <c r="B31" s="21"/>
      <c r="C31" s="21"/>
      <c r="D31" s="21"/>
      <c r="E31" s="23"/>
      <c r="F31" s="21"/>
      <c r="G31" s="21"/>
      <c r="H31" s="22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9"/>
      <c r="B32" s="19"/>
      <c r="C32" s="19"/>
      <c r="D32" s="19"/>
      <c r="E32" s="19"/>
      <c r="F32" s="19"/>
      <c r="G32" s="19"/>
      <c r="H32" s="24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A33" s="19"/>
      <c r="B33" s="19"/>
      <c r="C33" s="19"/>
      <c r="D33" s="19"/>
      <c r="E33" s="19"/>
      <c r="F33" s="19"/>
      <c r="G33" s="19"/>
      <c r="H33" s="24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5">
      <c r="B34" s="2" t="s">
        <v>4</v>
      </c>
      <c r="H34" s="11"/>
      <c r="I34" s="3" t="s">
        <v>59</v>
      </c>
      <c r="J34" s="2" t="s">
        <v>4</v>
      </c>
    </row>
    <row r="35" spans="1:17" x14ac:dyDescent="0.25">
      <c r="B35" t="s">
        <v>4</v>
      </c>
      <c r="D35" t="s">
        <v>67</v>
      </c>
      <c r="E35" s="14">
        <f>E22*L43</f>
        <v>376.94295000000011</v>
      </c>
      <c r="G35" t="s">
        <v>75</v>
      </c>
      <c r="H35" s="11" t="s">
        <v>63</v>
      </c>
    </row>
    <row r="36" spans="1:17" x14ac:dyDescent="0.25">
      <c r="B36" s="17"/>
      <c r="E36" s="14"/>
      <c r="H36" s="11" t="s">
        <v>63</v>
      </c>
      <c r="J36" t="s">
        <v>175</v>
      </c>
      <c r="L36">
        <f>E35*E39</f>
        <v>129291.43185000004</v>
      </c>
    </row>
    <row r="37" spans="1:17" x14ac:dyDescent="0.25">
      <c r="B37" t="s">
        <v>110</v>
      </c>
      <c r="D37" t="s">
        <v>73</v>
      </c>
      <c r="E37" s="19">
        <v>277</v>
      </c>
      <c r="G37" t="s">
        <v>98</v>
      </c>
      <c r="H37" s="11"/>
    </row>
    <row r="38" spans="1:17" x14ac:dyDescent="0.25">
      <c r="A38" s="21"/>
      <c r="B38" t="s">
        <v>111</v>
      </c>
      <c r="D38" t="s">
        <v>73</v>
      </c>
      <c r="E38" s="19">
        <v>388</v>
      </c>
      <c r="G38" t="s">
        <v>98</v>
      </c>
      <c r="H38" s="22"/>
      <c r="I38" s="19" t="s">
        <v>101</v>
      </c>
      <c r="J38" s="19" t="s">
        <v>112</v>
      </c>
      <c r="K38" s="19" t="s">
        <v>109</v>
      </c>
      <c r="L38" s="19">
        <f>SUM(L36:L37)</f>
        <v>129291.43185000004</v>
      </c>
      <c r="M38" s="21"/>
      <c r="N38" s="21"/>
      <c r="O38" s="21"/>
      <c r="P38" s="21"/>
      <c r="Q38" s="21"/>
    </row>
    <row r="39" spans="1:17" x14ac:dyDescent="0.25">
      <c r="A39" s="21"/>
      <c r="B39" t="s">
        <v>113</v>
      </c>
      <c r="D39" t="s">
        <v>73</v>
      </c>
      <c r="E39" s="19">
        <v>343</v>
      </c>
      <c r="G39" t="s">
        <v>98</v>
      </c>
      <c r="H39" s="22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21"/>
      <c r="E40" s="19"/>
      <c r="H40" s="22"/>
      <c r="I40" s="21"/>
      <c r="J40" s="21"/>
      <c r="K40" s="19" t="s">
        <v>103</v>
      </c>
      <c r="L40" s="19">
        <f>L38/1000000</f>
        <v>0.12929143185000003</v>
      </c>
      <c r="M40" s="21"/>
      <c r="N40" s="21"/>
      <c r="O40" s="21"/>
      <c r="P40" s="21"/>
      <c r="Q40" s="21"/>
    </row>
    <row r="41" spans="1:17" x14ac:dyDescent="0.25">
      <c r="A41" s="21"/>
      <c r="E41" s="19"/>
      <c r="H41" s="22"/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21"/>
      <c r="H42" s="22"/>
      <c r="I42" s="21"/>
      <c r="J42" s="19" t="s">
        <v>114</v>
      </c>
      <c r="K42" s="19" t="s">
        <v>106</v>
      </c>
      <c r="L42" s="19">
        <f>(E38-E37)/365</f>
        <v>0.30410958904109592</v>
      </c>
      <c r="M42" s="21"/>
      <c r="N42" s="21"/>
      <c r="O42" s="21"/>
      <c r="P42" s="21"/>
      <c r="Q42" s="21"/>
    </row>
    <row r="43" spans="1:17" x14ac:dyDescent="0.25">
      <c r="A43" s="21"/>
      <c r="B43" s="18" t="s">
        <v>104</v>
      </c>
      <c r="C43" s="19">
        <v>2010</v>
      </c>
      <c r="D43" s="19" t="s">
        <v>79</v>
      </c>
      <c r="E43" s="15">
        <v>0.1</v>
      </c>
      <c r="F43" s="19"/>
      <c r="G43" s="19" t="s">
        <v>75</v>
      </c>
      <c r="H43" s="22"/>
      <c r="I43" s="21"/>
      <c r="J43" s="19" t="s">
        <v>115</v>
      </c>
      <c r="K43" s="19" t="s">
        <v>79</v>
      </c>
      <c r="L43" s="19">
        <f>E44/2</f>
        <v>0.05</v>
      </c>
      <c r="M43" s="21"/>
      <c r="N43" s="21"/>
      <c r="O43" s="21"/>
      <c r="P43" s="21"/>
      <c r="Q43" s="21"/>
    </row>
    <row r="44" spans="1:17" x14ac:dyDescent="0.25">
      <c r="A44" s="21"/>
      <c r="B44" s="19" t="s">
        <v>116</v>
      </c>
      <c r="C44" s="19">
        <v>2010</v>
      </c>
      <c r="D44" s="19" t="s">
        <v>79</v>
      </c>
      <c r="E44" s="15">
        <v>0.1</v>
      </c>
      <c r="F44" s="19"/>
      <c r="G44" s="19" t="s">
        <v>75</v>
      </c>
      <c r="H44" s="22"/>
      <c r="I44" s="21"/>
      <c r="J44" s="19"/>
      <c r="K44" s="19"/>
      <c r="L44" s="19"/>
      <c r="M44" s="21"/>
      <c r="N44" s="21"/>
      <c r="O44" s="21"/>
      <c r="P44" s="21"/>
      <c r="Q44" s="21"/>
    </row>
    <row r="45" spans="1:17" x14ac:dyDescent="0.25">
      <c r="A45" s="3" t="s">
        <v>5</v>
      </c>
      <c r="H45" s="11"/>
      <c r="J45" t="s">
        <v>117</v>
      </c>
      <c r="K45" s="19" t="s">
        <v>43</v>
      </c>
      <c r="L45">
        <f>E5*E13</f>
        <v>24318.899999999998</v>
      </c>
    </row>
    <row r="46" spans="1:17" x14ac:dyDescent="0.25">
      <c r="A46" s="3"/>
      <c r="H46" s="11"/>
      <c r="K46" s="19" t="s">
        <v>109</v>
      </c>
      <c r="L46">
        <f>L45*E39</f>
        <v>8341382.6999999993</v>
      </c>
    </row>
    <row r="47" spans="1:17" x14ac:dyDescent="0.25">
      <c r="B47" t="s">
        <v>118</v>
      </c>
      <c r="C47" t="s">
        <v>119</v>
      </c>
      <c r="D47" t="s">
        <v>120</v>
      </c>
      <c r="E47">
        <f>'Variables calculations'!D3*('Data herd'!E9)^0.75</f>
        <v>43.838867036162007</v>
      </c>
      <c r="G47" t="s">
        <v>121</v>
      </c>
      <c r="H47" s="11"/>
      <c r="K47" s="19" t="s">
        <v>103</v>
      </c>
      <c r="L47">
        <f>L46/1000000</f>
        <v>8.3413826999999987</v>
      </c>
    </row>
    <row r="48" spans="1:17" x14ac:dyDescent="0.25">
      <c r="B48" t="s">
        <v>122</v>
      </c>
      <c r="C48" t="s">
        <v>119</v>
      </c>
      <c r="D48" t="s">
        <v>120</v>
      </c>
      <c r="E48">
        <f>'Variables calculations'!D2*('Data herd'!E9)^0.75</f>
        <v>36.570246594933074</v>
      </c>
      <c r="G48" t="s">
        <v>121</v>
      </c>
      <c r="H48" s="11"/>
    </row>
    <row r="49" spans="2:8" x14ac:dyDescent="0.25">
      <c r="B49" t="s">
        <v>123</v>
      </c>
      <c r="C49" t="s">
        <v>119</v>
      </c>
      <c r="D49" t="s">
        <v>120</v>
      </c>
      <c r="E49">
        <f>'Variables calculations'!D4*('Data herd'!E10)^0.75</f>
        <v>51.160084770450617</v>
      </c>
      <c r="G49" t="s">
        <v>121</v>
      </c>
      <c r="H49" s="11"/>
    </row>
    <row r="50" spans="2:8" x14ac:dyDescent="0.25">
      <c r="B50" t="s">
        <v>124</v>
      </c>
      <c r="C50" t="s">
        <v>119</v>
      </c>
      <c r="D50" t="s">
        <v>120</v>
      </c>
      <c r="E50">
        <f>'Variables calculations'!D2*('Data herd'!E25)^0.75</f>
        <v>15.757802208705906</v>
      </c>
      <c r="G50" t="s">
        <v>121</v>
      </c>
      <c r="H50" s="11"/>
    </row>
    <row r="51" spans="2:8" x14ac:dyDescent="0.25">
      <c r="B51" t="s">
        <v>125</v>
      </c>
      <c r="C51" t="s">
        <v>119</v>
      </c>
      <c r="D51" t="s">
        <v>120</v>
      </c>
      <c r="E51">
        <f>'Variables calculations'!D2*('Data herd'!E39)^0.75</f>
        <v>25.664124990467663</v>
      </c>
      <c r="G51" t="s">
        <v>121</v>
      </c>
      <c r="H51" s="11"/>
    </row>
    <row r="52" spans="2:8" x14ac:dyDescent="0.25">
      <c r="B52" t="s">
        <v>126</v>
      </c>
      <c r="C52" t="s">
        <v>119</v>
      </c>
      <c r="D52" t="s">
        <v>120</v>
      </c>
      <c r="E52">
        <f>'Variables calculations'!D4*('Data herd'!E39)^0.75</f>
        <v>29.489833063580853</v>
      </c>
      <c r="G52" t="s">
        <v>121</v>
      </c>
      <c r="H52" s="11"/>
    </row>
    <row r="53" spans="2:8" x14ac:dyDescent="0.25">
      <c r="H53" s="11"/>
    </row>
    <row r="54" spans="2:8" x14ac:dyDescent="0.25">
      <c r="B54" t="s">
        <v>170</v>
      </c>
      <c r="D54" t="s">
        <v>120</v>
      </c>
      <c r="E54">
        <f>'Variables calculations'!$D$6*('Data herd'!E47)</f>
        <v>7.4526073961475419</v>
      </c>
      <c r="G54" t="s">
        <v>121</v>
      </c>
      <c r="H54" s="11"/>
    </row>
    <row r="55" spans="2:8" x14ac:dyDescent="0.25">
      <c r="B55" t="s">
        <v>171</v>
      </c>
      <c r="D55" t="s">
        <v>120</v>
      </c>
      <c r="E55">
        <f>'Variables calculations'!D6*'Data herd'!E48</f>
        <v>6.2169419211386234</v>
      </c>
      <c r="H55" s="11"/>
    </row>
    <row r="56" spans="2:8" x14ac:dyDescent="0.25">
      <c r="B56" t="s">
        <v>127</v>
      </c>
      <c r="D56" t="s">
        <v>120</v>
      </c>
      <c r="E56">
        <f>'Variables calculations'!D6*('Data herd'!E49)</f>
        <v>8.6972144109766063</v>
      </c>
      <c r="G56" t="s">
        <v>121</v>
      </c>
      <c r="H56" s="11"/>
    </row>
    <row r="57" spans="2:8" x14ac:dyDescent="0.25">
      <c r="B57" t="s">
        <v>128</v>
      </c>
      <c r="D57" t="s">
        <v>120</v>
      </c>
      <c r="E57">
        <f>'Variables calculations'!D6*'Data herd'!E50</f>
        <v>2.6788263754800044</v>
      </c>
      <c r="G57" t="s">
        <v>121</v>
      </c>
      <c r="H57" s="11"/>
    </row>
    <row r="58" spans="2:8" x14ac:dyDescent="0.25">
      <c r="B58" t="s">
        <v>172</v>
      </c>
      <c r="D58" t="s">
        <v>120</v>
      </c>
      <c r="E58">
        <f>'Variables calculations'!$D$6*('Data herd'!E51)</f>
        <v>4.3629012483795027</v>
      </c>
      <c r="G58" t="s">
        <v>121</v>
      </c>
      <c r="H58" s="11"/>
    </row>
    <row r="59" spans="2:8" x14ac:dyDescent="0.25">
      <c r="B59" t="s">
        <v>173</v>
      </c>
      <c r="D59" t="s">
        <v>120</v>
      </c>
      <c r="E59">
        <f>'Variables calculations'!$D$6*('Data herd'!E52)</f>
        <v>5.0132716208087453</v>
      </c>
      <c r="H59" s="11"/>
    </row>
    <row r="60" spans="2:8" x14ac:dyDescent="0.25">
      <c r="H60" s="11"/>
    </row>
    <row r="61" spans="2:8" x14ac:dyDescent="0.25">
      <c r="B61" t="s">
        <v>129</v>
      </c>
      <c r="D61" t="s">
        <v>120</v>
      </c>
      <c r="E61">
        <f>22.02*((E25/('Variables calculations'!D9*E9))^0.75)*(L29^1.097)</f>
        <v>6.9844344176035458</v>
      </c>
      <c r="G61" t="s">
        <v>121</v>
      </c>
      <c r="H61" s="11"/>
    </row>
    <row r="62" spans="2:8" x14ac:dyDescent="0.25">
      <c r="B62" t="s">
        <v>130</v>
      </c>
      <c r="D62" t="s">
        <v>120</v>
      </c>
      <c r="E62">
        <f>22.02*((E39/('Variables calculations'!D9*E9))^0.75)*(L42^1.097)</f>
        <v>4.9497405221769171</v>
      </c>
      <c r="G62" t="s">
        <v>121</v>
      </c>
      <c r="H62" s="11"/>
    </row>
    <row r="63" spans="2:8" x14ac:dyDescent="0.25">
      <c r="B63" t="s">
        <v>131</v>
      </c>
      <c r="D63" t="s">
        <v>120</v>
      </c>
      <c r="E63">
        <f>22.02*((E39/('Variables calculations'!D10*E9))^0.75)*(L42^1.097)</f>
        <v>3.6518588954008151</v>
      </c>
      <c r="G63" t="s">
        <v>121</v>
      </c>
      <c r="H63" s="11"/>
    </row>
    <row r="64" spans="2:8" x14ac:dyDescent="0.25">
      <c r="H64" s="11"/>
    </row>
    <row r="65" spans="2:8" x14ac:dyDescent="0.25">
      <c r="H65" s="11"/>
    </row>
    <row r="66" spans="2:8" x14ac:dyDescent="0.25">
      <c r="B66" t="s">
        <v>132</v>
      </c>
      <c r="D66" t="s">
        <v>120</v>
      </c>
      <c r="E66">
        <f>'Variables calculations'!D18*(1.47+0.4*'Variables calculations'!D17)</f>
        <v>64.050038356164379</v>
      </c>
      <c r="G66" t="s">
        <v>121</v>
      </c>
      <c r="H66" s="11"/>
    </row>
    <row r="67" spans="2:8" x14ac:dyDescent="0.25">
      <c r="H67" s="11"/>
    </row>
    <row r="68" spans="2:8" x14ac:dyDescent="0.25">
      <c r="H68" s="11"/>
    </row>
    <row r="69" spans="2:8" x14ac:dyDescent="0.25">
      <c r="B69" t="s">
        <v>176</v>
      </c>
      <c r="D69" t="s">
        <v>120</v>
      </c>
      <c r="E69">
        <f>'Variables calculations'!D20*'Data herd'!E47</f>
        <v>4.3838867036162013</v>
      </c>
      <c r="G69" t="s">
        <v>121</v>
      </c>
      <c r="H69" s="11"/>
    </row>
    <row r="70" spans="2:8" x14ac:dyDescent="0.25">
      <c r="H70" s="11"/>
    </row>
    <row r="71" spans="2:8" x14ac:dyDescent="0.25">
      <c r="H71" s="11"/>
    </row>
    <row r="72" spans="2:8" x14ac:dyDescent="0.25">
      <c r="B72" t="s">
        <v>133</v>
      </c>
      <c r="D72" t="s">
        <v>120</v>
      </c>
      <c r="E72">
        <f>(1.123-(4.092*10^-3*'Variables calculations'!D12)+(1.126*10^-5*('Variables calculations'!D12)^2)-(25.4/'Variables calculations'!D12))</f>
        <v>0.51382426923076929</v>
      </c>
      <c r="G72" t="s">
        <v>121</v>
      </c>
      <c r="H72" s="11"/>
    </row>
    <row r="73" spans="2:8" x14ac:dyDescent="0.25">
      <c r="B73" t="s">
        <v>134</v>
      </c>
      <c r="D73" t="s">
        <v>120</v>
      </c>
      <c r="E73">
        <f>(1.123-(4.092*10^-3*'Variables calculations'!D13)+(1.126*10^-5*('Variables calculations'!D13)^2)-(25.4/'Variables calculations'!D13))</f>
        <v>0.54077083333333342</v>
      </c>
      <c r="G73" t="s">
        <v>121</v>
      </c>
      <c r="H73" s="11"/>
    </row>
    <row r="74" spans="2:8" x14ac:dyDescent="0.25">
      <c r="B74" t="s">
        <v>135</v>
      </c>
      <c r="D74" t="s">
        <v>120</v>
      </c>
      <c r="E74">
        <f>(1.123-(4.092*10^-3*'Variables calculations'!D14)+(1.126*10^-5*('Variables calculations'!D14)^2)-(25.4/'Variables calculations'!D14))</f>
        <v>0.52887685714285726</v>
      </c>
      <c r="G74" t="s">
        <v>121</v>
      </c>
      <c r="H74" s="11"/>
    </row>
    <row r="75" spans="2:8" x14ac:dyDescent="0.25">
      <c r="H75" s="11"/>
    </row>
    <row r="76" spans="2:8" x14ac:dyDescent="0.25">
      <c r="B76" t="s">
        <v>136</v>
      </c>
      <c r="D76" t="s">
        <v>120</v>
      </c>
      <c r="E76">
        <f>(1.1164-(5.16*10^-3*'Variables calculations'!D12)+(1.308*10^-5*('Variables calculations'!D12)^2)-37.4/'Variables calculations'!D12)</f>
        <v>0.2608783846153846</v>
      </c>
      <c r="G76" t="s">
        <v>121</v>
      </c>
      <c r="H76" s="11"/>
    </row>
    <row r="77" spans="2:8" x14ac:dyDescent="0.25">
      <c r="B77" t="s">
        <v>137</v>
      </c>
      <c r="D77" t="s">
        <v>120</v>
      </c>
      <c r="E77">
        <f>(1.1164-(5.16*10^-3*'Variables calculations'!D13)+(1.308*10^-5*('Variables calculations'!D13)^2)-37.4/'Variables calculations'!D13)</f>
        <v>0.30430833333333346</v>
      </c>
      <c r="G77" t="s">
        <v>121</v>
      </c>
      <c r="H77" s="11"/>
    </row>
    <row r="78" spans="2:8" x14ac:dyDescent="0.25">
      <c r="B78" t="s">
        <v>138</v>
      </c>
      <c r="D78" t="s">
        <v>120</v>
      </c>
      <c r="E78">
        <f>(1.1164-(5.16*10^-3*'Variables calculations'!D14)+(1.308*10^-5*('Variables calculations'!D14)^2)-37.4/'Variables calculations'!D14)</f>
        <v>0.28500628571428588</v>
      </c>
      <c r="G78" t="s">
        <v>121</v>
      </c>
      <c r="H78" s="11"/>
    </row>
    <row r="79" spans="2:8" x14ac:dyDescent="0.25">
      <c r="H79" s="11"/>
    </row>
    <row r="80" spans="2:8" x14ac:dyDescent="0.25">
      <c r="H80" s="11"/>
    </row>
    <row r="81" spans="2:8" x14ac:dyDescent="0.25">
      <c r="B81" t="s">
        <v>139</v>
      </c>
      <c r="D81" t="s">
        <v>120</v>
      </c>
      <c r="E81">
        <f>(((E47+E54+E66+E69)/E72)/('Variables calculations'!D12/100))</f>
        <v>358.47454728300954</v>
      </c>
      <c r="G81" t="s">
        <v>121</v>
      </c>
      <c r="H81" s="11"/>
    </row>
    <row r="82" spans="2:8" x14ac:dyDescent="0.25">
      <c r="B82" t="s">
        <v>140</v>
      </c>
      <c r="D82" t="s">
        <v>120</v>
      </c>
      <c r="E82" s="18">
        <f>(((E48+E54)/E72)/('Variables calculations'!D12/100))</f>
        <v>131.81056585742493</v>
      </c>
      <c r="G82" t="s">
        <v>121</v>
      </c>
      <c r="H82" s="11"/>
    </row>
    <row r="83" spans="2:8" x14ac:dyDescent="0.25">
      <c r="B83" t="s">
        <v>141</v>
      </c>
      <c r="D83" t="s">
        <v>120</v>
      </c>
      <c r="E83">
        <f>(((E49+E56)/E72)/('Variables calculations'!D12/100))</f>
        <v>179.22110359768232</v>
      </c>
      <c r="G83" t="s">
        <v>121</v>
      </c>
      <c r="H83" s="11"/>
    </row>
    <row r="84" spans="2:8" x14ac:dyDescent="0.25">
      <c r="B84" t="s">
        <v>142</v>
      </c>
      <c r="D84" t="s">
        <v>120</v>
      </c>
      <c r="E84" s="18">
        <f>(((E50+E57)/E73)+(E61/E77))/('Variables calculations'!D13/100)</f>
        <v>76.060095944260055</v>
      </c>
      <c r="G84" t="s">
        <v>121</v>
      </c>
      <c r="H84" s="11"/>
    </row>
    <row r="85" spans="2:8" x14ac:dyDescent="0.25">
      <c r="B85" t="s">
        <v>143</v>
      </c>
      <c r="D85" t="s">
        <v>120</v>
      </c>
      <c r="E85" s="18">
        <f>(((E51+E58)/E74)+(E62/E78))/('Variables calculations'!D14/100)</f>
        <v>105.91744036966946</v>
      </c>
      <c r="G85" t="s">
        <v>121</v>
      </c>
      <c r="H85" s="11"/>
    </row>
    <row r="86" spans="2:8" x14ac:dyDescent="0.25">
      <c r="B86" t="s">
        <v>144</v>
      </c>
      <c r="D86" t="s">
        <v>120</v>
      </c>
      <c r="E86">
        <f>(((E52+E58)/E74)+(E63/E78))/('Variables calculations'!D14/100)</f>
        <v>109.74569183502697</v>
      </c>
      <c r="G86" t="s">
        <v>121</v>
      </c>
      <c r="H86" s="11"/>
    </row>
    <row r="87" spans="2:8" x14ac:dyDescent="0.25">
      <c r="H87" s="11"/>
    </row>
    <row r="88" spans="2:8" x14ac:dyDescent="0.25">
      <c r="H88" s="11"/>
    </row>
    <row r="89" spans="2:8" x14ac:dyDescent="0.25">
      <c r="H89" s="11"/>
    </row>
    <row r="90" spans="2:8" x14ac:dyDescent="0.25">
      <c r="H90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sqref="A1:XFD1"/>
    </sheetView>
  </sheetViews>
  <sheetFormatPr defaultRowHeight="15" x14ac:dyDescent="0.25"/>
  <sheetData>
    <row r="1" spans="1:28" s="5" customFormat="1" ht="25.5" x14ac:dyDescent="0.2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6" t="s">
        <v>49</v>
      </c>
      <c r="G1" s="6" t="s">
        <v>8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11</v>
      </c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9"/>
    </row>
  </sheetData>
  <autoFilter ref="A1:AB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activeCell="L8" sqref="L8"/>
    </sheetView>
  </sheetViews>
  <sheetFormatPr defaultRowHeight="15" x14ac:dyDescent="0.25"/>
  <sheetData>
    <row r="1" spans="1:28" s="5" customFormat="1" ht="25.5" x14ac:dyDescent="0.2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6" t="s">
        <v>49</v>
      </c>
      <c r="G1" s="6" t="s">
        <v>8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11</v>
      </c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9"/>
    </row>
  </sheetData>
  <autoFilter ref="A1:AB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M9" sqref="M9"/>
    </sheetView>
  </sheetViews>
  <sheetFormatPr defaultRowHeight="15" x14ac:dyDescent="0.25"/>
  <sheetData>
    <row r="1" spans="1:11" ht="26.25" x14ac:dyDescent="0.25">
      <c r="A1" s="10" t="s">
        <v>44</v>
      </c>
      <c r="B1" s="6" t="s">
        <v>45</v>
      </c>
      <c r="C1" s="4" t="s">
        <v>55</v>
      </c>
      <c r="D1" s="4" t="s">
        <v>47</v>
      </c>
      <c r="E1" s="4" t="s">
        <v>56</v>
      </c>
      <c r="F1" s="4" t="s">
        <v>49</v>
      </c>
      <c r="G1" s="6" t="s">
        <v>8</v>
      </c>
      <c r="H1" s="6" t="s">
        <v>9</v>
      </c>
      <c r="I1" s="7" t="s">
        <v>53</v>
      </c>
      <c r="J1" s="7" t="s">
        <v>54</v>
      </c>
      <c r="K1" s="4" t="s">
        <v>57</v>
      </c>
    </row>
  </sheetData>
  <autoFilter ref="A1:K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K10" sqref="K10"/>
    </sheetView>
  </sheetViews>
  <sheetFormatPr defaultRowHeight="15" x14ac:dyDescent="0.25"/>
  <sheetData>
    <row r="1" spans="1:14" ht="26.25" x14ac:dyDescent="0.25">
      <c r="A1" s="10" t="s">
        <v>44</v>
      </c>
      <c r="B1" s="10" t="s">
        <v>58</v>
      </c>
      <c r="C1" s="6" t="s">
        <v>45</v>
      </c>
      <c r="D1" s="4" t="s">
        <v>55</v>
      </c>
      <c r="E1" s="4" t="s">
        <v>47</v>
      </c>
      <c r="F1" s="4" t="s">
        <v>56</v>
      </c>
      <c r="G1" s="4" t="s">
        <v>49</v>
      </c>
      <c r="H1" s="6" t="s">
        <v>8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4" t="s">
        <v>11</v>
      </c>
    </row>
  </sheetData>
  <autoFilter ref="A1:N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A139" workbookViewId="0">
      <selection activeCell="A158" sqref="A158:P172"/>
    </sheetView>
  </sheetViews>
  <sheetFormatPr defaultRowHeight="15" x14ac:dyDescent="0.25"/>
  <cols>
    <col min="1" max="1" width="23.140625" customWidth="1"/>
    <col min="4" max="4" width="17" customWidth="1"/>
    <col min="6" max="6" width="15.7109375" customWidth="1"/>
    <col min="10" max="10" width="27.28515625" style="42" customWidth="1"/>
    <col min="11" max="11" width="25.85546875" customWidth="1"/>
    <col min="12" max="12" width="19.28515625" customWidth="1"/>
    <col min="13" max="13" width="27" customWidth="1"/>
    <col min="14" max="14" width="34.85546875" customWidth="1"/>
  </cols>
  <sheetData>
    <row r="1" spans="1:16" x14ac:dyDescent="0.25">
      <c r="A1" s="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36"/>
      <c r="J1" s="41" t="s">
        <v>59</v>
      </c>
      <c r="K1" s="4" t="s">
        <v>49</v>
      </c>
      <c r="L1" s="4" t="s">
        <v>7</v>
      </c>
      <c r="M1" s="4" t="s">
        <v>8</v>
      </c>
      <c r="N1" s="4" t="s">
        <v>9</v>
      </c>
      <c r="O1" s="38" t="s">
        <v>243</v>
      </c>
      <c r="P1" s="4" t="s">
        <v>54</v>
      </c>
    </row>
    <row r="2" spans="1:16" x14ac:dyDescent="0.25">
      <c r="A2" t="s">
        <v>13</v>
      </c>
      <c r="C2">
        <v>2015</v>
      </c>
      <c r="D2" t="s">
        <v>14</v>
      </c>
      <c r="E2">
        <v>59550</v>
      </c>
      <c r="G2" t="s">
        <v>15</v>
      </c>
      <c r="I2" s="36"/>
    </row>
    <row r="3" spans="1:16" x14ac:dyDescent="0.25">
      <c r="I3" s="36"/>
      <c r="K3" t="s">
        <v>232</v>
      </c>
      <c r="M3" t="s">
        <v>233</v>
      </c>
      <c r="N3">
        <f>E8*'Data herd'!E2</f>
        <v>54187200</v>
      </c>
    </row>
    <row r="4" spans="1:16" x14ac:dyDescent="0.25">
      <c r="A4" t="s">
        <v>27</v>
      </c>
      <c r="B4" t="s">
        <v>28</v>
      </c>
      <c r="C4">
        <v>2013</v>
      </c>
      <c r="D4" t="s">
        <v>32</v>
      </c>
      <c r="E4">
        <v>0.87</v>
      </c>
      <c r="G4" t="s">
        <v>31</v>
      </c>
      <c r="I4" s="36"/>
      <c r="M4" t="s">
        <v>234</v>
      </c>
      <c r="N4">
        <f>N3/1000000</f>
        <v>54.187199999999997</v>
      </c>
    </row>
    <row r="5" spans="1:16" x14ac:dyDescent="0.25">
      <c r="B5" t="s">
        <v>30</v>
      </c>
      <c r="C5">
        <v>2013</v>
      </c>
      <c r="D5" t="s">
        <v>32</v>
      </c>
      <c r="E5">
        <v>1.0900000000000001</v>
      </c>
      <c r="G5" t="s">
        <v>31</v>
      </c>
      <c r="I5" s="36"/>
      <c r="J5" s="43" t="s">
        <v>2</v>
      </c>
    </row>
    <row r="6" spans="1:16" x14ac:dyDescent="0.25">
      <c r="B6" t="s">
        <v>29</v>
      </c>
      <c r="C6">
        <v>2013</v>
      </c>
      <c r="D6" t="s">
        <v>32</v>
      </c>
      <c r="E6">
        <v>0.88</v>
      </c>
      <c r="G6" t="s">
        <v>31</v>
      </c>
      <c r="I6" s="36"/>
    </row>
    <row r="7" spans="1:16" x14ac:dyDescent="0.25">
      <c r="B7" t="s">
        <v>26</v>
      </c>
      <c r="C7">
        <v>2013</v>
      </c>
      <c r="D7" t="s">
        <v>32</v>
      </c>
      <c r="E7">
        <f>SUM(E4:E6)</f>
        <v>2.84</v>
      </c>
      <c r="G7" t="s">
        <v>34</v>
      </c>
      <c r="I7" s="36"/>
      <c r="J7" s="42" t="s">
        <v>101</v>
      </c>
      <c r="K7" t="s">
        <v>235</v>
      </c>
      <c r="M7" t="s">
        <v>109</v>
      </c>
      <c r="N7">
        <f>'Data herd'!L14</f>
        <v>93806075</v>
      </c>
    </row>
    <row r="8" spans="1:16" x14ac:dyDescent="0.25">
      <c r="B8" t="s">
        <v>26</v>
      </c>
      <c r="C8">
        <v>2013</v>
      </c>
      <c r="D8" t="s">
        <v>33</v>
      </c>
      <c r="E8">
        <f>E7*1800</f>
        <v>5112</v>
      </c>
      <c r="G8" s="39" t="s">
        <v>35</v>
      </c>
      <c r="I8" s="36"/>
    </row>
    <row r="9" spans="1:16" x14ac:dyDescent="0.25">
      <c r="I9" s="36"/>
      <c r="K9" t="s">
        <v>236</v>
      </c>
      <c r="M9" t="s">
        <v>237</v>
      </c>
      <c r="N9">
        <f>N7/(SUM(N7,N16,N24))</f>
        <v>0.98448076872246115</v>
      </c>
    </row>
    <row r="10" spans="1:16" x14ac:dyDescent="0.25">
      <c r="I10" s="36"/>
    </row>
    <row r="11" spans="1:16" x14ac:dyDescent="0.25">
      <c r="I11" s="36"/>
      <c r="K11" t="s">
        <v>238</v>
      </c>
      <c r="M11" t="s">
        <v>233</v>
      </c>
      <c r="N11">
        <f>N3*N9</f>
        <v>53346256.31091775</v>
      </c>
    </row>
    <row r="12" spans="1:16" x14ac:dyDescent="0.25">
      <c r="I12" s="36"/>
      <c r="M12" t="s">
        <v>234</v>
      </c>
      <c r="N12">
        <f>N11/1000000</f>
        <v>53.346256310917752</v>
      </c>
    </row>
    <row r="13" spans="1:16" x14ac:dyDescent="0.25">
      <c r="I13" s="36"/>
    </row>
    <row r="14" spans="1:16" x14ac:dyDescent="0.25">
      <c r="I14" s="36"/>
      <c r="J14" s="43" t="s">
        <v>3</v>
      </c>
    </row>
    <row r="15" spans="1:16" x14ac:dyDescent="0.25">
      <c r="I15" s="36"/>
    </row>
    <row r="16" spans="1:16" x14ac:dyDescent="0.25">
      <c r="I16" s="36"/>
      <c r="J16" s="42" t="s">
        <v>101</v>
      </c>
      <c r="K16" t="s">
        <v>239</v>
      </c>
      <c r="M16" t="s">
        <v>109</v>
      </c>
      <c r="N16">
        <f>'Data herd'!L23</f>
        <v>1349455.7610000002</v>
      </c>
    </row>
    <row r="17" spans="1:14" x14ac:dyDescent="0.25">
      <c r="I17" s="36"/>
    </row>
    <row r="18" spans="1:14" x14ac:dyDescent="0.25">
      <c r="I18" s="36"/>
      <c r="K18" t="s">
        <v>236</v>
      </c>
      <c r="M18" t="s">
        <v>237</v>
      </c>
      <c r="N18">
        <f>N16/(SUM(N7,N16,N24))</f>
        <v>1.4162336980267365E-2</v>
      </c>
    </row>
    <row r="19" spans="1:14" x14ac:dyDescent="0.25">
      <c r="I19" s="36"/>
    </row>
    <row r="20" spans="1:14" x14ac:dyDescent="0.25">
      <c r="I20" s="36"/>
      <c r="K20" t="s">
        <v>240</v>
      </c>
      <c r="M20" t="s">
        <v>233</v>
      </c>
      <c r="N20">
        <f>N3*N18</f>
        <v>767417.38641714375</v>
      </c>
    </row>
    <row r="21" spans="1:14" x14ac:dyDescent="0.25">
      <c r="I21" s="36"/>
      <c r="M21" t="s">
        <v>234</v>
      </c>
      <c r="N21">
        <f>N20/1000000</f>
        <v>0.76741738641714374</v>
      </c>
    </row>
    <row r="22" spans="1:14" x14ac:dyDescent="0.25">
      <c r="I22" s="36"/>
      <c r="J22" s="43" t="s">
        <v>4</v>
      </c>
    </row>
    <row r="23" spans="1:14" x14ac:dyDescent="0.25">
      <c r="I23" s="36"/>
    </row>
    <row r="24" spans="1:14" x14ac:dyDescent="0.25">
      <c r="I24" s="36"/>
      <c r="J24" s="42" t="s">
        <v>101</v>
      </c>
      <c r="K24" t="s">
        <v>241</v>
      </c>
      <c r="M24" t="s">
        <v>109</v>
      </c>
      <c r="N24">
        <f>'Data herd'!L36</f>
        <v>129291.43185000004</v>
      </c>
    </row>
    <row r="25" spans="1:14" x14ac:dyDescent="0.25">
      <c r="I25" s="36"/>
    </row>
    <row r="26" spans="1:14" x14ac:dyDescent="0.25">
      <c r="I26" s="36"/>
      <c r="K26" t="s">
        <v>236</v>
      </c>
      <c r="M26" t="s">
        <v>237</v>
      </c>
      <c r="N26">
        <f>N24/(SUM(N7,N16,N24))</f>
        <v>1.3568942972714264E-3</v>
      </c>
    </row>
    <row r="27" spans="1:14" x14ac:dyDescent="0.25">
      <c r="I27" s="36"/>
    </row>
    <row r="28" spans="1:14" x14ac:dyDescent="0.25">
      <c r="I28" s="36"/>
      <c r="K28" t="s">
        <v>242</v>
      </c>
      <c r="M28" t="s">
        <v>233</v>
      </c>
      <c r="N28">
        <f>N3*N26</f>
        <v>73526.302665106239</v>
      </c>
    </row>
    <row r="29" spans="1:14" x14ac:dyDescent="0.25">
      <c r="I29" s="36"/>
      <c r="M29" t="s">
        <v>234</v>
      </c>
      <c r="N29">
        <f>N28/1000000</f>
        <v>7.3526302665106236E-2</v>
      </c>
    </row>
    <row r="30" spans="1:14" x14ac:dyDescent="0.25">
      <c r="I30" s="36"/>
    </row>
    <row r="31" spans="1:14" x14ac:dyDescent="0.25">
      <c r="A31" s="3" t="s">
        <v>36</v>
      </c>
      <c r="I31" s="36"/>
      <c r="J31" s="41" t="s">
        <v>59</v>
      </c>
    </row>
    <row r="32" spans="1:14" x14ac:dyDescent="0.25">
      <c r="I32" s="36"/>
    </row>
    <row r="33" spans="1:14" x14ac:dyDescent="0.25">
      <c r="A33" t="s">
        <v>37</v>
      </c>
      <c r="B33" t="s">
        <v>28</v>
      </c>
      <c r="C33">
        <v>2013</v>
      </c>
      <c r="D33" t="s">
        <v>39</v>
      </c>
      <c r="E33">
        <v>59.9</v>
      </c>
      <c r="G33" t="s">
        <v>31</v>
      </c>
      <c r="I33" s="36"/>
    </row>
    <row r="34" spans="1:14" x14ac:dyDescent="0.25">
      <c r="B34" t="s">
        <v>38</v>
      </c>
      <c r="C34">
        <v>2013</v>
      </c>
      <c r="D34" t="s">
        <v>39</v>
      </c>
      <c r="E34">
        <v>67.2</v>
      </c>
      <c r="G34" t="s">
        <v>31</v>
      </c>
      <c r="I34" s="36"/>
      <c r="K34" t="s">
        <v>244</v>
      </c>
      <c r="L34">
        <v>2013</v>
      </c>
      <c r="M34" t="s">
        <v>245</v>
      </c>
      <c r="N34" s="13">
        <f>E36*'Data herd'!E2</f>
        <v>2121060</v>
      </c>
    </row>
    <row r="35" spans="1:14" x14ac:dyDescent="0.25">
      <c r="B35" t="s">
        <v>29</v>
      </c>
      <c r="C35">
        <v>2013</v>
      </c>
      <c r="D35" t="s">
        <v>39</v>
      </c>
      <c r="E35">
        <v>73</v>
      </c>
      <c r="G35" t="s">
        <v>31</v>
      </c>
      <c r="I35" s="36"/>
    </row>
    <row r="36" spans="1:14" x14ac:dyDescent="0.25">
      <c r="B36" t="s">
        <v>26</v>
      </c>
      <c r="C36">
        <v>2013</v>
      </c>
      <c r="D36" t="s">
        <v>39</v>
      </c>
      <c r="E36">
        <f>SUM(E33:E35)</f>
        <v>200.1</v>
      </c>
      <c r="I36" s="36"/>
      <c r="J36" s="43" t="s">
        <v>2</v>
      </c>
    </row>
    <row r="37" spans="1:14" x14ac:dyDescent="0.25">
      <c r="A37" t="s">
        <v>40</v>
      </c>
      <c r="B37" t="s">
        <v>28</v>
      </c>
      <c r="C37">
        <v>2013</v>
      </c>
      <c r="D37" t="s">
        <v>39</v>
      </c>
      <c r="E37">
        <v>52.4</v>
      </c>
      <c r="G37" t="s">
        <v>31</v>
      </c>
      <c r="I37" s="36"/>
    </row>
    <row r="38" spans="1:14" x14ac:dyDescent="0.25">
      <c r="B38" t="s">
        <v>41</v>
      </c>
      <c r="C38">
        <v>2013</v>
      </c>
      <c r="D38" t="s">
        <v>39</v>
      </c>
      <c r="E38">
        <v>58.4</v>
      </c>
      <c r="G38" t="s">
        <v>31</v>
      </c>
      <c r="I38" s="36"/>
      <c r="J38" s="42" t="s">
        <v>101</v>
      </c>
      <c r="K38" t="s">
        <v>235</v>
      </c>
      <c r="M38" t="s">
        <v>109</v>
      </c>
      <c r="N38">
        <f>'Data herd'!L14</f>
        <v>93806075</v>
      </c>
    </row>
    <row r="39" spans="1:14" x14ac:dyDescent="0.25">
      <c r="B39" t="s">
        <v>29</v>
      </c>
      <c r="C39">
        <v>2013</v>
      </c>
      <c r="D39" t="s">
        <v>39</v>
      </c>
      <c r="E39">
        <v>50</v>
      </c>
      <c r="G39" t="s">
        <v>31</v>
      </c>
      <c r="I39" s="36"/>
    </row>
    <row r="40" spans="1:14" x14ac:dyDescent="0.25">
      <c r="I40" s="36"/>
      <c r="K40" t="s">
        <v>236</v>
      </c>
      <c r="M40" t="s">
        <v>237</v>
      </c>
      <c r="N40">
        <f>N38/(SUM(N44,N51,N38))</f>
        <v>0.98448076872246126</v>
      </c>
    </row>
    <row r="41" spans="1:14" x14ac:dyDescent="0.25">
      <c r="I41" s="36"/>
      <c r="K41" t="s">
        <v>246</v>
      </c>
      <c r="M41" t="s">
        <v>245</v>
      </c>
      <c r="N41">
        <f>N34*N40</f>
        <v>2088142.7793064637</v>
      </c>
    </row>
    <row r="42" spans="1:14" x14ac:dyDescent="0.25">
      <c r="I42" s="36"/>
      <c r="K42" t="s">
        <v>246</v>
      </c>
      <c r="M42" t="s">
        <v>247</v>
      </c>
      <c r="N42">
        <f>N41*0.01</f>
        <v>20881.427793064639</v>
      </c>
    </row>
    <row r="43" spans="1:14" x14ac:dyDescent="0.25">
      <c r="I43" s="36"/>
      <c r="J43" s="43" t="s">
        <v>3</v>
      </c>
    </row>
    <row r="44" spans="1:14" x14ac:dyDescent="0.25">
      <c r="I44" s="36"/>
      <c r="J44" s="42" t="s">
        <v>101</v>
      </c>
      <c r="K44" t="s">
        <v>239</v>
      </c>
      <c r="M44" t="s">
        <v>109</v>
      </c>
      <c r="N44">
        <f>'Data herd'!L25</f>
        <v>1349455.7610000002</v>
      </c>
    </row>
    <row r="45" spans="1:14" x14ac:dyDescent="0.25">
      <c r="I45" s="36"/>
    </row>
    <row r="46" spans="1:14" x14ac:dyDescent="0.25">
      <c r="I46" s="36"/>
      <c r="K46" t="s">
        <v>236</v>
      </c>
      <c r="M46" t="s">
        <v>237</v>
      </c>
      <c r="N46">
        <f>N44/(SUM(N44,N38,N51))</f>
        <v>1.4162336980267365E-2</v>
      </c>
    </row>
    <row r="47" spans="1:14" x14ac:dyDescent="0.25">
      <c r="I47" s="36"/>
      <c r="K47" t="s">
        <v>248</v>
      </c>
      <c r="M47" t="s">
        <v>245</v>
      </c>
      <c r="N47">
        <f>N34*N46</f>
        <v>30039.166475365895</v>
      </c>
    </row>
    <row r="48" spans="1:14" x14ac:dyDescent="0.25">
      <c r="I48" s="36"/>
      <c r="K48" t="s">
        <v>248</v>
      </c>
      <c r="M48" t="s">
        <v>247</v>
      </c>
      <c r="N48">
        <f>N47*0.01</f>
        <v>300.39166475365897</v>
      </c>
    </row>
    <row r="49" spans="1:16" x14ac:dyDescent="0.25">
      <c r="I49" s="36"/>
    </row>
    <row r="50" spans="1:16" x14ac:dyDescent="0.25">
      <c r="I50" s="36"/>
      <c r="J50" s="43" t="s">
        <v>4</v>
      </c>
    </row>
    <row r="51" spans="1:16" x14ac:dyDescent="0.25">
      <c r="I51" s="36"/>
      <c r="J51" s="42" t="s">
        <v>101</v>
      </c>
      <c r="K51" t="s">
        <v>241</v>
      </c>
      <c r="M51" t="s">
        <v>109</v>
      </c>
      <c r="N51">
        <f>'Data herd'!L38</f>
        <v>129291.43185000004</v>
      </c>
    </row>
    <row r="52" spans="1:16" x14ac:dyDescent="0.25">
      <c r="I52" s="36"/>
    </row>
    <row r="53" spans="1:16" x14ac:dyDescent="0.25">
      <c r="I53" s="36"/>
      <c r="K53" t="s">
        <v>236</v>
      </c>
      <c r="M53" t="s">
        <v>237</v>
      </c>
      <c r="N53">
        <f>N51/(SUM(N38,N44,N51))</f>
        <v>1.3568942972714264E-3</v>
      </c>
    </row>
    <row r="54" spans="1:16" x14ac:dyDescent="0.25">
      <c r="I54" s="36"/>
      <c r="K54" t="s">
        <v>249</v>
      </c>
      <c r="M54" t="s">
        <v>245</v>
      </c>
      <c r="N54">
        <f>N34*N53</f>
        <v>2878.0542181705318</v>
      </c>
    </row>
    <row r="55" spans="1:16" x14ac:dyDescent="0.25">
      <c r="I55" s="36"/>
      <c r="K55" t="s">
        <v>249</v>
      </c>
      <c r="M55" t="s">
        <v>247</v>
      </c>
      <c r="N55">
        <f>N54*0.01</f>
        <v>28.780542181705318</v>
      </c>
    </row>
    <row r="56" spans="1:16" ht="15.75" thickBot="1" x14ac:dyDescent="0.3">
      <c r="A56" s="3" t="s">
        <v>231</v>
      </c>
      <c r="I56" s="36"/>
    </row>
    <row r="57" spans="1:16" ht="15.75" thickTop="1" x14ac:dyDescent="0.25">
      <c r="I57" s="36"/>
      <c r="J57" s="44" t="s">
        <v>250</v>
      </c>
      <c r="K57" s="4" t="s">
        <v>49</v>
      </c>
      <c r="L57" s="4" t="s">
        <v>7</v>
      </c>
      <c r="M57" s="4" t="s">
        <v>8</v>
      </c>
      <c r="N57" s="4" t="s">
        <v>9</v>
      </c>
      <c r="O57" s="38" t="s">
        <v>243</v>
      </c>
      <c r="P57" s="4" t="s">
        <v>54</v>
      </c>
    </row>
    <row r="58" spans="1:16" x14ac:dyDescent="0.25">
      <c r="I58" s="36"/>
      <c r="J58" s="43" t="s">
        <v>2</v>
      </c>
    </row>
    <row r="59" spans="1:16" x14ac:dyDescent="0.25">
      <c r="I59" s="36"/>
      <c r="J59" s="42" t="s">
        <v>202</v>
      </c>
      <c r="K59" t="s">
        <v>205</v>
      </c>
      <c r="M59" t="s">
        <v>251</v>
      </c>
      <c r="N59">
        <f>'Variables calculations'!D46</f>
        <v>17.724758185019187</v>
      </c>
      <c r="P59" t="s">
        <v>252</v>
      </c>
    </row>
    <row r="60" spans="1:16" x14ac:dyDescent="0.25">
      <c r="I60" s="36"/>
      <c r="K60" t="s">
        <v>206</v>
      </c>
      <c r="M60" t="s">
        <v>251</v>
      </c>
      <c r="N60">
        <f>'Variables calculations'!D47</f>
        <v>0</v>
      </c>
      <c r="P60" t="s">
        <v>252</v>
      </c>
    </row>
    <row r="61" spans="1:16" x14ac:dyDescent="0.25">
      <c r="I61" s="36"/>
      <c r="K61" t="s">
        <v>253</v>
      </c>
      <c r="M61" t="s">
        <v>251</v>
      </c>
      <c r="N61">
        <f>'Variables calculations'!D48</f>
        <v>1.5132079799733176</v>
      </c>
      <c r="P61" t="s">
        <v>252</v>
      </c>
    </row>
    <row r="62" spans="1:16" x14ac:dyDescent="0.25">
      <c r="I62" s="36"/>
      <c r="J62" s="45"/>
      <c r="K62" s="40"/>
      <c r="L62" s="40"/>
      <c r="M62" s="40"/>
      <c r="N62" s="40"/>
      <c r="O62" s="40"/>
      <c r="P62" s="40"/>
    </row>
    <row r="63" spans="1:16" x14ac:dyDescent="0.25">
      <c r="I63" s="36"/>
      <c r="J63" s="42" t="s">
        <v>208</v>
      </c>
      <c r="K63" t="s">
        <v>205</v>
      </c>
      <c r="M63" t="s">
        <v>251</v>
      </c>
      <c r="N63">
        <f>'Variables calculations'!D52</f>
        <v>6.5173676172019137</v>
      </c>
      <c r="P63" t="s">
        <v>252</v>
      </c>
    </row>
    <row r="64" spans="1:16" x14ac:dyDescent="0.25">
      <c r="I64" s="36"/>
      <c r="K64" t="s">
        <v>206</v>
      </c>
      <c r="M64" t="s">
        <v>251</v>
      </c>
      <c r="N64">
        <f>'Variables calculations'!D53</f>
        <v>0</v>
      </c>
      <c r="P64" t="s">
        <v>252</v>
      </c>
    </row>
    <row r="65" spans="9:16" x14ac:dyDescent="0.25">
      <c r="I65" s="36"/>
      <c r="K65" t="s">
        <v>253</v>
      </c>
      <c r="M65" t="s">
        <v>251</v>
      </c>
      <c r="N65">
        <f>'Variables calculations'!D54</f>
        <v>0.55640435733024629</v>
      </c>
      <c r="P65" t="s">
        <v>252</v>
      </c>
    </row>
    <row r="66" spans="9:16" x14ac:dyDescent="0.25">
      <c r="I66" s="36"/>
    </row>
    <row r="67" spans="9:16" x14ac:dyDescent="0.25">
      <c r="I67" s="36"/>
      <c r="J67" s="42" t="s">
        <v>209</v>
      </c>
      <c r="K67" t="s">
        <v>205</v>
      </c>
      <c r="M67" t="s">
        <v>251</v>
      </c>
      <c r="N67">
        <f>'Variables calculations'!D78</f>
        <v>8.8615795654057408</v>
      </c>
      <c r="P67" t="s">
        <v>252</v>
      </c>
    </row>
    <row r="68" spans="9:16" x14ac:dyDescent="0.25">
      <c r="I68" s="36"/>
      <c r="K68" t="s">
        <v>206</v>
      </c>
      <c r="M68" t="s">
        <v>251</v>
      </c>
      <c r="N68">
        <f>'Variables calculations'!D79</f>
        <v>0</v>
      </c>
      <c r="P68" t="s">
        <v>252</v>
      </c>
    </row>
    <row r="69" spans="9:16" x14ac:dyDescent="0.25">
      <c r="I69" s="36"/>
      <c r="K69" t="s">
        <v>253</v>
      </c>
      <c r="M69" t="s">
        <v>251</v>
      </c>
      <c r="N69">
        <f>'Variables calculations'!D80</f>
        <v>0.75653573231108839</v>
      </c>
      <c r="P69" t="s">
        <v>252</v>
      </c>
    </row>
    <row r="70" spans="9:16" x14ac:dyDescent="0.25">
      <c r="I70" s="36"/>
    </row>
    <row r="71" spans="9:16" x14ac:dyDescent="0.25">
      <c r="I71" s="36"/>
      <c r="J71" s="42" t="s">
        <v>202</v>
      </c>
      <c r="K71" t="s">
        <v>205</v>
      </c>
      <c r="M71" t="s">
        <v>109</v>
      </c>
      <c r="N71">
        <f>N59*365*'Data herd'!$E$17</f>
        <v>975458505.19147575</v>
      </c>
    </row>
    <row r="72" spans="9:16" x14ac:dyDescent="0.25">
      <c r="I72" s="36"/>
      <c r="K72" t="s">
        <v>206</v>
      </c>
      <c r="M72" t="s">
        <v>109</v>
      </c>
      <c r="N72">
        <f>N60*365*'Data herd'!$E$17</f>
        <v>0</v>
      </c>
    </row>
    <row r="73" spans="9:16" x14ac:dyDescent="0.25">
      <c r="I73" s="36"/>
      <c r="K73" t="s">
        <v>254</v>
      </c>
      <c r="M73" t="s">
        <v>109</v>
      </c>
      <c r="N73">
        <f>N61*365*'Data herd'!$E$17</f>
        <v>83277389.670463771</v>
      </c>
    </row>
    <row r="74" spans="9:16" x14ac:dyDescent="0.25">
      <c r="I74" s="36"/>
    </row>
    <row r="75" spans="9:16" x14ac:dyDescent="0.25">
      <c r="I75" s="36"/>
      <c r="J75" s="42" t="s">
        <v>208</v>
      </c>
      <c r="K75" t="s">
        <v>205</v>
      </c>
      <c r="M75" t="s">
        <v>109</v>
      </c>
      <c r="N75">
        <f>N63*365*'Data herd'!$E$18</f>
        <v>26997017.665930506</v>
      </c>
    </row>
    <row r="76" spans="9:16" x14ac:dyDescent="0.25">
      <c r="I76" s="36"/>
      <c r="K76" t="s">
        <v>206</v>
      </c>
      <c r="M76" t="s">
        <v>109</v>
      </c>
      <c r="N76">
        <f>N64*365*'Data herd'!$E$18</f>
        <v>0</v>
      </c>
    </row>
    <row r="77" spans="9:16" x14ac:dyDescent="0.25">
      <c r="I77" s="36"/>
      <c r="K77" t="s">
        <v>253</v>
      </c>
      <c r="M77" t="s">
        <v>109</v>
      </c>
      <c r="N77">
        <f>N65*365*'Data herd'!$E$18</f>
        <v>2304804.507973176</v>
      </c>
    </row>
    <row r="78" spans="9:16" x14ac:dyDescent="0.25">
      <c r="I78" s="36"/>
    </row>
    <row r="79" spans="9:16" x14ac:dyDescent="0.25">
      <c r="I79" s="36"/>
      <c r="J79" s="42" t="s">
        <v>209</v>
      </c>
      <c r="K79" t="s">
        <v>205</v>
      </c>
      <c r="M79" t="s">
        <v>109</v>
      </c>
      <c r="N79">
        <f>N67*365*'Data herd'!$E$6</f>
        <v>20975580.370804522</v>
      </c>
    </row>
    <row r="80" spans="9:16" x14ac:dyDescent="0.25">
      <c r="I80" s="36"/>
      <c r="K80" t="s">
        <v>206</v>
      </c>
      <c r="M80" t="s">
        <v>109</v>
      </c>
      <c r="N80">
        <f>N68*365*'Data herd'!$E$6</f>
        <v>0</v>
      </c>
    </row>
    <row r="81" spans="9:16" x14ac:dyDescent="0.25">
      <c r="I81" s="36"/>
      <c r="K81" t="s">
        <v>253</v>
      </c>
      <c r="M81" t="s">
        <v>109</v>
      </c>
      <c r="N81">
        <f>N69*365*'Data herd'!$E$6</f>
        <v>1790738.9917736538</v>
      </c>
    </row>
    <row r="82" spans="9:16" x14ac:dyDescent="0.25">
      <c r="I82" s="36"/>
    </row>
    <row r="83" spans="9:16" x14ac:dyDescent="0.25">
      <c r="I83" s="36"/>
      <c r="J83" s="42" t="s">
        <v>255</v>
      </c>
      <c r="K83" t="s">
        <v>205</v>
      </c>
      <c r="M83" t="s">
        <v>109</v>
      </c>
      <c r="N83">
        <f>N71+N75+N79</f>
        <v>1023431103.2282108</v>
      </c>
    </row>
    <row r="84" spans="9:16" x14ac:dyDescent="0.25">
      <c r="I84" s="36"/>
      <c r="K84" t="s">
        <v>206</v>
      </c>
      <c r="M84" t="s">
        <v>109</v>
      </c>
      <c r="N84">
        <f>N72+N76+N80</f>
        <v>0</v>
      </c>
    </row>
    <row r="85" spans="9:16" x14ac:dyDescent="0.25">
      <c r="I85" s="36"/>
      <c r="K85" t="s">
        <v>253</v>
      </c>
      <c r="M85" t="s">
        <v>109</v>
      </c>
      <c r="N85">
        <f>N73+N77+N81</f>
        <v>87372933.1702106</v>
      </c>
    </row>
    <row r="86" spans="9:16" x14ac:dyDescent="0.25">
      <c r="I86" s="36"/>
      <c r="K86" t="s">
        <v>256</v>
      </c>
      <c r="M86" t="s">
        <v>109</v>
      </c>
      <c r="N86">
        <f>SUM(N83:N85)</f>
        <v>1110804036.3984213</v>
      </c>
    </row>
    <row r="87" spans="9:16" x14ac:dyDescent="0.25">
      <c r="I87" s="36"/>
    </row>
    <row r="88" spans="9:16" x14ac:dyDescent="0.25">
      <c r="I88" s="36"/>
      <c r="J88" s="42" t="s">
        <v>255</v>
      </c>
      <c r="K88" t="s">
        <v>205</v>
      </c>
      <c r="M88" t="s">
        <v>95</v>
      </c>
      <c r="N88">
        <f>N83/1000000000</f>
        <v>1.0234311032282108</v>
      </c>
    </row>
    <row r="89" spans="9:16" x14ac:dyDescent="0.25">
      <c r="I89" s="36"/>
      <c r="K89" t="s">
        <v>206</v>
      </c>
      <c r="M89" t="s">
        <v>95</v>
      </c>
      <c r="N89">
        <f t="shared" ref="N89:N90" si="0">N84/1000000000</f>
        <v>0</v>
      </c>
    </row>
    <row r="90" spans="9:16" x14ac:dyDescent="0.25">
      <c r="I90" s="36"/>
      <c r="K90" t="s">
        <v>253</v>
      </c>
      <c r="M90" t="s">
        <v>95</v>
      </c>
      <c r="N90">
        <f t="shared" si="0"/>
        <v>8.7372933170210595E-2</v>
      </c>
    </row>
    <row r="91" spans="9:16" x14ac:dyDescent="0.25">
      <c r="I91" s="36"/>
      <c r="K91" t="s">
        <v>256</v>
      </c>
      <c r="M91" t="s">
        <v>95</v>
      </c>
      <c r="N91">
        <f>N86/1000000000</f>
        <v>1.1108040363984213</v>
      </c>
    </row>
    <row r="92" spans="9:16" x14ac:dyDescent="0.25">
      <c r="I92" s="36"/>
      <c r="J92" s="43" t="s">
        <v>3</v>
      </c>
    </row>
    <row r="93" spans="9:16" x14ac:dyDescent="0.25">
      <c r="I93" s="36"/>
      <c r="J93" s="45"/>
      <c r="K93" t="s">
        <v>205</v>
      </c>
      <c r="M93" t="s">
        <v>251</v>
      </c>
      <c r="N93">
        <f>'Variables calculations'!D107</f>
        <v>2.6909503409561157</v>
      </c>
      <c r="P93" t="s">
        <v>252</v>
      </c>
    </row>
    <row r="94" spans="9:16" x14ac:dyDescent="0.25">
      <c r="J94" s="45"/>
      <c r="K94" t="s">
        <v>206</v>
      </c>
      <c r="M94" t="s">
        <v>251</v>
      </c>
      <c r="N94">
        <f>'Variables calculations'!D108</f>
        <v>0</v>
      </c>
      <c r="P94" t="s">
        <v>252</v>
      </c>
    </row>
    <row r="95" spans="9:16" x14ac:dyDescent="0.25">
      <c r="J95" s="45"/>
      <c r="K95" t="s">
        <v>254</v>
      </c>
      <c r="M95" t="s">
        <v>251</v>
      </c>
      <c r="N95">
        <f>'Variables calculations'!D109</f>
        <v>0.12687419136724115</v>
      </c>
      <c r="P95" t="s">
        <v>252</v>
      </c>
    </row>
    <row r="96" spans="9:16" x14ac:dyDescent="0.25">
      <c r="J96" s="45"/>
      <c r="K96" t="s">
        <v>257</v>
      </c>
      <c r="M96" t="s">
        <v>251</v>
      </c>
      <c r="N96">
        <f>'Variables calculations'!D110</f>
        <v>1.4471072508109903</v>
      </c>
      <c r="P96" t="s">
        <v>252</v>
      </c>
    </row>
    <row r="97" spans="10:14" x14ac:dyDescent="0.25">
      <c r="J97" s="45"/>
      <c r="K97" t="s">
        <v>26</v>
      </c>
      <c r="M97" t="s">
        <v>251</v>
      </c>
      <c r="N97">
        <f>'Variables calculations'!D111</f>
        <v>4.2649317831343474</v>
      </c>
    </row>
    <row r="98" spans="10:14" x14ac:dyDescent="0.25">
      <c r="J98" s="45"/>
    </row>
    <row r="99" spans="10:14" x14ac:dyDescent="0.25">
      <c r="J99" s="45"/>
      <c r="K99" t="s">
        <v>205</v>
      </c>
      <c r="M99" t="s">
        <v>109</v>
      </c>
      <c r="N99">
        <f>N93*365*'Data herd'!$E$22</f>
        <v>7404643.746711581</v>
      </c>
    </row>
    <row r="100" spans="10:14" x14ac:dyDescent="0.25">
      <c r="J100" s="45"/>
      <c r="K100" t="s">
        <v>206</v>
      </c>
      <c r="M100" t="s">
        <v>109</v>
      </c>
      <c r="N100">
        <f>N94*365*'Data herd'!$E$22</f>
        <v>0</v>
      </c>
    </row>
    <row r="101" spans="10:14" x14ac:dyDescent="0.25">
      <c r="J101" s="45"/>
      <c r="K101" t="s">
        <v>254</v>
      </c>
      <c r="M101" t="s">
        <v>109</v>
      </c>
      <c r="N101">
        <f>N95*365*'Data herd'!$E$22</f>
        <v>349117.62340167671</v>
      </c>
    </row>
    <row r="102" spans="10:14" x14ac:dyDescent="0.25">
      <c r="J102" s="45"/>
      <c r="K102" t="s">
        <v>257</v>
      </c>
      <c r="M102" t="s">
        <v>109</v>
      </c>
      <c r="N102">
        <f>N96*365*'Data herd'!$E$22</f>
        <v>3981981.1954357177</v>
      </c>
    </row>
    <row r="103" spans="10:14" x14ac:dyDescent="0.25">
      <c r="J103" s="45"/>
      <c r="K103" t="s">
        <v>258</v>
      </c>
      <c r="M103" t="s">
        <v>109</v>
      </c>
      <c r="N103">
        <f>SUM(N99:N102)</f>
        <v>11735742.565548975</v>
      </c>
    </row>
    <row r="104" spans="10:14" x14ac:dyDescent="0.25">
      <c r="J104" s="45"/>
    </row>
    <row r="105" spans="10:14" x14ac:dyDescent="0.25">
      <c r="J105" s="45"/>
      <c r="K105" t="s">
        <v>205</v>
      </c>
      <c r="M105" t="s">
        <v>103</v>
      </c>
      <c r="N105">
        <f>N93/1000000</f>
        <v>2.6909503409561156E-6</v>
      </c>
    </row>
    <row r="106" spans="10:14" x14ac:dyDescent="0.25">
      <c r="J106" s="45"/>
      <c r="K106" t="s">
        <v>206</v>
      </c>
      <c r="M106" t="s">
        <v>103</v>
      </c>
      <c r="N106">
        <f t="shared" ref="N106:N109" si="1">N94/1000000</f>
        <v>0</v>
      </c>
    </row>
    <row r="107" spans="10:14" x14ac:dyDescent="0.25">
      <c r="J107" s="45"/>
      <c r="K107" t="s">
        <v>254</v>
      </c>
      <c r="M107" t="s">
        <v>103</v>
      </c>
      <c r="N107">
        <f t="shared" si="1"/>
        <v>1.2687419136724115E-7</v>
      </c>
    </row>
    <row r="108" spans="10:14" x14ac:dyDescent="0.25">
      <c r="J108" s="45"/>
      <c r="K108" t="s">
        <v>257</v>
      </c>
      <c r="M108" t="s">
        <v>103</v>
      </c>
      <c r="N108">
        <f t="shared" si="1"/>
        <v>1.4471072508109903E-6</v>
      </c>
    </row>
    <row r="109" spans="10:14" x14ac:dyDescent="0.25">
      <c r="J109" s="45"/>
      <c r="K109" t="s">
        <v>258</v>
      </c>
      <c r="M109" t="s">
        <v>103</v>
      </c>
      <c r="N109">
        <f t="shared" si="1"/>
        <v>4.2649317831343473E-6</v>
      </c>
    </row>
    <row r="110" spans="10:14" x14ac:dyDescent="0.25">
      <c r="J110" s="45"/>
    </row>
    <row r="111" spans="10:14" x14ac:dyDescent="0.25">
      <c r="J111" s="45"/>
      <c r="K111" t="s">
        <v>205</v>
      </c>
      <c r="M111" t="s">
        <v>95</v>
      </c>
      <c r="N111">
        <f>N99/1000000000</f>
        <v>7.4046437467115813E-3</v>
      </c>
    </row>
    <row r="112" spans="10:14" x14ac:dyDescent="0.25">
      <c r="K112" t="s">
        <v>206</v>
      </c>
      <c r="M112" t="s">
        <v>95</v>
      </c>
      <c r="N112">
        <f t="shared" ref="N112:N115" si="2">N100/1000000000</f>
        <v>0</v>
      </c>
    </row>
    <row r="113" spans="10:16" x14ac:dyDescent="0.25">
      <c r="K113" t="s">
        <v>254</v>
      </c>
      <c r="M113" t="s">
        <v>95</v>
      </c>
      <c r="N113">
        <f t="shared" si="2"/>
        <v>3.4911762340167671E-4</v>
      </c>
    </row>
    <row r="114" spans="10:16" x14ac:dyDescent="0.25">
      <c r="K114" t="s">
        <v>257</v>
      </c>
      <c r="M114" t="s">
        <v>95</v>
      </c>
      <c r="N114">
        <f t="shared" si="2"/>
        <v>3.9819811954357178E-3</v>
      </c>
    </row>
    <row r="115" spans="10:16" x14ac:dyDescent="0.25">
      <c r="K115" t="s">
        <v>258</v>
      </c>
      <c r="M115" t="s">
        <v>95</v>
      </c>
      <c r="N115">
        <f t="shared" si="2"/>
        <v>1.1735742565548974E-2</v>
      </c>
    </row>
    <row r="118" spans="10:16" x14ac:dyDescent="0.25">
      <c r="J118" s="43" t="s">
        <v>4</v>
      </c>
    </row>
    <row r="119" spans="10:16" x14ac:dyDescent="0.25">
      <c r="J119" s="42" t="s">
        <v>229</v>
      </c>
      <c r="K119" t="s">
        <v>205</v>
      </c>
      <c r="M119" t="s">
        <v>251</v>
      </c>
      <c r="N119">
        <f>'Variables calculations'!D139</f>
        <v>5.2370831691055475</v>
      </c>
      <c r="P119" t="s">
        <v>252</v>
      </c>
    </row>
    <row r="120" spans="10:16" x14ac:dyDescent="0.25">
      <c r="K120" t="s">
        <v>206</v>
      </c>
      <c r="M120" t="s">
        <v>251</v>
      </c>
      <c r="N120">
        <f>'Variables calculations'!D140</f>
        <v>0</v>
      </c>
      <c r="P120" t="s">
        <v>252</v>
      </c>
    </row>
    <row r="121" spans="10:16" x14ac:dyDescent="0.25">
      <c r="K121" t="s">
        <v>254</v>
      </c>
      <c r="M121" t="s">
        <v>251</v>
      </c>
      <c r="N121">
        <f>'Variables calculations'!D141</f>
        <v>0.44710319658817332</v>
      </c>
      <c r="P121" t="s">
        <v>252</v>
      </c>
    </row>
    <row r="122" spans="10:16" x14ac:dyDescent="0.25">
      <c r="J122" s="45"/>
    </row>
    <row r="123" spans="10:16" x14ac:dyDescent="0.25">
      <c r="J123" s="42" t="s">
        <v>259</v>
      </c>
      <c r="K123" t="s">
        <v>205</v>
      </c>
      <c r="M123" t="s">
        <v>251</v>
      </c>
      <c r="N123">
        <f>'Variables calculations'!D146</f>
        <v>5.4263708940199118</v>
      </c>
      <c r="P123" t="s">
        <v>252</v>
      </c>
    </row>
    <row r="124" spans="10:16" x14ac:dyDescent="0.25">
      <c r="K124" t="s">
        <v>206</v>
      </c>
      <c r="M124" t="s">
        <v>251</v>
      </c>
      <c r="N124">
        <f>'Variables calculations'!D147</f>
        <v>0</v>
      </c>
      <c r="P124" t="s">
        <v>252</v>
      </c>
    </row>
    <row r="125" spans="10:16" x14ac:dyDescent="0.25">
      <c r="K125" t="s">
        <v>254</v>
      </c>
      <c r="M125" t="s">
        <v>251</v>
      </c>
      <c r="N125">
        <f>'Variables calculations'!D148</f>
        <v>0.46326317422293156</v>
      </c>
      <c r="P125" t="s">
        <v>252</v>
      </c>
    </row>
    <row r="127" spans="10:16" x14ac:dyDescent="0.25">
      <c r="J127" s="42" t="s">
        <v>229</v>
      </c>
      <c r="K127" t="s">
        <v>205</v>
      </c>
      <c r="M127" t="s">
        <v>109</v>
      </c>
      <c r="N127">
        <f>N119*365*('Data herd'!$E$35/2)</f>
        <v>360269.88819633395</v>
      </c>
    </row>
    <row r="128" spans="10:16" x14ac:dyDescent="0.25">
      <c r="K128" t="s">
        <v>206</v>
      </c>
      <c r="M128" t="s">
        <v>109</v>
      </c>
      <c r="N128">
        <f>N120*365*('Data herd'!$E$35/2)</f>
        <v>0</v>
      </c>
    </row>
    <row r="129" spans="1:14" x14ac:dyDescent="0.25">
      <c r="K129" t="s">
        <v>254</v>
      </c>
      <c r="M129" t="s">
        <v>109</v>
      </c>
      <c r="N129">
        <f>N121*365*('Data herd'!$E$35/2)</f>
        <v>30757.162612438628</v>
      </c>
    </row>
    <row r="131" spans="1:14" x14ac:dyDescent="0.25">
      <c r="J131" s="42" t="s">
        <v>259</v>
      </c>
      <c r="K131" t="s">
        <v>205</v>
      </c>
      <c r="M131" t="s">
        <v>109</v>
      </c>
      <c r="N131">
        <f>N123*365*('Data herd'!$E$35/2)</f>
        <v>373291.38609694567</v>
      </c>
    </row>
    <row r="132" spans="1:14" x14ac:dyDescent="0.25">
      <c r="K132" t="s">
        <v>206</v>
      </c>
      <c r="M132" t="s">
        <v>109</v>
      </c>
      <c r="N132">
        <f>N124*365*('Data herd'!$E$35/2)</f>
        <v>0</v>
      </c>
    </row>
    <row r="133" spans="1:14" x14ac:dyDescent="0.25">
      <c r="K133" t="s">
        <v>254</v>
      </c>
      <c r="M133" t="s">
        <v>109</v>
      </c>
      <c r="N133">
        <f>N125*365*('Data herd'!$E$35/2)</f>
        <v>31868.841222026942</v>
      </c>
    </row>
    <row r="135" spans="1:14" x14ac:dyDescent="0.25">
      <c r="J135" s="42" t="s">
        <v>260</v>
      </c>
      <c r="K135" t="s">
        <v>205</v>
      </c>
      <c r="M135" t="s">
        <v>109</v>
      </c>
      <c r="N135">
        <f>N127+N131</f>
        <v>733561.27429327962</v>
      </c>
    </row>
    <row r="136" spans="1:14" x14ac:dyDescent="0.25">
      <c r="K136" t="s">
        <v>206</v>
      </c>
      <c r="M136" t="s">
        <v>109</v>
      </c>
      <c r="N136">
        <f>N128+N132</f>
        <v>0</v>
      </c>
    </row>
    <row r="137" spans="1:14" x14ac:dyDescent="0.25">
      <c r="K137" t="s">
        <v>254</v>
      </c>
      <c r="M137" t="s">
        <v>109</v>
      </c>
      <c r="N137">
        <f>N129+N133</f>
        <v>62626.00383446557</v>
      </c>
    </row>
    <row r="138" spans="1:14" x14ac:dyDescent="0.25">
      <c r="K138" t="s">
        <v>26</v>
      </c>
      <c r="N138">
        <f>SUM(N135:N137)</f>
        <v>796187.27812774514</v>
      </c>
    </row>
    <row r="140" spans="1:14" x14ac:dyDescent="0.25">
      <c r="J140" s="42" t="s">
        <v>260</v>
      </c>
      <c r="K140" t="s">
        <v>205</v>
      </c>
      <c r="M140" t="s">
        <v>95</v>
      </c>
      <c r="N140">
        <f>N135/1000000000</f>
        <v>7.3356127429327958E-4</v>
      </c>
    </row>
    <row r="141" spans="1:14" x14ac:dyDescent="0.25">
      <c r="K141" t="s">
        <v>206</v>
      </c>
      <c r="M141" t="s">
        <v>95</v>
      </c>
      <c r="N141">
        <f t="shared" ref="N141:N143" si="3">N136/1000000000</f>
        <v>0</v>
      </c>
    </row>
    <row r="142" spans="1:14" x14ac:dyDescent="0.25">
      <c r="K142" t="s">
        <v>254</v>
      </c>
      <c r="M142" t="s">
        <v>95</v>
      </c>
      <c r="N142">
        <f>N137/1000000000</f>
        <v>6.2626003834465575E-5</v>
      </c>
    </row>
    <row r="143" spans="1:14" x14ac:dyDescent="0.25">
      <c r="K143" t="s">
        <v>26</v>
      </c>
      <c r="M143" t="s">
        <v>95</v>
      </c>
      <c r="N143">
        <f t="shared" si="3"/>
        <v>7.9618727812774519E-4</v>
      </c>
    </row>
    <row r="144" spans="1:14" x14ac:dyDescent="0.25">
      <c r="A144" s="3" t="s">
        <v>268</v>
      </c>
      <c r="B144" t="s">
        <v>281</v>
      </c>
      <c r="G144" s="39"/>
      <c r="H144" s="39"/>
      <c r="I144" s="36"/>
      <c r="J144" s="41" t="s">
        <v>59</v>
      </c>
    </row>
    <row r="145" spans="1:16" x14ac:dyDescent="0.25">
      <c r="A145" s="4"/>
      <c r="B145" t="s">
        <v>269</v>
      </c>
      <c r="C145" t="s">
        <v>119</v>
      </c>
      <c r="D145" t="s">
        <v>270</v>
      </c>
      <c r="E145">
        <v>20</v>
      </c>
      <c r="G145" s="39" t="s">
        <v>271</v>
      </c>
      <c r="H145" s="39"/>
      <c r="I145" s="36"/>
      <c r="J145" s="43" t="s">
        <v>2</v>
      </c>
    </row>
    <row r="146" spans="1:16" x14ac:dyDescent="0.25">
      <c r="A146" s="4"/>
      <c r="B146" t="s">
        <v>269</v>
      </c>
      <c r="C146" t="s">
        <v>119</v>
      </c>
      <c r="D146" t="s">
        <v>272</v>
      </c>
      <c r="E146">
        <v>7300</v>
      </c>
      <c r="G146" s="39" t="s">
        <v>271</v>
      </c>
      <c r="H146" s="39"/>
      <c r="I146" s="36"/>
      <c r="K146" s="36" t="s">
        <v>273</v>
      </c>
      <c r="M146" t="s">
        <v>274</v>
      </c>
      <c r="N146">
        <f>E146*'Data herd'!E5</f>
        <v>1183519800</v>
      </c>
    </row>
    <row r="147" spans="1:16" x14ac:dyDescent="0.25">
      <c r="A147" s="4"/>
      <c r="B147" t="s">
        <v>275</v>
      </c>
      <c r="D147" t="s">
        <v>270</v>
      </c>
      <c r="E147">
        <v>20</v>
      </c>
      <c r="G147" s="39" t="s">
        <v>271</v>
      </c>
      <c r="H147" s="39" t="s">
        <v>276</v>
      </c>
      <c r="I147" s="36"/>
      <c r="K147" s="12" t="s">
        <v>220</v>
      </c>
      <c r="M147" t="s">
        <v>274</v>
      </c>
      <c r="N147">
        <f>E148*'Data herd'!E6</f>
        <v>47340500</v>
      </c>
    </row>
    <row r="148" spans="1:16" x14ac:dyDescent="0.25">
      <c r="A148" s="4"/>
      <c r="B148" t="s">
        <v>275</v>
      </c>
      <c r="D148" t="s">
        <v>272</v>
      </c>
      <c r="E148">
        <v>7300</v>
      </c>
      <c r="G148" s="39" t="s">
        <v>271</v>
      </c>
      <c r="H148" s="39"/>
      <c r="I148" s="36"/>
      <c r="J148" s="46"/>
      <c r="K148" t="s">
        <v>258</v>
      </c>
      <c r="M148" t="s">
        <v>274</v>
      </c>
      <c r="N148">
        <f>SUM(N146:N147)</f>
        <v>1230860300</v>
      </c>
    </row>
    <row r="149" spans="1:16" x14ac:dyDescent="0.25">
      <c r="A149" s="4"/>
      <c r="B149" t="s">
        <v>277</v>
      </c>
      <c r="D149" t="s">
        <v>270</v>
      </c>
      <c r="E149">
        <v>5</v>
      </c>
      <c r="G149" s="39" t="s">
        <v>271</v>
      </c>
      <c r="H149" s="39"/>
      <c r="I149" s="36"/>
      <c r="M149" t="s">
        <v>278</v>
      </c>
      <c r="N149">
        <f>N148/1000000000</f>
        <v>1.2308603</v>
      </c>
    </row>
    <row r="150" spans="1:16" x14ac:dyDescent="0.25">
      <c r="A150" s="4"/>
      <c r="B150" t="s">
        <v>277</v>
      </c>
      <c r="D150" t="s">
        <v>272</v>
      </c>
      <c r="E150">
        <v>1825</v>
      </c>
      <c r="G150" s="39" t="s">
        <v>271</v>
      </c>
      <c r="H150" s="39"/>
      <c r="I150" s="36"/>
      <c r="J150" s="43" t="s">
        <v>3</v>
      </c>
    </row>
    <row r="151" spans="1:16" x14ac:dyDescent="0.25">
      <c r="G151" s="39"/>
      <c r="H151" s="39"/>
      <c r="I151" s="36"/>
      <c r="K151" t="s">
        <v>3</v>
      </c>
      <c r="M151" t="s">
        <v>274</v>
      </c>
      <c r="N151">
        <f>E150*'Data herd'!E22</f>
        <v>13758417.675000003</v>
      </c>
    </row>
    <row r="152" spans="1:16" x14ac:dyDescent="0.25">
      <c r="G152" s="39"/>
      <c r="H152" s="39"/>
      <c r="I152" s="36"/>
      <c r="M152" t="s">
        <v>278</v>
      </c>
      <c r="N152">
        <f>N151/1000000000</f>
        <v>1.3758417675000002E-2</v>
      </c>
    </row>
    <row r="153" spans="1:16" x14ac:dyDescent="0.25">
      <c r="G153" s="39"/>
      <c r="H153" s="39"/>
      <c r="I153" s="36"/>
      <c r="J153" s="43" t="s">
        <v>4</v>
      </c>
    </row>
    <row r="154" spans="1:16" x14ac:dyDescent="0.25">
      <c r="G154" s="39"/>
      <c r="H154" s="39"/>
      <c r="I154" s="36"/>
      <c r="K154" t="s">
        <v>279</v>
      </c>
      <c r="M154" t="s">
        <v>274</v>
      </c>
      <c r="N154">
        <f>E146*('Data herd'!E35/2)</f>
        <v>1375841.7675000003</v>
      </c>
    </row>
    <row r="155" spans="1:16" x14ac:dyDescent="0.25">
      <c r="G155" s="39"/>
      <c r="H155" s="39"/>
      <c r="I155" s="36"/>
      <c r="K155" t="s">
        <v>280</v>
      </c>
      <c r="M155" t="s">
        <v>274</v>
      </c>
      <c r="N155">
        <f>E148*('Data herd'!E35/2)</f>
        <v>1375841.7675000003</v>
      </c>
    </row>
    <row r="156" spans="1:16" x14ac:dyDescent="0.25">
      <c r="G156" s="39"/>
      <c r="H156" s="39"/>
      <c r="I156" s="36"/>
      <c r="K156" t="s">
        <v>256</v>
      </c>
      <c r="M156" t="s">
        <v>274</v>
      </c>
      <c r="N156">
        <f>SUM(N154:N155)</f>
        <v>2751683.5350000006</v>
      </c>
    </row>
    <row r="157" spans="1:16" ht="15.75" thickBot="1" x14ac:dyDescent="0.3">
      <c r="G157" s="39"/>
      <c r="H157" s="39"/>
      <c r="I157" s="36"/>
      <c r="M157" t="s">
        <v>278</v>
      </c>
      <c r="N157">
        <f>N156/1000000000</f>
        <v>2.7516835350000005E-3</v>
      </c>
    </row>
    <row r="158" spans="1:16" ht="15.75" thickTop="1" x14ac:dyDescent="0.25">
      <c r="A158" s="3" t="s">
        <v>282</v>
      </c>
      <c r="B158" t="s">
        <v>281</v>
      </c>
      <c r="J158" s="44" t="s">
        <v>250</v>
      </c>
      <c r="K158" s="4" t="s">
        <v>49</v>
      </c>
      <c r="L158" s="4" t="s">
        <v>7</v>
      </c>
      <c r="M158" s="4" t="s">
        <v>8</v>
      </c>
      <c r="N158" s="4" t="s">
        <v>9</v>
      </c>
      <c r="O158" s="38" t="s">
        <v>243</v>
      </c>
      <c r="P158" s="4" t="s">
        <v>54</v>
      </c>
    </row>
    <row r="160" spans="1:16" x14ac:dyDescent="0.25">
      <c r="A160" t="s">
        <v>283</v>
      </c>
      <c r="B160" t="s">
        <v>284</v>
      </c>
      <c r="C160" t="s">
        <v>119</v>
      </c>
      <c r="D160" t="s">
        <v>285</v>
      </c>
      <c r="E160">
        <v>28</v>
      </c>
      <c r="G160" s="39" t="s">
        <v>286</v>
      </c>
      <c r="H160" s="39"/>
      <c r="I160" s="36"/>
      <c r="J160" t="s">
        <v>24</v>
      </c>
      <c r="K160" t="s">
        <v>2</v>
      </c>
      <c r="L160">
        <v>2015</v>
      </c>
      <c r="M160" t="s">
        <v>25</v>
      </c>
      <c r="N160">
        <v>129650</v>
      </c>
      <c r="P160" t="s">
        <v>15</v>
      </c>
    </row>
    <row r="161" spans="10:16" x14ac:dyDescent="0.25">
      <c r="J161"/>
      <c r="K161" t="s">
        <v>3</v>
      </c>
      <c r="L161">
        <v>2015</v>
      </c>
      <c r="M161" t="s">
        <v>25</v>
      </c>
      <c r="N161">
        <v>3490</v>
      </c>
      <c r="P161" t="s">
        <v>15</v>
      </c>
    </row>
    <row r="162" spans="10:16" x14ac:dyDescent="0.25">
      <c r="J162"/>
      <c r="K162" t="s">
        <v>4</v>
      </c>
      <c r="L162">
        <v>2015</v>
      </c>
      <c r="M162" t="s">
        <v>25</v>
      </c>
      <c r="N162">
        <v>10840</v>
      </c>
      <c r="P162" t="s">
        <v>15</v>
      </c>
    </row>
    <row r="163" spans="10:16" x14ac:dyDescent="0.25">
      <c r="J163"/>
      <c r="K163" t="s">
        <v>26</v>
      </c>
      <c r="L163">
        <v>2015</v>
      </c>
      <c r="M163" t="s">
        <v>25</v>
      </c>
      <c r="N163">
        <v>143980</v>
      </c>
      <c r="P163" t="s">
        <v>15</v>
      </c>
    </row>
    <row r="165" spans="10:16" x14ac:dyDescent="0.25">
      <c r="J165" s="42" t="s">
        <v>287</v>
      </c>
      <c r="K165" t="s">
        <v>2</v>
      </c>
      <c r="M165" t="s">
        <v>288</v>
      </c>
      <c r="N165">
        <f>$E$160*N160</f>
        <v>3630200</v>
      </c>
    </row>
    <row r="166" spans="10:16" x14ac:dyDescent="0.25">
      <c r="K166" t="s">
        <v>3</v>
      </c>
      <c r="M166" t="s">
        <v>288</v>
      </c>
      <c r="N166">
        <f t="shared" ref="N166:N168" si="4">$E$160*N161</f>
        <v>97720</v>
      </c>
    </row>
    <row r="167" spans="10:16" x14ac:dyDescent="0.25">
      <c r="K167" t="s">
        <v>4</v>
      </c>
      <c r="M167" t="s">
        <v>288</v>
      </c>
      <c r="N167">
        <f t="shared" si="4"/>
        <v>303520</v>
      </c>
    </row>
    <row r="168" spans="10:16" x14ac:dyDescent="0.25">
      <c r="K168" t="s">
        <v>26</v>
      </c>
      <c r="M168" t="s">
        <v>288</v>
      </c>
      <c r="N168">
        <f t="shared" si="4"/>
        <v>4031440</v>
      </c>
    </row>
    <row r="169" spans="10:16" x14ac:dyDescent="0.25">
      <c r="K169" t="s">
        <v>2</v>
      </c>
      <c r="M169" t="s">
        <v>289</v>
      </c>
      <c r="N169">
        <f>N165/1000</f>
        <v>3630.2</v>
      </c>
    </row>
    <row r="170" spans="10:16" x14ac:dyDescent="0.25">
      <c r="K170" t="s">
        <v>3</v>
      </c>
      <c r="M170" t="s">
        <v>289</v>
      </c>
      <c r="N170">
        <f t="shared" ref="N170:N172" si="5">N166/1000</f>
        <v>97.72</v>
      </c>
    </row>
    <row r="171" spans="10:16" x14ac:dyDescent="0.25">
      <c r="K171" t="s">
        <v>4</v>
      </c>
      <c r="M171" t="s">
        <v>289</v>
      </c>
      <c r="N171">
        <f t="shared" si="5"/>
        <v>303.52</v>
      </c>
    </row>
    <row r="172" spans="10:16" x14ac:dyDescent="0.25">
      <c r="K172" t="s">
        <v>26</v>
      </c>
      <c r="M172" t="s">
        <v>289</v>
      </c>
      <c r="N172">
        <f t="shared" si="5"/>
        <v>4031.44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workbookViewId="0">
      <selection activeCell="A11" sqref="A11:N38"/>
    </sheetView>
  </sheetViews>
  <sheetFormatPr defaultRowHeight="15" x14ac:dyDescent="0.25"/>
  <cols>
    <col min="1" max="1" width="20.5703125" customWidth="1"/>
    <col min="2" max="2" width="14.85546875" customWidth="1"/>
    <col min="4" max="4" width="12.85546875" customWidth="1"/>
    <col min="6" max="6" width="15.42578125" customWidth="1"/>
    <col min="10" max="10" width="20.42578125" customWidth="1"/>
    <col min="11" max="11" width="15.28515625" customWidth="1"/>
    <col min="13" max="13" width="21.7109375" customWidth="1"/>
    <col min="14" max="14" width="10" bestFit="1" customWidth="1"/>
  </cols>
  <sheetData>
    <row r="1" spans="1:16" x14ac:dyDescent="0.25">
      <c r="A1" s="3" t="s">
        <v>23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35"/>
      <c r="J1" s="34" t="s">
        <v>59</v>
      </c>
      <c r="K1" s="4" t="s">
        <v>49</v>
      </c>
      <c r="L1" s="4" t="s">
        <v>7</v>
      </c>
      <c r="M1" s="4" t="s">
        <v>8</v>
      </c>
      <c r="N1" s="4" t="s">
        <v>9</v>
      </c>
      <c r="O1" s="38" t="s">
        <v>243</v>
      </c>
      <c r="P1" s="4" t="s">
        <v>54</v>
      </c>
    </row>
    <row r="2" spans="1:16" x14ac:dyDescent="0.25">
      <c r="A2" t="s">
        <v>24</v>
      </c>
      <c r="B2" t="s">
        <v>2</v>
      </c>
      <c r="C2">
        <v>2015</v>
      </c>
      <c r="D2" t="s">
        <v>25</v>
      </c>
      <c r="E2">
        <v>129650</v>
      </c>
      <c r="G2" t="s">
        <v>15</v>
      </c>
      <c r="I2" s="35"/>
    </row>
    <row r="3" spans="1:16" x14ac:dyDescent="0.25">
      <c r="B3" t="s">
        <v>3</v>
      </c>
      <c r="C3">
        <v>2015</v>
      </c>
      <c r="D3" t="s">
        <v>25</v>
      </c>
      <c r="E3">
        <v>3490</v>
      </c>
      <c r="G3" t="s">
        <v>15</v>
      </c>
      <c r="I3" s="35"/>
      <c r="J3" t="s">
        <v>42</v>
      </c>
      <c r="K3" t="s">
        <v>2</v>
      </c>
      <c r="L3">
        <v>2015</v>
      </c>
      <c r="M3" t="s">
        <v>109</v>
      </c>
      <c r="N3">
        <f>E2*1000</f>
        <v>129650000</v>
      </c>
    </row>
    <row r="4" spans="1:16" x14ac:dyDescent="0.25">
      <c r="B4" t="s">
        <v>4</v>
      </c>
      <c r="C4">
        <v>2015</v>
      </c>
      <c r="D4" t="s">
        <v>25</v>
      </c>
      <c r="E4">
        <v>10840</v>
      </c>
      <c r="G4" t="s">
        <v>15</v>
      </c>
      <c r="I4" s="35"/>
      <c r="K4" t="s">
        <v>3</v>
      </c>
      <c r="L4">
        <v>2015</v>
      </c>
      <c r="M4" t="s">
        <v>109</v>
      </c>
      <c r="N4">
        <f t="shared" ref="N4:N5" si="0">E3*1000</f>
        <v>3490000</v>
      </c>
    </row>
    <row r="5" spans="1:16" x14ac:dyDescent="0.25">
      <c r="B5" t="s">
        <v>26</v>
      </c>
      <c r="C5">
        <v>2015</v>
      </c>
      <c r="D5" t="s">
        <v>25</v>
      </c>
      <c r="E5">
        <v>143980</v>
      </c>
      <c r="G5" t="s">
        <v>15</v>
      </c>
      <c r="I5" s="35"/>
      <c r="K5" t="s">
        <v>4</v>
      </c>
      <c r="L5">
        <v>2015</v>
      </c>
      <c r="M5" t="s">
        <v>109</v>
      </c>
      <c r="N5">
        <f t="shared" si="0"/>
        <v>10840000</v>
      </c>
    </row>
    <row r="6" spans="1:16" x14ac:dyDescent="0.25">
      <c r="I6" s="35"/>
      <c r="K6" t="s">
        <v>26</v>
      </c>
      <c r="L6">
        <v>2015</v>
      </c>
      <c r="M6" t="s">
        <v>109</v>
      </c>
      <c r="N6">
        <f>E5*1000</f>
        <v>143980000</v>
      </c>
    </row>
    <row r="7" spans="1:16" x14ac:dyDescent="0.25">
      <c r="A7" t="s">
        <v>42</v>
      </c>
      <c r="B7" t="s">
        <v>2</v>
      </c>
      <c r="C7">
        <v>2015</v>
      </c>
      <c r="D7" t="s">
        <v>43</v>
      </c>
      <c r="E7">
        <v>406440</v>
      </c>
      <c r="G7" t="s">
        <v>15</v>
      </c>
      <c r="I7" s="35"/>
    </row>
    <row r="8" spans="1:16" x14ac:dyDescent="0.25">
      <c r="B8" t="s">
        <v>3</v>
      </c>
      <c r="C8">
        <v>2015</v>
      </c>
      <c r="D8" t="s">
        <v>43</v>
      </c>
      <c r="E8">
        <v>21780</v>
      </c>
      <c r="G8" t="s">
        <v>15</v>
      </c>
      <c r="I8" s="35"/>
      <c r="J8" s="36"/>
      <c r="K8" t="s">
        <v>2</v>
      </c>
      <c r="L8">
        <v>2015</v>
      </c>
      <c r="M8" t="s">
        <v>261</v>
      </c>
      <c r="N8">
        <f>N3/1000000</f>
        <v>129.65</v>
      </c>
    </row>
    <row r="9" spans="1:16" x14ac:dyDescent="0.25">
      <c r="B9" t="s">
        <v>4</v>
      </c>
      <c r="C9">
        <v>2015</v>
      </c>
      <c r="D9" t="s">
        <v>43</v>
      </c>
      <c r="E9">
        <v>38510</v>
      </c>
      <c r="G9" t="s">
        <v>15</v>
      </c>
      <c r="I9" s="35"/>
      <c r="J9" s="36"/>
      <c r="K9" t="s">
        <v>3</v>
      </c>
      <c r="L9">
        <v>2015</v>
      </c>
      <c r="M9" t="s">
        <v>261</v>
      </c>
      <c r="N9">
        <f t="shared" ref="N9" si="1">N4/1000000</f>
        <v>3.49</v>
      </c>
    </row>
    <row r="10" spans="1:16" x14ac:dyDescent="0.25">
      <c r="I10" s="35"/>
      <c r="J10" s="36"/>
      <c r="K10" t="s">
        <v>4</v>
      </c>
      <c r="L10">
        <v>2015</v>
      </c>
      <c r="M10" t="s">
        <v>261</v>
      </c>
      <c r="N10">
        <f>N5/1000000</f>
        <v>10.84</v>
      </c>
    </row>
    <row r="11" spans="1:16" x14ac:dyDescent="0.25">
      <c r="A11" s="1" t="s">
        <v>290</v>
      </c>
      <c r="B11" s="47" t="s">
        <v>296</v>
      </c>
      <c r="I11" s="35"/>
      <c r="J11" s="34" t="s">
        <v>59</v>
      </c>
    </row>
    <row r="12" spans="1:16" x14ac:dyDescent="0.25">
      <c r="I12" s="35"/>
      <c r="J12" s="37" t="s">
        <v>2</v>
      </c>
    </row>
    <row r="13" spans="1:16" x14ac:dyDescent="0.25">
      <c r="A13" t="s">
        <v>291</v>
      </c>
      <c r="B13" t="s">
        <v>292</v>
      </c>
      <c r="D13" t="s">
        <v>293</v>
      </c>
      <c r="E13">
        <v>13610000</v>
      </c>
      <c r="G13" s="39" t="s">
        <v>294</v>
      </c>
      <c r="I13" s="35"/>
      <c r="J13" s="36" t="s">
        <v>101</v>
      </c>
      <c r="K13" t="s">
        <v>2</v>
      </c>
      <c r="M13" t="s">
        <v>109</v>
      </c>
      <c r="N13">
        <f>'Data herd'!L14</f>
        <v>93806075</v>
      </c>
    </row>
    <row r="14" spans="1:16" x14ac:dyDescent="0.25">
      <c r="A14" t="s">
        <v>291</v>
      </c>
      <c r="B14" t="s">
        <v>295</v>
      </c>
      <c r="D14" t="s">
        <v>293</v>
      </c>
      <c r="E14">
        <v>25120000</v>
      </c>
      <c r="G14" s="39" t="s">
        <v>294</v>
      </c>
      <c r="I14" s="35"/>
      <c r="J14" s="36"/>
      <c r="K14" t="s">
        <v>297</v>
      </c>
      <c r="M14">
        <f>N13/(SUM(N13,N23,N32))</f>
        <v>0.98448076872246115</v>
      </c>
    </row>
    <row r="15" spans="1:16" x14ac:dyDescent="0.25">
      <c r="B15" t="s">
        <v>26</v>
      </c>
      <c r="D15" t="s">
        <v>293</v>
      </c>
      <c r="E15">
        <f>SUM(E13,E14)</f>
        <v>38730000</v>
      </c>
      <c r="G15" s="39" t="s">
        <v>294</v>
      </c>
      <c r="I15" s="35"/>
      <c r="J15" s="36"/>
    </row>
    <row r="16" spans="1:16" x14ac:dyDescent="0.25">
      <c r="I16" s="35"/>
      <c r="J16" s="36"/>
      <c r="K16" t="s">
        <v>298</v>
      </c>
      <c r="M16" t="s">
        <v>299</v>
      </c>
      <c r="N16">
        <f>E14*M14</f>
        <v>24730156.910308223</v>
      </c>
    </row>
    <row r="17" spans="9:14" x14ac:dyDescent="0.25">
      <c r="I17" s="35"/>
      <c r="J17" s="36"/>
      <c r="K17" t="s">
        <v>300</v>
      </c>
      <c r="M17" t="s">
        <v>299</v>
      </c>
      <c r="N17">
        <f>E13*M14</f>
        <v>13398783.262312695</v>
      </c>
    </row>
    <row r="18" spans="9:14" x14ac:dyDescent="0.25">
      <c r="I18" s="35"/>
      <c r="J18" s="36"/>
      <c r="K18" t="s">
        <v>26</v>
      </c>
      <c r="M18" t="s">
        <v>299</v>
      </c>
      <c r="N18">
        <f>SUM(N16:N17)</f>
        <v>38128940.172620922</v>
      </c>
    </row>
    <row r="19" spans="9:14" x14ac:dyDescent="0.25">
      <c r="I19" s="35"/>
      <c r="J19" s="36"/>
      <c r="K19" t="s">
        <v>26</v>
      </c>
      <c r="M19" t="s">
        <v>95</v>
      </c>
      <c r="N19">
        <f>N18/1000000</f>
        <v>38.128940172620922</v>
      </c>
    </row>
    <row r="20" spans="9:14" x14ac:dyDescent="0.25">
      <c r="I20" s="35"/>
      <c r="J20" s="36"/>
    </row>
    <row r="21" spans="9:14" x14ac:dyDescent="0.25">
      <c r="I21" s="35"/>
      <c r="J21" s="36"/>
    </row>
    <row r="22" spans="9:14" x14ac:dyDescent="0.25">
      <c r="I22" s="35"/>
      <c r="J22" s="2" t="s">
        <v>3</v>
      </c>
    </row>
    <row r="23" spans="9:14" x14ac:dyDescent="0.25">
      <c r="I23" s="35"/>
      <c r="J23" t="s">
        <v>301</v>
      </c>
      <c r="K23" t="s">
        <v>3</v>
      </c>
      <c r="M23" t="str">
        <f>'[1]Data herd'!K12</f>
        <v>Kg/year</v>
      </c>
      <c r="N23">
        <f>'Data herd'!L25</f>
        <v>1349455.7610000002</v>
      </c>
    </row>
    <row r="24" spans="9:14" x14ac:dyDescent="0.25">
      <c r="I24" s="35"/>
      <c r="K24" t="s">
        <v>297</v>
      </c>
      <c r="M24">
        <f>N23/(SUM(N13,N23,N32))</f>
        <v>1.4162336980267365E-2</v>
      </c>
    </row>
    <row r="25" spans="9:14" x14ac:dyDescent="0.25">
      <c r="I25" s="35"/>
    </row>
    <row r="26" spans="9:14" x14ac:dyDescent="0.25">
      <c r="I26" s="35"/>
      <c r="K26" t="s">
        <v>295</v>
      </c>
      <c r="M26" t="s">
        <v>299</v>
      </c>
      <c r="N26">
        <f>E14*M24</f>
        <v>355757.90494431619</v>
      </c>
    </row>
    <row r="27" spans="9:14" x14ac:dyDescent="0.25">
      <c r="I27" s="35"/>
      <c r="K27" t="s">
        <v>292</v>
      </c>
      <c r="M27" t="s">
        <v>299</v>
      </c>
      <c r="N27">
        <f>E13*M24</f>
        <v>192749.40630143884</v>
      </c>
    </row>
    <row r="28" spans="9:14" x14ac:dyDescent="0.25">
      <c r="I28" s="35"/>
      <c r="K28" t="s">
        <v>26</v>
      </c>
      <c r="M28" t="s">
        <v>299</v>
      </c>
      <c r="N28">
        <f>SUM(N26:N27)</f>
        <v>548507.31124575506</v>
      </c>
    </row>
    <row r="29" spans="9:14" x14ac:dyDescent="0.25">
      <c r="I29" s="35"/>
      <c r="K29" t="s">
        <v>26</v>
      </c>
      <c r="M29" t="s">
        <v>95</v>
      </c>
      <c r="N29">
        <f>N28/1000000</f>
        <v>0.54850731124575502</v>
      </c>
    </row>
    <row r="30" spans="9:14" x14ac:dyDescent="0.25">
      <c r="I30" s="35"/>
    </row>
    <row r="31" spans="9:14" x14ac:dyDescent="0.25">
      <c r="I31" s="35"/>
      <c r="J31" s="2" t="s">
        <v>4</v>
      </c>
    </row>
    <row r="32" spans="9:14" x14ac:dyDescent="0.25">
      <c r="I32" s="35"/>
      <c r="J32" t="s">
        <v>101</v>
      </c>
      <c r="K32" t="s">
        <v>4</v>
      </c>
      <c r="M32" t="str">
        <f>'[1]Data herd'!K25</f>
        <v>Kg/year</v>
      </c>
      <c r="N32">
        <f>'Data herd'!L36</f>
        <v>129291.43185000004</v>
      </c>
    </row>
    <row r="33" spans="9:14" x14ac:dyDescent="0.25">
      <c r="I33" s="35"/>
      <c r="K33" t="s">
        <v>297</v>
      </c>
      <c r="M33">
        <f>N32/(SUM(N13,N23,N32))</f>
        <v>1.3568942972714264E-3</v>
      </c>
    </row>
    <row r="34" spans="9:14" x14ac:dyDescent="0.25">
      <c r="I34" s="35"/>
    </row>
    <row r="35" spans="9:14" x14ac:dyDescent="0.25">
      <c r="I35" s="35"/>
      <c r="K35" t="s">
        <v>298</v>
      </c>
      <c r="M35" t="s">
        <v>299</v>
      </c>
      <c r="N35">
        <f>E14*M33</f>
        <v>34085.184747458232</v>
      </c>
    </row>
    <row r="36" spans="9:14" x14ac:dyDescent="0.25">
      <c r="I36" s="35"/>
      <c r="K36" t="s">
        <v>300</v>
      </c>
      <c r="M36" t="s">
        <v>299</v>
      </c>
      <c r="N36">
        <f>E13*M33</f>
        <v>18467.331385864112</v>
      </c>
    </row>
    <row r="37" spans="9:14" x14ac:dyDescent="0.25">
      <c r="I37" s="35"/>
      <c r="K37" t="s">
        <v>256</v>
      </c>
      <c r="M37" t="s">
        <v>299</v>
      </c>
      <c r="N37">
        <f>SUM(N35:N36)</f>
        <v>52552.516133322344</v>
      </c>
    </row>
    <row r="38" spans="9:14" x14ac:dyDescent="0.25">
      <c r="I38" s="35"/>
      <c r="K38" t="s">
        <v>26</v>
      </c>
      <c r="M38" t="s">
        <v>95</v>
      </c>
      <c r="N38">
        <f>N37/1000000</f>
        <v>5.2552516133322347E-2</v>
      </c>
    </row>
    <row r="39" spans="9:14" x14ac:dyDescent="0.25">
      <c r="I39" s="35"/>
    </row>
    <row r="40" spans="9:14" x14ac:dyDescent="0.25">
      <c r="I40" s="35"/>
    </row>
    <row r="41" spans="9:14" x14ac:dyDescent="0.25">
      <c r="I41" s="35"/>
    </row>
    <row r="42" spans="9:14" x14ac:dyDescent="0.25">
      <c r="I42" s="35"/>
    </row>
    <row r="43" spans="9:14" x14ac:dyDescent="0.25">
      <c r="I43" s="35"/>
    </row>
    <row r="44" spans="9:14" x14ac:dyDescent="0.25">
      <c r="I44" s="35"/>
    </row>
    <row r="45" spans="9:14" x14ac:dyDescent="0.25">
      <c r="I45" s="35"/>
    </row>
    <row r="46" spans="9:14" x14ac:dyDescent="0.25">
      <c r="I46" s="35"/>
    </row>
    <row r="47" spans="9:14" x14ac:dyDescent="0.25">
      <c r="I47" s="35"/>
    </row>
    <row r="48" spans="9:14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  <row r="93" spans="9:9" x14ac:dyDescent="0.25">
      <c r="I93" s="35"/>
    </row>
    <row r="94" spans="9:9" x14ac:dyDescent="0.25">
      <c r="I94" s="35"/>
    </row>
    <row r="95" spans="9:9" x14ac:dyDescent="0.25">
      <c r="I95" s="35"/>
    </row>
    <row r="96" spans="9:9" x14ac:dyDescent="0.25">
      <c r="I96" s="35"/>
    </row>
    <row r="97" spans="9:9" x14ac:dyDescent="0.25">
      <c r="I97" s="35"/>
    </row>
    <row r="98" spans="9:9" x14ac:dyDescent="0.25">
      <c r="I98" s="35"/>
    </row>
    <row r="99" spans="9:9" x14ac:dyDescent="0.25">
      <c r="I99" s="35"/>
    </row>
    <row r="100" spans="9:9" x14ac:dyDescent="0.25">
      <c r="I100" s="35"/>
    </row>
    <row r="101" spans="9:9" x14ac:dyDescent="0.25">
      <c r="I101" s="35"/>
    </row>
    <row r="102" spans="9:9" x14ac:dyDescent="0.25">
      <c r="I102" s="35"/>
    </row>
    <row r="103" spans="9:9" x14ac:dyDescent="0.25">
      <c r="I103" s="35"/>
    </row>
    <row r="104" spans="9:9" x14ac:dyDescent="0.25">
      <c r="I104" s="35"/>
    </row>
    <row r="105" spans="9:9" x14ac:dyDescent="0.25">
      <c r="I105" s="35"/>
    </row>
    <row r="106" spans="9:9" x14ac:dyDescent="0.25">
      <c r="I106" s="35"/>
    </row>
    <row r="107" spans="9:9" x14ac:dyDescent="0.25">
      <c r="I107" s="35"/>
    </row>
    <row r="108" spans="9:9" x14ac:dyDescent="0.25">
      <c r="I108" s="35"/>
    </row>
    <row r="109" spans="9:9" x14ac:dyDescent="0.25">
      <c r="I109" s="35"/>
    </row>
    <row r="110" spans="9:9" x14ac:dyDescent="0.25">
      <c r="I110" s="35"/>
    </row>
    <row r="111" spans="9:9" x14ac:dyDescent="0.25">
      <c r="I111" s="35"/>
    </row>
    <row r="112" spans="9:9" x14ac:dyDescent="0.25">
      <c r="I112" s="35"/>
    </row>
    <row r="113" spans="9:9" x14ac:dyDescent="0.25">
      <c r="I113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L19" sqref="L19"/>
    </sheetView>
  </sheetViews>
  <sheetFormatPr defaultRowHeight="15" x14ac:dyDescent="0.25"/>
  <cols>
    <col min="1" max="1" width="12.28515625" customWidth="1"/>
    <col min="2" max="2" width="15.85546875" customWidth="1"/>
    <col min="4" max="4" width="22.5703125" customWidth="1"/>
    <col min="10" max="10" width="13.28515625" customWidth="1"/>
    <col min="11" max="11" width="18" customWidth="1"/>
  </cols>
  <sheetData>
    <row r="1" spans="1:16" x14ac:dyDescent="0.25">
      <c r="A1" s="2" t="s">
        <v>16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35"/>
      <c r="J1" s="3" t="s">
        <v>59</v>
      </c>
      <c r="K1" s="4" t="s">
        <v>49</v>
      </c>
      <c r="L1" s="4" t="s">
        <v>7</v>
      </c>
      <c r="M1" s="4" t="s">
        <v>8</v>
      </c>
      <c r="N1" s="4" t="s">
        <v>9</v>
      </c>
      <c r="O1" s="38" t="s">
        <v>243</v>
      </c>
      <c r="P1" s="4" t="s">
        <v>54</v>
      </c>
    </row>
    <row r="2" spans="1:16" x14ac:dyDescent="0.25">
      <c r="A2" t="s">
        <v>18</v>
      </c>
      <c r="B2" t="s">
        <v>19</v>
      </c>
      <c r="C2">
        <v>2007</v>
      </c>
      <c r="D2" t="s">
        <v>22</v>
      </c>
      <c r="E2">
        <v>2630</v>
      </c>
      <c r="G2" t="s">
        <v>21</v>
      </c>
      <c r="I2" s="35"/>
      <c r="J2" t="s">
        <v>262</v>
      </c>
      <c r="K2" t="s">
        <v>19</v>
      </c>
      <c r="L2">
        <v>2007</v>
      </c>
      <c r="M2" t="s">
        <v>109</v>
      </c>
      <c r="N2">
        <f>SUM(N3:N4)</f>
        <v>1663475</v>
      </c>
    </row>
    <row r="3" spans="1:16" x14ac:dyDescent="0.25">
      <c r="A3" t="s">
        <v>18</v>
      </c>
      <c r="B3" t="s">
        <v>2</v>
      </c>
      <c r="C3">
        <v>2007</v>
      </c>
      <c r="D3" t="s">
        <v>22</v>
      </c>
      <c r="E3">
        <v>2630</v>
      </c>
      <c r="G3" t="s">
        <v>21</v>
      </c>
      <c r="I3" s="35"/>
      <c r="K3" t="s">
        <v>263</v>
      </c>
      <c r="L3">
        <v>2007</v>
      </c>
      <c r="M3" t="s">
        <v>109</v>
      </c>
      <c r="N3">
        <f>(E3/2)*'Data herd'!E9</f>
        <v>723250</v>
      </c>
    </row>
    <row r="4" spans="1:16" x14ac:dyDescent="0.25">
      <c r="A4" t="s">
        <v>18</v>
      </c>
      <c r="B4" t="s">
        <v>20</v>
      </c>
      <c r="C4">
        <v>2007</v>
      </c>
      <c r="D4" t="s">
        <v>22</v>
      </c>
      <c r="E4">
        <v>0</v>
      </c>
      <c r="G4" t="s">
        <v>21</v>
      </c>
      <c r="I4" s="35"/>
      <c r="K4" t="s">
        <v>264</v>
      </c>
      <c r="L4">
        <v>2007</v>
      </c>
      <c r="M4" t="s">
        <v>109</v>
      </c>
      <c r="N4">
        <f>(E3/2)*'Data herd'!E10</f>
        <v>940225</v>
      </c>
    </row>
    <row r="5" spans="1:16" x14ac:dyDescent="0.25">
      <c r="I5" s="35"/>
      <c r="K5" t="s">
        <v>20</v>
      </c>
      <c r="L5">
        <v>2007</v>
      </c>
      <c r="M5" t="s">
        <v>109</v>
      </c>
    </row>
    <row r="6" spans="1:16" x14ac:dyDescent="0.25">
      <c r="I6" s="35"/>
    </row>
    <row r="7" spans="1:16" x14ac:dyDescent="0.25">
      <c r="I7" s="35"/>
      <c r="K7" t="s">
        <v>265</v>
      </c>
      <c r="M7" t="s">
        <v>103</v>
      </c>
      <c r="N7">
        <f>N2/1000000</f>
        <v>1.663475</v>
      </c>
    </row>
    <row r="8" spans="1:16" x14ac:dyDescent="0.25">
      <c r="I8" s="35"/>
    </row>
    <row r="9" spans="1:16" x14ac:dyDescent="0.25">
      <c r="I9" s="35"/>
    </row>
    <row r="10" spans="1:16" x14ac:dyDescent="0.25">
      <c r="I10" s="35"/>
    </row>
    <row r="11" spans="1:16" x14ac:dyDescent="0.25">
      <c r="I11" s="35"/>
    </row>
    <row r="12" spans="1:16" x14ac:dyDescent="0.25">
      <c r="A12" s="2" t="s">
        <v>17</v>
      </c>
      <c r="I12" s="35"/>
    </row>
    <row r="13" spans="1:16" x14ac:dyDescent="0.25">
      <c r="I13" s="35"/>
    </row>
    <row r="14" spans="1:16" x14ac:dyDescent="0.25">
      <c r="I14" s="35"/>
    </row>
    <row r="15" spans="1:16" x14ac:dyDescent="0.25">
      <c r="I15" s="35"/>
    </row>
    <row r="16" spans="1:16" x14ac:dyDescent="0.25">
      <c r="I16" s="35"/>
    </row>
    <row r="17" spans="9:9" x14ac:dyDescent="0.25">
      <c r="I17" s="35"/>
    </row>
    <row r="18" spans="9:9" x14ac:dyDescent="0.25">
      <c r="I18" s="35"/>
    </row>
    <row r="19" spans="9:9" x14ac:dyDescent="0.25">
      <c r="I19" s="35"/>
    </row>
    <row r="20" spans="9:9" x14ac:dyDescent="0.25">
      <c r="I20" s="35"/>
    </row>
    <row r="21" spans="9:9" x14ac:dyDescent="0.25">
      <c r="I21" s="35"/>
    </row>
    <row r="22" spans="9:9" x14ac:dyDescent="0.25">
      <c r="I22" s="35"/>
    </row>
    <row r="23" spans="9:9" x14ac:dyDescent="0.25">
      <c r="I23" s="35"/>
    </row>
    <row r="24" spans="9:9" x14ac:dyDescent="0.25">
      <c r="I24" s="35"/>
    </row>
    <row r="25" spans="9:9" x14ac:dyDescent="0.25">
      <c r="I25" s="35"/>
    </row>
    <row r="26" spans="9:9" x14ac:dyDescent="0.25">
      <c r="I26" s="35"/>
    </row>
    <row r="27" spans="9:9" x14ac:dyDescent="0.25">
      <c r="I27" s="35"/>
    </row>
    <row r="28" spans="9:9" x14ac:dyDescent="0.25">
      <c r="I28" s="35"/>
    </row>
    <row r="29" spans="9:9" x14ac:dyDescent="0.25">
      <c r="I29" s="35"/>
    </row>
    <row r="30" spans="9:9" x14ac:dyDescent="0.25">
      <c r="I30" s="35"/>
    </row>
    <row r="31" spans="9:9" x14ac:dyDescent="0.25">
      <c r="I31" s="35"/>
    </row>
    <row r="32" spans="9:9" x14ac:dyDescent="0.25">
      <c r="I32" s="35"/>
    </row>
    <row r="33" spans="9:9" x14ac:dyDescent="0.25">
      <c r="I33" s="35"/>
    </row>
    <row r="34" spans="9:9" x14ac:dyDescent="0.25">
      <c r="I34" s="35"/>
    </row>
    <row r="35" spans="9:9" x14ac:dyDescent="0.25">
      <c r="I35" s="35"/>
    </row>
    <row r="36" spans="9:9" x14ac:dyDescent="0.25">
      <c r="I36" s="35"/>
    </row>
    <row r="37" spans="9:9" x14ac:dyDescent="0.25">
      <c r="I37" s="35"/>
    </row>
    <row r="38" spans="9:9" x14ac:dyDescent="0.25">
      <c r="I38" s="35"/>
    </row>
    <row r="39" spans="9:9" x14ac:dyDescent="0.25">
      <c r="I39" s="35"/>
    </row>
    <row r="40" spans="9:9" x14ac:dyDescent="0.25">
      <c r="I40" s="35"/>
    </row>
    <row r="41" spans="9:9" x14ac:dyDescent="0.25">
      <c r="I41" s="35"/>
    </row>
    <row r="42" spans="9:9" x14ac:dyDescent="0.25">
      <c r="I42" s="35"/>
    </row>
    <row r="43" spans="9:9" x14ac:dyDescent="0.25">
      <c r="I43" s="35"/>
    </row>
    <row r="44" spans="9:9" x14ac:dyDescent="0.25">
      <c r="I44" s="35"/>
    </row>
    <row r="45" spans="9:9" x14ac:dyDescent="0.25">
      <c r="I45" s="35"/>
    </row>
    <row r="46" spans="9:9" x14ac:dyDescent="0.25">
      <c r="I46" s="35"/>
    </row>
    <row r="47" spans="9:9" x14ac:dyDescent="0.25">
      <c r="I47" s="35"/>
    </row>
    <row r="48" spans="9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  <row r="93" spans="9:9" x14ac:dyDescent="0.25">
      <c r="I93" s="35"/>
    </row>
    <row r="94" spans="9:9" x14ac:dyDescent="0.25">
      <c r="I94" s="35"/>
    </row>
    <row r="95" spans="9:9" x14ac:dyDescent="0.25">
      <c r="I95" s="35"/>
    </row>
    <row r="96" spans="9:9" x14ac:dyDescent="0.25">
      <c r="I96" s="35"/>
    </row>
    <row r="97" spans="9:9" x14ac:dyDescent="0.25">
      <c r="I97" s="35"/>
    </row>
    <row r="98" spans="9:9" x14ac:dyDescent="0.25">
      <c r="I98" s="35"/>
    </row>
    <row r="99" spans="9:9" x14ac:dyDescent="0.25">
      <c r="I99" s="35"/>
    </row>
    <row r="100" spans="9:9" x14ac:dyDescent="0.25">
      <c r="I100" s="35"/>
    </row>
    <row r="101" spans="9:9" x14ac:dyDescent="0.25">
      <c r="I101" s="35"/>
    </row>
    <row r="102" spans="9:9" x14ac:dyDescent="0.25">
      <c r="I102" s="35"/>
    </row>
    <row r="103" spans="9:9" x14ac:dyDescent="0.25">
      <c r="I103" s="35"/>
    </row>
    <row r="104" spans="9:9" x14ac:dyDescent="0.25">
      <c r="I104" s="35"/>
    </row>
    <row r="105" spans="9:9" x14ac:dyDescent="0.25">
      <c r="I105" s="35"/>
    </row>
    <row r="106" spans="9:9" x14ac:dyDescent="0.25">
      <c r="I106" s="35"/>
    </row>
    <row r="107" spans="9:9" x14ac:dyDescent="0.25">
      <c r="I107" s="35"/>
    </row>
    <row r="108" spans="9:9" x14ac:dyDescent="0.25">
      <c r="I108" s="35"/>
    </row>
    <row r="109" spans="9:9" x14ac:dyDescent="0.25">
      <c r="I109" s="35"/>
    </row>
    <row r="110" spans="9:9" x14ac:dyDescent="0.25">
      <c r="I110" s="35"/>
    </row>
    <row r="111" spans="9:9" x14ac:dyDescent="0.25">
      <c r="I111" s="35"/>
    </row>
    <row r="112" spans="9:9" x14ac:dyDescent="0.25">
      <c r="I112" s="35"/>
    </row>
    <row r="113" spans="9:9" x14ac:dyDescent="0.25">
      <c r="I113" s="35"/>
    </row>
    <row r="114" spans="9:9" x14ac:dyDescent="0.25">
      <c r="I114" s="35"/>
    </row>
    <row r="115" spans="9:9" x14ac:dyDescent="0.25">
      <c r="I115" s="35"/>
    </row>
    <row r="116" spans="9:9" x14ac:dyDescent="0.25">
      <c r="I116" s="35"/>
    </row>
    <row r="117" spans="9:9" x14ac:dyDescent="0.25">
      <c r="I117" s="35"/>
    </row>
    <row r="118" spans="9:9" x14ac:dyDescent="0.25">
      <c r="I118" s="35"/>
    </row>
    <row r="119" spans="9:9" x14ac:dyDescent="0.25">
      <c r="I119" s="35"/>
    </row>
    <row r="120" spans="9:9" x14ac:dyDescent="0.25">
      <c r="I120" s="35"/>
    </row>
    <row r="121" spans="9:9" x14ac:dyDescent="0.25">
      <c r="I121" s="35"/>
    </row>
    <row r="122" spans="9:9" x14ac:dyDescent="0.25">
      <c r="I122" s="35"/>
    </row>
    <row r="123" spans="9:9" x14ac:dyDescent="0.25">
      <c r="I123" s="35"/>
    </row>
    <row r="124" spans="9:9" x14ac:dyDescent="0.25">
      <c r="I124" s="35"/>
    </row>
    <row r="125" spans="9:9" x14ac:dyDescent="0.25">
      <c r="I125" s="35"/>
    </row>
    <row r="126" spans="9:9" x14ac:dyDescent="0.25">
      <c r="I126" s="35"/>
    </row>
    <row r="127" spans="9:9" x14ac:dyDescent="0.25">
      <c r="I127" s="35"/>
    </row>
    <row r="128" spans="9:9" x14ac:dyDescent="0.25">
      <c r="I128" s="35"/>
    </row>
    <row r="129" spans="9:9" x14ac:dyDescent="0.25">
      <c r="I129" s="35"/>
    </row>
    <row r="130" spans="9:9" x14ac:dyDescent="0.25">
      <c r="I130" s="35"/>
    </row>
    <row r="131" spans="9:9" x14ac:dyDescent="0.25">
      <c r="I131" s="35"/>
    </row>
    <row r="132" spans="9:9" x14ac:dyDescent="0.25">
      <c r="I132" s="35"/>
    </row>
    <row r="133" spans="9:9" x14ac:dyDescent="0.25">
      <c r="I133" s="35"/>
    </row>
    <row r="134" spans="9:9" x14ac:dyDescent="0.25">
      <c r="I134" s="35"/>
    </row>
    <row r="135" spans="9:9" x14ac:dyDescent="0.25">
      <c r="I135" s="35"/>
    </row>
    <row r="136" spans="9:9" x14ac:dyDescent="0.25">
      <c r="I136" s="35"/>
    </row>
    <row r="137" spans="9:9" x14ac:dyDescent="0.25">
      <c r="I137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selection activeCell="G13" sqref="G13"/>
    </sheetView>
  </sheetViews>
  <sheetFormatPr defaultRowHeight="15" x14ac:dyDescent="0.25"/>
  <cols>
    <col min="1" max="1" width="29.85546875" customWidth="1"/>
    <col min="2" max="2" width="38.28515625" customWidth="1"/>
    <col min="3" max="3" width="17.7109375" customWidth="1"/>
    <col min="4" max="4" width="27.140625" customWidth="1"/>
    <col min="5" max="5" width="17.5703125" customWidth="1"/>
    <col min="7" max="7" width="19.7109375" customWidth="1"/>
    <col min="8" max="8" width="23.7109375" customWidth="1"/>
    <col min="9" max="9" width="17" customWidth="1"/>
  </cols>
  <sheetData>
    <row r="1" spans="1:5" x14ac:dyDescent="0.25">
      <c r="A1" s="3" t="s">
        <v>147</v>
      </c>
      <c r="C1" t="s">
        <v>8</v>
      </c>
      <c r="D1" t="s">
        <v>9</v>
      </c>
      <c r="E1" t="s">
        <v>11</v>
      </c>
    </row>
    <row r="2" spans="1:5" x14ac:dyDescent="0.25">
      <c r="A2" t="s">
        <v>148</v>
      </c>
      <c r="B2" t="s">
        <v>149</v>
      </c>
      <c r="C2" t="s">
        <v>150</v>
      </c>
      <c r="D2">
        <v>0.32200000000000001</v>
      </c>
      <c r="E2" t="s">
        <v>151</v>
      </c>
    </row>
    <row r="3" spans="1:5" x14ac:dyDescent="0.25">
      <c r="B3" t="s">
        <v>152</v>
      </c>
      <c r="C3" t="s">
        <v>150</v>
      </c>
      <c r="D3">
        <v>0.38600000000000001</v>
      </c>
      <c r="E3" t="s">
        <v>151</v>
      </c>
    </row>
    <row r="4" spans="1:5" x14ac:dyDescent="0.25">
      <c r="B4" t="s">
        <v>153</v>
      </c>
      <c r="C4" t="s">
        <v>150</v>
      </c>
      <c r="D4">
        <v>0.37</v>
      </c>
      <c r="E4" t="s">
        <v>151</v>
      </c>
    </row>
    <row r="6" spans="1:5" x14ac:dyDescent="0.25">
      <c r="A6" t="s">
        <v>154</v>
      </c>
      <c r="B6" t="s">
        <v>155</v>
      </c>
      <c r="C6" t="s">
        <v>119</v>
      </c>
      <c r="D6">
        <v>0.17</v>
      </c>
      <c r="E6" t="s">
        <v>151</v>
      </c>
    </row>
    <row r="9" spans="1:5" x14ac:dyDescent="0.25">
      <c r="A9" t="s">
        <v>156</v>
      </c>
      <c r="B9" t="s">
        <v>157</v>
      </c>
      <c r="C9" t="s">
        <v>119</v>
      </c>
      <c r="D9">
        <v>0.8</v>
      </c>
      <c r="E9" t="s">
        <v>151</v>
      </c>
    </row>
    <row r="10" spans="1:5" x14ac:dyDescent="0.25">
      <c r="B10" t="s">
        <v>158</v>
      </c>
      <c r="C10" t="s">
        <v>119</v>
      </c>
      <c r="D10">
        <v>1.2</v>
      </c>
      <c r="E10" t="s">
        <v>151</v>
      </c>
    </row>
    <row r="12" spans="1:5" x14ac:dyDescent="0.25">
      <c r="A12" t="s">
        <v>159</v>
      </c>
      <c r="B12" t="s">
        <v>160</v>
      </c>
      <c r="C12" t="s">
        <v>79</v>
      </c>
      <c r="D12" s="25">
        <v>65</v>
      </c>
      <c r="E12" t="s">
        <v>151</v>
      </c>
    </row>
    <row r="13" spans="1:5" x14ac:dyDescent="0.25">
      <c r="A13" t="s">
        <v>159</v>
      </c>
      <c r="B13" t="s">
        <v>161</v>
      </c>
      <c r="C13" t="s">
        <v>79</v>
      </c>
      <c r="D13" s="25">
        <v>75</v>
      </c>
      <c r="E13" t="s">
        <v>151</v>
      </c>
    </row>
    <row r="14" spans="1:5" x14ac:dyDescent="0.25">
      <c r="A14" t="s">
        <v>159</v>
      </c>
      <c r="B14" t="s">
        <v>162</v>
      </c>
      <c r="C14" t="s">
        <v>79</v>
      </c>
      <c r="D14" s="25">
        <v>70</v>
      </c>
      <c r="E14" t="s">
        <v>151</v>
      </c>
    </row>
    <row r="17" spans="1:9" x14ac:dyDescent="0.25">
      <c r="A17" t="s">
        <v>163</v>
      </c>
      <c r="B17" t="s">
        <v>164</v>
      </c>
      <c r="C17" t="s">
        <v>79</v>
      </c>
      <c r="D17">
        <v>4.0599999999999996</v>
      </c>
      <c r="E17" t="s">
        <v>75</v>
      </c>
    </row>
    <row r="18" spans="1:9" x14ac:dyDescent="0.25">
      <c r="A18" t="s">
        <v>163</v>
      </c>
      <c r="B18" t="s">
        <v>165</v>
      </c>
      <c r="C18" t="s">
        <v>166</v>
      </c>
      <c r="D18" s="26">
        <f>7556/365</f>
        <v>20.701369863013699</v>
      </c>
      <c r="E18" t="s">
        <v>75</v>
      </c>
    </row>
    <row r="20" spans="1:9" x14ac:dyDescent="0.25">
      <c r="A20" t="s">
        <v>167</v>
      </c>
      <c r="B20" t="s">
        <v>168</v>
      </c>
      <c r="C20" t="s">
        <v>169</v>
      </c>
      <c r="D20">
        <v>0.1</v>
      </c>
      <c r="E20" t="s">
        <v>151</v>
      </c>
    </row>
    <row r="23" spans="1:9" x14ac:dyDescent="0.25">
      <c r="A23" s="3" t="s">
        <v>177</v>
      </c>
    </row>
    <row r="24" spans="1:9" x14ac:dyDescent="0.25">
      <c r="A24" s="2" t="s">
        <v>2</v>
      </c>
    </row>
    <row r="25" spans="1:9" x14ac:dyDescent="0.25">
      <c r="A25" s="27" t="s">
        <v>178</v>
      </c>
      <c r="B25" s="28">
        <f>'Data herd'!E81</f>
        <v>358.47454728300954</v>
      </c>
    </row>
    <row r="26" spans="1:9" x14ac:dyDescent="0.25">
      <c r="A26" s="27" t="s">
        <v>179</v>
      </c>
      <c r="B26" s="28">
        <f>'Data herd'!E82</f>
        <v>131.81056585742493</v>
      </c>
    </row>
    <row r="27" spans="1:9" x14ac:dyDescent="0.25">
      <c r="A27" s="29" t="s">
        <v>180</v>
      </c>
      <c r="C27" t="s">
        <v>181</v>
      </c>
      <c r="D27" t="s">
        <v>182</v>
      </c>
      <c r="E27" t="s">
        <v>183</v>
      </c>
      <c r="G27" t="s">
        <v>184</v>
      </c>
      <c r="I27" t="s">
        <v>185</v>
      </c>
    </row>
    <row r="28" spans="1:9" x14ac:dyDescent="0.25">
      <c r="B28" s="30" t="s">
        <v>186</v>
      </c>
      <c r="C28">
        <v>18.7</v>
      </c>
      <c r="D28">
        <v>24.9</v>
      </c>
      <c r="E28">
        <f t="shared" ref="E28:E43" si="0">D28/100</f>
        <v>0.249</v>
      </c>
      <c r="F28">
        <f>$B$25*E28</f>
        <v>89.260162273469376</v>
      </c>
      <c r="G28">
        <f>F28/C28</f>
        <v>4.7732707098111966</v>
      </c>
      <c r="H28">
        <f>$B$26*E28</f>
        <v>32.820830898498805</v>
      </c>
      <c r="I28">
        <f>H28/C28</f>
        <v>1.7551246469785458</v>
      </c>
    </row>
    <row r="29" spans="1:9" x14ac:dyDescent="0.25">
      <c r="B29" s="30" t="s">
        <v>187</v>
      </c>
      <c r="C29">
        <f>(C32+C28)/2</f>
        <v>18.799999999999997</v>
      </c>
      <c r="D29">
        <v>48.5</v>
      </c>
      <c r="E29">
        <f t="shared" si="0"/>
        <v>0.48499999999999999</v>
      </c>
      <c r="F29">
        <f t="shared" ref="F29:F43" si="1">$B$25*E29</f>
        <v>173.86015543225963</v>
      </c>
      <c r="G29">
        <f t="shared" ref="G29:G43" si="2">F29/C29</f>
        <v>9.2478806080989173</v>
      </c>
      <c r="H29">
        <f t="shared" ref="H29:H43" si="3">$B$26*E29</f>
        <v>63.928124440851093</v>
      </c>
      <c r="I29">
        <f t="shared" ref="I29:I43" si="4">H29/C29</f>
        <v>3.4004321511091011</v>
      </c>
    </row>
    <row r="30" spans="1:9" x14ac:dyDescent="0.25">
      <c r="B30" s="30" t="s">
        <v>188</v>
      </c>
      <c r="C30">
        <v>18.5</v>
      </c>
      <c r="D30">
        <v>2.8</v>
      </c>
      <c r="E30">
        <f t="shared" si="0"/>
        <v>2.7999999999999997E-2</v>
      </c>
      <c r="F30">
        <f t="shared" si="1"/>
        <v>10.037287323924266</v>
      </c>
      <c r="G30">
        <f t="shared" si="2"/>
        <v>0.54255607156347385</v>
      </c>
      <c r="H30">
        <f t="shared" si="3"/>
        <v>3.6906958440078976</v>
      </c>
      <c r="I30">
        <f t="shared" si="4"/>
        <v>0.19949707264907554</v>
      </c>
    </row>
    <row r="31" spans="1:9" x14ac:dyDescent="0.25">
      <c r="B31" s="30" t="s">
        <v>189</v>
      </c>
      <c r="C31">
        <f>(C32+C30)/2</f>
        <v>18.7</v>
      </c>
      <c r="D31">
        <v>5.4</v>
      </c>
      <c r="E31">
        <f t="shared" si="0"/>
        <v>5.4000000000000006E-2</v>
      </c>
      <c r="F31">
        <f t="shared" si="1"/>
        <v>19.357625553282517</v>
      </c>
      <c r="G31">
        <f t="shared" si="2"/>
        <v>1.0351671418867656</v>
      </c>
      <c r="H31">
        <f t="shared" si="3"/>
        <v>7.1177705563009468</v>
      </c>
      <c r="I31">
        <f t="shared" si="4"/>
        <v>0.38062944151341965</v>
      </c>
    </row>
    <row r="32" spans="1:9" x14ac:dyDescent="0.25">
      <c r="B32" s="30" t="s">
        <v>190</v>
      </c>
      <c r="C32">
        <v>18.899999999999999</v>
      </c>
      <c r="D32">
        <v>0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25">
      <c r="B33" s="30" t="s">
        <v>191</v>
      </c>
      <c r="C33">
        <v>18.899999999999999</v>
      </c>
      <c r="D33">
        <v>7.7</v>
      </c>
      <c r="E33">
        <f t="shared" si="0"/>
        <v>7.6999999999999999E-2</v>
      </c>
      <c r="F33">
        <f t="shared" si="1"/>
        <v>27.602540140791735</v>
      </c>
      <c r="G33">
        <f t="shared" si="2"/>
        <v>1.4604518593011502</v>
      </c>
      <c r="H33">
        <f t="shared" si="3"/>
        <v>10.14941357102172</v>
      </c>
      <c r="I33">
        <f t="shared" si="4"/>
        <v>0.53700600904876827</v>
      </c>
    </row>
    <row r="34" spans="1:9" x14ac:dyDescent="0.25">
      <c r="B34" s="30" t="s">
        <v>192</v>
      </c>
      <c r="C34">
        <v>16.7</v>
      </c>
      <c r="D34">
        <v>3.1</v>
      </c>
      <c r="E34">
        <f t="shared" si="0"/>
        <v>3.1E-2</v>
      </c>
      <c r="F34">
        <f t="shared" si="1"/>
        <v>11.112710965773296</v>
      </c>
      <c r="G34">
        <f t="shared" si="2"/>
        <v>0.6654317943576824</v>
      </c>
      <c r="H34">
        <f t="shared" si="3"/>
        <v>4.086127541580173</v>
      </c>
      <c r="I34">
        <f t="shared" si="4"/>
        <v>0.24467829590300438</v>
      </c>
    </row>
    <row r="35" spans="1:9" x14ac:dyDescent="0.25">
      <c r="B35" s="30" t="s">
        <v>193</v>
      </c>
      <c r="C35">
        <v>18.600000000000001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25">
      <c r="B36" s="30" t="s">
        <v>194</v>
      </c>
      <c r="C36">
        <v>18.3</v>
      </c>
      <c r="D36"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B37" s="30" t="s">
        <v>195</v>
      </c>
      <c r="C37">
        <v>19.7</v>
      </c>
      <c r="D37">
        <v>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B38" s="30" t="s">
        <v>196</v>
      </c>
      <c r="C38">
        <v>21.5</v>
      </c>
      <c r="D38"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x14ac:dyDescent="0.25">
      <c r="B39" s="30" t="s">
        <v>197</v>
      </c>
      <c r="C39">
        <v>17.100000000000001</v>
      </c>
      <c r="D39">
        <v>3.1</v>
      </c>
      <c r="E39">
        <f t="shared" si="0"/>
        <v>3.1E-2</v>
      </c>
      <c r="F39">
        <f t="shared" si="1"/>
        <v>11.112710965773296</v>
      </c>
      <c r="G39">
        <f t="shared" si="2"/>
        <v>0.6498661383493155</v>
      </c>
      <c r="H39">
        <f t="shared" si="3"/>
        <v>4.086127541580173</v>
      </c>
      <c r="I39">
        <f t="shared" si="4"/>
        <v>0.23895482699299256</v>
      </c>
    </row>
    <row r="40" spans="1:9" x14ac:dyDescent="0.25">
      <c r="B40" s="30" t="s">
        <v>198</v>
      </c>
      <c r="C40">
        <v>18.899999999999999</v>
      </c>
      <c r="D40">
        <v>0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25">
      <c r="B41" s="30" t="s">
        <v>199</v>
      </c>
      <c r="C41">
        <v>15.5</v>
      </c>
      <c r="D41"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B42" s="30" t="s">
        <v>200</v>
      </c>
      <c r="C42">
        <v>18.7</v>
      </c>
      <c r="D42">
        <v>0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x14ac:dyDescent="0.25">
      <c r="B43" s="30" t="s">
        <v>201</v>
      </c>
      <c r="C43">
        <v>19.100000000000001</v>
      </c>
      <c r="D43">
        <v>4.5999999999999996</v>
      </c>
      <c r="E43">
        <f t="shared" si="0"/>
        <v>4.5999999999999999E-2</v>
      </c>
      <c r="F43">
        <f t="shared" si="1"/>
        <v>16.489829175018439</v>
      </c>
      <c r="G43">
        <f t="shared" si="2"/>
        <v>0.86334184162400196</v>
      </c>
      <c r="H43">
        <f t="shared" si="3"/>
        <v>6.0632860294415467</v>
      </c>
      <c r="I43">
        <f t="shared" si="4"/>
        <v>0.3174495303372537</v>
      </c>
    </row>
    <row r="44" spans="1:9" ht="15.75" thickBot="1" x14ac:dyDescent="0.3"/>
    <row r="45" spans="1:9" ht="15.75" thickBot="1" x14ac:dyDescent="0.3">
      <c r="A45" s="31" t="s">
        <v>202</v>
      </c>
      <c r="B45" s="31"/>
      <c r="C45" s="31" t="s">
        <v>203</v>
      </c>
      <c r="D45" s="31" t="s">
        <v>204</v>
      </c>
    </row>
    <row r="46" spans="1:9" ht="15.75" thickBot="1" x14ac:dyDescent="0.3">
      <c r="A46" s="31"/>
      <c r="B46" s="31" t="s">
        <v>205</v>
      </c>
      <c r="C46" s="31">
        <f>SUM(D28:D34)</f>
        <v>92.4</v>
      </c>
      <c r="D46" s="31">
        <f>SUM(G28:G34)</f>
        <v>17.724758185019187</v>
      </c>
    </row>
    <row r="47" spans="1:9" ht="15.75" thickBot="1" x14ac:dyDescent="0.3">
      <c r="A47" s="31"/>
      <c r="B47" s="31" t="s">
        <v>206</v>
      </c>
      <c r="C47" s="31">
        <f>SUM(D35:D36)</f>
        <v>0</v>
      </c>
      <c r="D47" s="31">
        <f>SUM(G35:G36)</f>
        <v>0</v>
      </c>
    </row>
    <row r="48" spans="1:9" ht="15.75" thickBot="1" x14ac:dyDescent="0.3">
      <c r="A48" s="31"/>
      <c r="B48" s="31" t="s">
        <v>207</v>
      </c>
      <c r="C48" s="31">
        <f>SUM(D37:D43)</f>
        <v>7.6999999999999993</v>
      </c>
      <c r="D48" s="31">
        <f>SUM(G37:G43)</f>
        <v>1.5132079799733176</v>
      </c>
    </row>
    <row r="49" spans="1:7" ht="15.75" thickBot="1" x14ac:dyDescent="0.3">
      <c r="A49" s="31" t="s">
        <v>26</v>
      </c>
      <c r="B49" s="31"/>
      <c r="C49" s="31">
        <f>SUM(C46:C48)</f>
        <v>100.10000000000001</v>
      </c>
      <c r="D49" s="31">
        <f>SUM(D46:D48)</f>
        <v>19.237966164992503</v>
      </c>
    </row>
    <row r="50" spans="1:7" ht="15.75" thickBot="1" x14ac:dyDescent="0.3"/>
    <row r="51" spans="1:7" ht="15.75" thickBot="1" x14ac:dyDescent="0.3">
      <c r="A51" s="31" t="s">
        <v>208</v>
      </c>
      <c r="B51" s="31"/>
      <c r="C51" s="31" t="s">
        <v>203</v>
      </c>
      <c r="D51" s="31" t="s">
        <v>204</v>
      </c>
    </row>
    <row r="52" spans="1:7" ht="15.75" thickBot="1" x14ac:dyDescent="0.3">
      <c r="A52" s="31"/>
      <c r="B52" s="31" t="s">
        <v>205</v>
      </c>
      <c r="C52" s="31">
        <f>SUM(D28:D34)</f>
        <v>92.4</v>
      </c>
      <c r="D52" s="31">
        <f>SUM(I28:I34)</f>
        <v>6.5173676172019137</v>
      </c>
    </row>
    <row r="53" spans="1:7" ht="15.75" thickBot="1" x14ac:dyDescent="0.3">
      <c r="A53" s="31"/>
      <c r="B53" s="31" t="s">
        <v>206</v>
      </c>
      <c r="C53" s="31">
        <f>SUM(D35:D36)</f>
        <v>0</v>
      </c>
      <c r="D53" s="31">
        <f>SUM(I35:I36)</f>
        <v>0</v>
      </c>
    </row>
    <row r="54" spans="1:7" ht="15.75" thickBot="1" x14ac:dyDescent="0.3">
      <c r="A54" s="31"/>
      <c r="B54" s="31" t="s">
        <v>207</v>
      </c>
      <c r="C54" s="31">
        <f>SUM(D36:D43)</f>
        <v>7.6999999999999993</v>
      </c>
      <c r="D54" s="31">
        <f>SUM(I37:I43)</f>
        <v>0.55640435733024629</v>
      </c>
    </row>
    <row r="55" spans="1:7" ht="15.75" thickBot="1" x14ac:dyDescent="0.3">
      <c r="A55" s="31" t="s">
        <v>26</v>
      </c>
      <c r="B55" s="31"/>
      <c r="C55" s="31">
        <f>SUM(C52:C54)</f>
        <v>100.10000000000001</v>
      </c>
      <c r="D55" s="31">
        <f>SUM(D52:D54)</f>
        <v>7.0737719745321597</v>
      </c>
    </row>
    <row r="57" spans="1:7" x14ac:dyDescent="0.25">
      <c r="A57" s="2" t="s">
        <v>209</v>
      </c>
    </row>
    <row r="58" spans="1:7" x14ac:dyDescent="0.25">
      <c r="A58" s="2" t="s">
        <v>210</v>
      </c>
      <c r="B58" s="27">
        <f>'Data herd'!E83</f>
        <v>179.22110359768232</v>
      </c>
    </row>
    <row r="59" spans="1:7" x14ac:dyDescent="0.25">
      <c r="C59" t="s">
        <v>181</v>
      </c>
      <c r="D59" t="s">
        <v>182</v>
      </c>
      <c r="E59" t="s">
        <v>211</v>
      </c>
      <c r="G59" t="s">
        <v>212</v>
      </c>
    </row>
    <row r="60" spans="1:7" x14ac:dyDescent="0.25">
      <c r="B60" s="30" t="s">
        <v>186</v>
      </c>
      <c r="C60">
        <v>18.7</v>
      </c>
      <c r="D60">
        <v>24.9</v>
      </c>
      <c r="E60">
        <f t="shared" ref="E60:E75" si="5">D60/100</f>
        <v>0.249</v>
      </c>
      <c r="F60">
        <f>$B$58*E60</f>
        <v>44.626054795822895</v>
      </c>
      <c r="G60">
        <f>F60/C60</f>
        <v>2.3864200425573743</v>
      </c>
    </row>
    <row r="61" spans="1:7" x14ac:dyDescent="0.25">
      <c r="B61" s="30" t="s">
        <v>213</v>
      </c>
      <c r="C61">
        <f>(C64+C60)/2</f>
        <v>18.799999999999997</v>
      </c>
      <c r="D61">
        <v>48.5</v>
      </c>
      <c r="E61">
        <f t="shared" si="5"/>
        <v>0.48499999999999999</v>
      </c>
      <c r="F61">
        <f t="shared" ref="F61:F75" si="6">$B$58*E61</f>
        <v>86.922235244875921</v>
      </c>
      <c r="G61">
        <f t="shared" ref="G61:G75" si="7">F61/C61</f>
        <v>4.6235231513231883</v>
      </c>
    </row>
    <row r="62" spans="1:7" x14ac:dyDescent="0.25">
      <c r="B62" s="30" t="s">
        <v>214</v>
      </c>
      <c r="C62">
        <v>18.5</v>
      </c>
      <c r="D62">
        <v>2.8</v>
      </c>
      <c r="E62">
        <f t="shared" si="5"/>
        <v>2.7999999999999997E-2</v>
      </c>
      <c r="F62">
        <f t="shared" si="6"/>
        <v>5.018190900735104</v>
      </c>
      <c r="G62">
        <f t="shared" si="7"/>
        <v>0.2712535622018975</v>
      </c>
    </row>
    <row r="63" spans="1:7" x14ac:dyDescent="0.25">
      <c r="B63" s="30" t="s">
        <v>215</v>
      </c>
      <c r="C63">
        <f>(C64+C62)/2</f>
        <v>18.7</v>
      </c>
      <c r="D63">
        <v>5.4</v>
      </c>
      <c r="E63">
        <f t="shared" si="5"/>
        <v>5.4000000000000006E-2</v>
      </c>
      <c r="F63">
        <f t="shared" si="6"/>
        <v>9.6779395942748465</v>
      </c>
      <c r="G63">
        <f t="shared" si="7"/>
        <v>0.51753687669918969</v>
      </c>
    </row>
    <row r="64" spans="1:7" x14ac:dyDescent="0.25">
      <c r="B64" s="30" t="s">
        <v>190</v>
      </c>
      <c r="C64">
        <v>18.899999999999999</v>
      </c>
      <c r="D64">
        <v>0</v>
      </c>
      <c r="E64">
        <f t="shared" si="5"/>
        <v>0</v>
      </c>
      <c r="F64">
        <f t="shared" si="6"/>
        <v>0</v>
      </c>
      <c r="G64">
        <f t="shared" si="7"/>
        <v>0</v>
      </c>
    </row>
    <row r="65" spans="1:7" x14ac:dyDescent="0.25">
      <c r="B65" s="30" t="s">
        <v>216</v>
      </c>
      <c r="C65">
        <v>18.899999999999999</v>
      </c>
      <c r="D65">
        <v>7.7</v>
      </c>
      <c r="E65">
        <f t="shared" si="5"/>
        <v>7.6999999999999999E-2</v>
      </c>
      <c r="F65">
        <f t="shared" si="6"/>
        <v>13.800024977021538</v>
      </c>
      <c r="G65">
        <f t="shared" si="7"/>
        <v>0.73016005169426135</v>
      </c>
    </row>
    <row r="66" spans="1:7" x14ac:dyDescent="0.25">
      <c r="B66" s="30" t="s">
        <v>192</v>
      </c>
      <c r="C66">
        <v>16.7</v>
      </c>
      <c r="D66">
        <v>3.1</v>
      </c>
      <c r="E66">
        <f t="shared" si="5"/>
        <v>3.1E-2</v>
      </c>
      <c r="F66">
        <f t="shared" si="6"/>
        <v>5.5558542115281515</v>
      </c>
      <c r="G66">
        <f t="shared" si="7"/>
        <v>0.33268588092982943</v>
      </c>
    </row>
    <row r="67" spans="1:7" x14ac:dyDescent="0.25">
      <c r="B67" s="30" t="s">
        <v>193</v>
      </c>
      <c r="C67">
        <v>18.600000000000001</v>
      </c>
      <c r="D67">
        <v>0</v>
      </c>
      <c r="E67">
        <f t="shared" si="5"/>
        <v>0</v>
      </c>
      <c r="F67">
        <f t="shared" si="6"/>
        <v>0</v>
      </c>
      <c r="G67">
        <f t="shared" si="7"/>
        <v>0</v>
      </c>
    </row>
    <row r="68" spans="1:7" x14ac:dyDescent="0.25">
      <c r="B68" s="30" t="s">
        <v>206</v>
      </c>
      <c r="C68">
        <v>18.3</v>
      </c>
      <c r="D68"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25">
      <c r="B69" s="30" t="s">
        <v>195</v>
      </c>
      <c r="C69">
        <v>19.7</v>
      </c>
      <c r="D69"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B70" s="30" t="s">
        <v>196</v>
      </c>
      <c r="C70">
        <v>21.5</v>
      </c>
      <c r="D70">
        <v>0</v>
      </c>
      <c r="E70">
        <f t="shared" si="5"/>
        <v>0</v>
      </c>
      <c r="F70">
        <f t="shared" si="6"/>
        <v>0</v>
      </c>
      <c r="G70">
        <f t="shared" si="7"/>
        <v>0</v>
      </c>
    </row>
    <row r="71" spans="1:7" x14ac:dyDescent="0.25">
      <c r="B71" s="30" t="s">
        <v>197</v>
      </c>
      <c r="C71">
        <v>17.100000000000001</v>
      </c>
      <c r="D71">
        <v>3.1</v>
      </c>
      <c r="E71">
        <f t="shared" si="5"/>
        <v>3.1E-2</v>
      </c>
      <c r="F71">
        <f t="shared" si="6"/>
        <v>5.5558542115281515</v>
      </c>
      <c r="G71">
        <f t="shared" si="7"/>
        <v>0.32490375506012581</v>
      </c>
    </row>
    <row r="72" spans="1:7" x14ac:dyDescent="0.25">
      <c r="B72" s="30" t="s">
        <v>217</v>
      </c>
      <c r="C72">
        <v>18.899999999999999</v>
      </c>
      <c r="D72">
        <v>0</v>
      </c>
      <c r="E72">
        <f t="shared" si="5"/>
        <v>0</v>
      </c>
      <c r="F72">
        <f t="shared" si="6"/>
        <v>0</v>
      </c>
      <c r="G72">
        <f t="shared" si="7"/>
        <v>0</v>
      </c>
    </row>
    <row r="73" spans="1:7" x14ac:dyDescent="0.25">
      <c r="B73" s="30" t="s">
        <v>218</v>
      </c>
      <c r="C73">
        <v>15.5</v>
      </c>
      <c r="D73"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25">
      <c r="B74" s="30" t="s">
        <v>200</v>
      </c>
      <c r="C74">
        <v>18.7</v>
      </c>
      <c r="D74"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x14ac:dyDescent="0.25">
      <c r="B75" s="30" t="s">
        <v>219</v>
      </c>
      <c r="C75">
        <v>19.100000000000001</v>
      </c>
      <c r="D75">
        <v>4.5999999999999996</v>
      </c>
      <c r="E75">
        <f t="shared" si="5"/>
        <v>4.5999999999999999E-2</v>
      </c>
      <c r="F75">
        <f t="shared" si="6"/>
        <v>8.2441707654933865</v>
      </c>
      <c r="G75">
        <f t="shared" si="7"/>
        <v>0.43163197725096258</v>
      </c>
    </row>
    <row r="76" spans="1:7" ht="15.75" thickBot="1" x14ac:dyDescent="0.3">
      <c r="C76" s="32"/>
      <c r="D76" s="32"/>
    </row>
    <row r="77" spans="1:7" ht="15.75" thickBot="1" x14ac:dyDescent="0.3">
      <c r="A77" s="31" t="s">
        <v>220</v>
      </c>
      <c r="B77" s="31"/>
      <c r="C77" s="31" t="s">
        <v>203</v>
      </c>
      <c r="D77" s="31" t="s">
        <v>204</v>
      </c>
    </row>
    <row r="78" spans="1:7" ht="15.75" thickBot="1" x14ac:dyDescent="0.3">
      <c r="A78" s="31"/>
      <c r="B78" s="31" t="s">
        <v>205</v>
      </c>
      <c r="C78" s="31">
        <f>SUM(D60:D66)</f>
        <v>92.4</v>
      </c>
      <c r="D78" s="31">
        <f>SUM(G60:G66)</f>
        <v>8.8615795654057408</v>
      </c>
    </row>
    <row r="79" spans="1:7" ht="15.75" thickBot="1" x14ac:dyDescent="0.3">
      <c r="A79" s="31"/>
      <c r="B79" s="31" t="s">
        <v>206</v>
      </c>
      <c r="C79" s="31">
        <f>SUM(D67:D68)</f>
        <v>0</v>
      </c>
      <c r="D79" s="31">
        <f>SUM(G67:G68)</f>
        <v>0</v>
      </c>
    </row>
    <row r="80" spans="1:7" ht="15.75" thickBot="1" x14ac:dyDescent="0.3">
      <c r="A80" s="31"/>
      <c r="B80" s="31" t="s">
        <v>207</v>
      </c>
      <c r="C80" s="31">
        <f>SUM(D69:D75)</f>
        <v>7.6999999999999993</v>
      </c>
      <c r="D80" s="31">
        <f>SUM(G69:G75)</f>
        <v>0.75653573231108839</v>
      </c>
    </row>
    <row r="81" spans="1:7" ht="15.75" thickBot="1" x14ac:dyDescent="0.3">
      <c r="A81" s="31" t="s">
        <v>26</v>
      </c>
      <c r="B81" s="31"/>
      <c r="C81" s="31">
        <f>SUM(C78:C80)</f>
        <v>100.10000000000001</v>
      </c>
      <c r="D81" s="31">
        <f>SUM(D78:D80)</f>
        <v>9.6181152977168285</v>
      </c>
    </row>
    <row r="83" spans="1:7" x14ac:dyDescent="0.25">
      <c r="A83" s="2" t="s">
        <v>3</v>
      </c>
    </row>
    <row r="84" spans="1:7" x14ac:dyDescent="0.25">
      <c r="A84" s="2" t="s">
        <v>221</v>
      </c>
      <c r="B84" s="33">
        <f>'Data herd'!E84-C104</f>
        <v>52.560095944260055</v>
      </c>
    </row>
    <row r="85" spans="1:7" x14ac:dyDescent="0.25">
      <c r="A85" s="2" t="s">
        <v>222</v>
      </c>
      <c r="B85" s="33">
        <f>'Data herd'!E84</f>
        <v>76.060095944260055</v>
      </c>
    </row>
    <row r="86" spans="1:7" x14ac:dyDescent="0.25">
      <c r="C86" t="s">
        <v>181</v>
      </c>
      <c r="D86" t="s">
        <v>182</v>
      </c>
      <c r="E86" t="s">
        <v>211</v>
      </c>
      <c r="G86" t="s">
        <v>212</v>
      </c>
    </row>
    <row r="87" spans="1:7" x14ac:dyDescent="0.25">
      <c r="B87" s="30" t="s">
        <v>186</v>
      </c>
      <c r="C87">
        <v>18.7</v>
      </c>
      <c r="D87">
        <v>57.2</v>
      </c>
      <c r="E87">
        <f>D87/100</f>
        <v>0.57200000000000006</v>
      </c>
      <c r="F87">
        <f>$B$84*E87</f>
        <v>30.064374880116755</v>
      </c>
      <c r="G87">
        <f>F87/C87</f>
        <v>1.6077205818244256</v>
      </c>
    </row>
    <row r="88" spans="1:7" x14ac:dyDescent="0.25">
      <c r="B88" s="30" t="s">
        <v>213</v>
      </c>
      <c r="C88">
        <f>(C91+C87)/2</f>
        <v>18.799999999999997</v>
      </c>
      <c r="D88">
        <v>27.6</v>
      </c>
      <c r="E88">
        <f t="shared" ref="E88:E102" si="8">D88/100</f>
        <v>0.27600000000000002</v>
      </c>
      <c r="F88">
        <f t="shared" ref="F88:F102" si="9">$B$84*E88</f>
        <v>14.506586480615777</v>
      </c>
      <c r="G88">
        <f t="shared" ref="G88:G102" si="10">F88/C88</f>
        <v>0.77162694045828617</v>
      </c>
    </row>
    <row r="89" spans="1:7" x14ac:dyDescent="0.25">
      <c r="B89" s="30" t="s">
        <v>214</v>
      </c>
      <c r="C89">
        <v>18.5</v>
      </c>
      <c r="D89">
        <v>1.6</v>
      </c>
      <c r="E89">
        <f t="shared" si="8"/>
        <v>1.6E-2</v>
      </c>
      <c r="F89">
        <f t="shared" si="9"/>
        <v>0.84096153510816085</v>
      </c>
      <c r="G89">
        <f t="shared" si="10"/>
        <v>4.5457380276116802E-2</v>
      </c>
    </row>
    <row r="90" spans="1:7" x14ac:dyDescent="0.25">
      <c r="B90" s="30" t="s">
        <v>215</v>
      </c>
      <c r="C90">
        <f>(C91+C89)/2</f>
        <v>18.7</v>
      </c>
      <c r="D90">
        <v>3.1</v>
      </c>
      <c r="E90">
        <f t="shared" si="8"/>
        <v>3.1E-2</v>
      </c>
      <c r="F90">
        <f t="shared" si="9"/>
        <v>1.6293629742720617</v>
      </c>
      <c r="G90">
        <f t="shared" si="10"/>
        <v>8.7131709854120942E-2</v>
      </c>
    </row>
    <row r="91" spans="1:7" x14ac:dyDescent="0.25">
      <c r="B91" s="30" t="s">
        <v>190</v>
      </c>
      <c r="C91">
        <v>18.899999999999999</v>
      </c>
      <c r="D91">
        <v>0</v>
      </c>
      <c r="E91">
        <f t="shared" si="8"/>
        <v>0</v>
      </c>
      <c r="F91">
        <f t="shared" si="9"/>
        <v>0</v>
      </c>
      <c r="G91">
        <f t="shared" si="10"/>
        <v>0</v>
      </c>
    </row>
    <row r="92" spans="1:7" x14ac:dyDescent="0.25">
      <c r="B92" s="30" t="s">
        <v>216</v>
      </c>
      <c r="C92">
        <v>18.899999999999999</v>
      </c>
      <c r="D92">
        <v>4.4000000000000004</v>
      </c>
      <c r="E92">
        <f t="shared" si="8"/>
        <v>4.4000000000000004E-2</v>
      </c>
      <c r="F92">
        <f t="shared" si="9"/>
        <v>2.3126442215474428</v>
      </c>
      <c r="G92">
        <f t="shared" si="10"/>
        <v>0.12236212812420333</v>
      </c>
    </row>
    <row r="93" spans="1:7" x14ac:dyDescent="0.25">
      <c r="B93" s="30" t="s">
        <v>192</v>
      </c>
      <c r="C93">
        <v>16.7</v>
      </c>
      <c r="D93">
        <v>1.8</v>
      </c>
      <c r="E93">
        <f t="shared" si="8"/>
        <v>1.8000000000000002E-2</v>
      </c>
      <c r="F93">
        <f t="shared" si="9"/>
        <v>0.94608172699668114</v>
      </c>
      <c r="G93">
        <f t="shared" si="10"/>
        <v>5.6651600418962944E-2</v>
      </c>
    </row>
    <row r="94" spans="1:7" x14ac:dyDescent="0.25">
      <c r="B94" s="30" t="s">
        <v>193</v>
      </c>
      <c r="C94">
        <v>18.600000000000001</v>
      </c>
      <c r="D94">
        <v>0</v>
      </c>
      <c r="E94">
        <f t="shared" si="8"/>
        <v>0</v>
      </c>
      <c r="F94">
        <f t="shared" si="9"/>
        <v>0</v>
      </c>
      <c r="G94">
        <f t="shared" si="10"/>
        <v>0</v>
      </c>
    </row>
    <row r="95" spans="1:7" x14ac:dyDescent="0.25">
      <c r="B95" s="30" t="s">
        <v>206</v>
      </c>
      <c r="C95">
        <v>18.3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7" x14ac:dyDescent="0.25">
      <c r="B96" s="30" t="s">
        <v>195</v>
      </c>
      <c r="C96">
        <v>19.7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B97" s="30" t="s">
        <v>196</v>
      </c>
      <c r="C97">
        <v>21.5</v>
      </c>
      <c r="D97">
        <v>0</v>
      </c>
      <c r="E97">
        <f t="shared" si="8"/>
        <v>0</v>
      </c>
      <c r="F97">
        <f t="shared" si="9"/>
        <v>0</v>
      </c>
      <c r="G97">
        <f t="shared" si="10"/>
        <v>0</v>
      </c>
    </row>
    <row r="98" spans="1:7" x14ac:dyDescent="0.25">
      <c r="B98" s="30" t="s">
        <v>197</v>
      </c>
      <c r="C98">
        <v>17.100000000000001</v>
      </c>
      <c r="D98">
        <v>1.8</v>
      </c>
      <c r="E98">
        <f t="shared" si="8"/>
        <v>1.8000000000000002E-2</v>
      </c>
      <c r="F98">
        <f t="shared" si="9"/>
        <v>0.94608172699668114</v>
      </c>
      <c r="G98">
        <f t="shared" si="10"/>
        <v>5.5326416783431642E-2</v>
      </c>
    </row>
    <row r="99" spans="1:7" x14ac:dyDescent="0.25">
      <c r="B99" s="30" t="s">
        <v>217</v>
      </c>
      <c r="C99">
        <v>18.899999999999999</v>
      </c>
      <c r="D99">
        <v>0</v>
      </c>
      <c r="E99">
        <f t="shared" si="8"/>
        <v>0</v>
      </c>
      <c r="F99">
        <f t="shared" si="9"/>
        <v>0</v>
      </c>
      <c r="G99">
        <f t="shared" si="10"/>
        <v>0</v>
      </c>
    </row>
    <row r="100" spans="1:7" x14ac:dyDescent="0.25">
      <c r="B100" s="30" t="s">
        <v>218</v>
      </c>
      <c r="C100">
        <v>15.5</v>
      </c>
      <c r="D100"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B101" s="30" t="s">
        <v>200</v>
      </c>
      <c r="C101">
        <v>18.7</v>
      </c>
      <c r="D101">
        <v>0</v>
      </c>
      <c r="E101">
        <f t="shared" si="8"/>
        <v>0</v>
      </c>
      <c r="F101">
        <f t="shared" si="9"/>
        <v>0</v>
      </c>
      <c r="G101">
        <f t="shared" si="10"/>
        <v>0</v>
      </c>
    </row>
    <row r="102" spans="1:7" x14ac:dyDescent="0.25">
      <c r="B102" s="30" t="s">
        <v>219</v>
      </c>
      <c r="C102">
        <v>19.100000000000001</v>
      </c>
      <c r="D102">
        <v>2.6</v>
      </c>
      <c r="E102">
        <f t="shared" si="8"/>
        <v>2.6000000000000002E-2</v>
      </c>
      <c r="F102">
        <f t="shared" si="9"/>
        <v>1.3665624945507615</v>
      </c>
      <c r="G102">
        <f t="shared" si="10"/>
        <v>7.1547774583809495E-2</v>
      </c>
    </row>
    <row r="103" spans="1:7" x14ac:dyDescent="0.25">
      <c r="B103" s="30"/>
    </row>
    <row r="104" spans="1:7" x14ac:dyDescent="0.25">
      <c r="B104" s="30" t="s">
        <v>223</v>
      </c>
      <c r="C104">
        <v>23.5</v>
      </c>
      <c r="D104">
        <f>(C104*100)/B84</f>
        <v>44.710725081099042</v>
      </c>
      <c r="E104">
        <f>D104/100</f>
        <v>0.4471072508109904</v>
      </c>
      <c r="F104">
        <f>B85*E104</f>
        <v>34.007020394058273</v>
      </c>
      <c r="G104">
        <f>F104/C104</f>
        <v>1.4471072508109903</v>
      </c>
    </row>
    <row r="105" spans="1:7" ht="15.75" thickBot="1" x14ac:dyDescent="0.3"/>
    <row r="106" spans="1:7" ht="15.75" thickBot="1" x14ac:dyDescent="0.3">
      <c r="A106" s="31" t="s">
        <v>3</v>
      </c>
      <c r="B106" s="31"/>
      <c r="C106" s="31" t="s">
        <v>203</v>
      </c>
      <c r="D106" s="31" t="s">
        <v>204</v>
      </c>
    </row>
    <row r="107" spans="1:7" ht="15.75" thickBot="1" x14ac:dyDescent="0.3">
      <c r="A107" s="31"/>
      <c r="B107" s="31" t="s">
        <v>205</v>
      </c>
      <c r="C107" s="31"/>
      <c r="D107" s="31">
        <f>SUM(G87:G93)</f>
        <v>2.6909503409561157</v>
      </c>
    </row>
    <row r="108" spans="1:7" ht="15.75" thickBot="1" x14ac:dyDescent="0.3">
      <c r="A108" s="31"/>
      <c r="B108" s="31" t="s">
        <v>206</v>
      </c>
      <c r="C108" s="31"/>
      <c r="D108" s="31">
        <f>SUM(G94:G95)</f>
        <v>0</v>
      </c>
    </row>
    <row r="109" spans="1:7" ht="15.75" thickBot="1" x14ac:dyDescent="0.3">
      <c r="A109" s="31"/>
      <c r="B109" s="31" t="s">
        <v>207</v>
      </c>
      <c r="C109" s="31"/>
      <c r="D109" s="31">
        <f>SUM(G96:G102)</f>
        <v>0.12687419136724115</v>
      </c>
    </row>
    <row r="110" spans="1:7" ht="15.75" thickBot="1" x14ac:dyDescent="0.3">
      <c r="A110" s="31"/>
      <c r="B110" s="31" t="s">
        <v>223</v>
      </c>
      <c r="C110" s="31"/>
      <c r="D110" s="31">
        <f>G104</f>
        <v>1.4471072508109903</v>
      </c>
    </row>
    <row r="111" spans="1:7" ht="15.75" thickBot="1" x14ac:dyDescent="0.3">
      <c r="A111" s="31" t="s">
        <v>26</v>
      </c>
      <c r="B111" s="31"/>
      <c r="C111" s="31"/>
      <c r="D111" s="31">
        <f>SUM(D107:D110)</f>
        <v>4.2649317831343474</v>
      </c>
    </row>
    <row r="117" spans="1:9" x14ac:dyDescent="0.25">
      <c r="A117" s="2" t="s">
        <v>224</v>
      </c>
    </row>
    <row r="118" spans="1:9" x14ac:dyDescent="0.25">
      <c r="A118" s="27" t="s">
        <v>225</v>
      </c>
      <c r="B118" s="27">
        <f>'Data herd'!E85</f>
        <v>105.91744036966946</v>
      </c>
    </row>
    <row r="119" spans="1:9" x14ac:dyDescent="0.25">
      <c r="A119" s="27" t="s">
        <v>226</v>
      </c>
      <c r="B119" s="27">
        <f>'Data herd'!E86</f>
        <v>109.74569183502697</v>
      </c>
    </row>
    <row r="120" spans="1:9" x14ac:dyDescent="0.25">
      <c r="C120" t="s">
        <v>181</v>
      </c>
      <c r="D120" t="s">
        <v>182</v>
      </c>
      <c r="E120" t="s">
        <v>211</v>
      </c>
      <c r="G120" t="s">
        <v>227</v>
      </c>
      <c r="I120" t="s">
        <v>228</v>
      </c>
    </row>
    <row r="121" spans="1:9" x14ac:dyDescent="0.25">
      <c r="B121" s="30" t="s">
        <v>186</v>
      </c>
      <c r="C121">
        <v>18.7</v>
      </c>
      <c r="D121">
        <v>24.9</v>
      </c>
      <c r="E121">
        <f t="shared" ref="E121:E136" si="11">D121/100</f>
        <v>0.249</v>
      </c>
      <c r="F121">
        <f>$B$118*E121</f>
        <v>26.373442652047697</v>
      </c>
      <c r="G121">
        <f>F121/C121</f>
        <v>1.4103445268474704</v>
      </c>
      <c r="H121">
        <f>$B$119*E121</f>
        <v>27.326677266921717</v>
      </c>
      <c r="I121">
        <f>H121/C121</f>
        <v>1.4613196399423378</v>
      </c>
    </row>
    <row r="122" spans="1:9" x14ac:dyDescent="0.25">
      <c r="B122" s="30" t="s">
        <v>213</v>
      </c>
      <c r="C122">
        <f>(C125+C121)/2</f>
        <v>18.799999999999997</v>
      </c>
      <c r="D122">
        <v>48.5</v>
      </c>
      <c r="E122">
        <f t="shared" si="11"/>
        <v>0.48499999999999999</v>
      </c>
      <c r="F122">
        <f t="shared" ref="F122:F136" si="12">$B$118*E122</f>
        <v>51.369958579289687</v>
      </c>
      <c r="G122">
        <f t="shared" ref="G122:G136" si="13">F122/C122</f>
        <v>2.7324446052813669</v>
      </c>
      <c r="H122">
        <f t="shared" ref="H122:H136" si="14">$B$119*E122</f>
        <v>53.226660539988082</v>
      </c>
      <c r="I122">
        <f t="shared" ref="I122:I136" si="15">H122/C122</f>
        <v>2.8312053478717067</v>
      </c>
    </row>
    <row r="123" spans="1:9" x14ac:dyDescent="0.25">
      <c r="B123" s="30" t="s">
        <v>214</v>
      </c>
      <c r="C123">
        <v>18.5</v>
      </c>
      <c r="D123">
        <v>2.8</v>
      </c>
      <c r="E123">
        <f t="shared" si="11"/>
        <v>2.7999999999999997E-2</v>
      </c>
      <c r="F123">
        <f t="shared" si="12"/>
        <v>2.9656883303507446</v>
      </c>
      <c r="G123">
        <f t="shared" si="13"/>
        <v>0.16030747731625647</v>
      </c>
      <c r="H123">
        <f t="shared" si="14"/>
        <v>3.072879371380755</v>
      </c>
      <c r="I123">
        <f t="shared" si="15"/>
        <v>0.16610158764220298</v>
      </c>
    </row>
    <row r="124" spans="1:9" x14ac:dyDescent="0.25">
      <c r="B124" s="30" t="s">
        <v>215</v>
      </c>
      <c r="C124">
        <f>(C125+C123)/2</f>
        <v>18.7</v>
      </c>
      <c r="D124">
        <v>5.4</v>
      </c>
      <c r="E124">
        <f t="shared" si="11"/>
        <v>5.4000000000000006E-2</v>
      </c>
      <c r="F124">
        <f t="shared" si="12"/>
        <v>5.7195417799621513</v>
      </c>
      <c r="G124">
        <f t="shared" si="13"/>
        <v>0.30585784919583697</v>
      </c>
      <c r="H124">
        <f t="shared" si="14"/>
        <v>5.9262673590914572</v>
      </c>
      <c r="I124">
        <f t="shared" si="15"/>
        <v>0.31691269299954317</v>
      </c>
    </row>
    <row r="125" spans="1:9" x14ac:dyDescent="0.25">
      <c r="B125" s="30" t="s">
        <v>190</v>
      </c>
      <c r="C125">
        <v>18.899999999999999</v>
      </c>
      <c r="D125">
        <v>0</v>
      </c>
      <c r="E125">
        <f t="shared" si="11"/>
        <v>0</v>
      </c>
      <c r="F125">
        <f t="shared" si="12"/>
        <v>0</v>
      </c>
      <c r="G125">
        <f t="shared" si="13"/>
        <v>0</v>
      </c>
      <c r="H125">
        <f t="shared" si="14"/>
        <v>0</v>
      </c>
      <c r="I125">
        <f t="shared" si="15"/>
        <v>0</v>
      </c>
    </row>
    <row r="126" spans="1:9" x14ac:dyDescent="0.25">
      <c r="B126" s="30" t="s">
        <v>216</v>
      </c>
      <c r="C126">
        <v>18.899999999999999</v>
      </c>
      <c r="D126">
        <v>7.7</v>
      </c>
      <c r="E126">
        <f t="shared" si="11"/>
        <v>7.6999999999999999E-2</v>
      </c>
      <c r="F126">
        <f t="shared" si="12"/>
        <v>8.1556429084645483</v>
      </c>
      <c r="G126">
        <f t="shared" si="13"/>
        <v>0.4315154978023571</v>
      </c>
      <c r="H126">
        <f t="shared" si="14"/>
        <v>8.4504182712970763</v>
      </c>
      <c r="I126">
        <f t="shared" si="15"/>
        <v>0.44711207784640616</v>
      </c>
    </row>
    <row r="127" spans="1:9" x14ac:dyDescent="0.25">
      <c r="B127" s="30" t="s">
        <v>192</v>
      </c>
      <c r="C127">
        <v>16.7</v>
      </c>
      <c r="D127">
        <v>3.1</v>
      </c>
      <c r="E127">
        <f t="shared" si="11"/>
        <v>3.1E-2</v>
      </c>
      <c r="F127">
        <f t="shared" si="12"/>
        <v>3.2834406514597534</v>
      </c>
      <c r="G127">
        <f t="shared" si="13"/>
        <v>0.1966132126622607</v>
      </c>
      <c r="H127">
        <f t="shared" si="14"/>
        <v>3.4021164468858363</v>
      </c>
      <c r="I127">
        <f t="shared" si="15"/>
        <v>0.20371954771771475</v>
      </c>
    </row>
    <row r="128" spans="1:9" x14ac:dyDescent="0.25">
      <c r="B128" s="30" t="s">
        <v>193</v>
      </c>
      <c r="C128">
        <v>18.600000000000001</v>
      </c>
      <c r="D128"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5">
      <c r="B129" s="30" t="s">
        <v>206</v>
      </c>
      <c r="C129">
        <v>18.3</v>
      </c>
      <c r="D129"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5">
      <c r="B130" s="30" t="s">
        <v>195</v>
      </c>
      <c r="C130">
        <v>19.7</v>
      </c>
      <c r="D130">
        <v>0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5">
      <c r="B131" s="30" t="s">
        <v>196</v>
      </c>
      <c r="C131">
        <v>21.5</v>
      </c>
      <c r="D131">
        <v>0</v>
      </c>
      <c r="E131">
        <f t="shared" si="11"/>
        <v>0</v>
      </c>
      <c r="F131">
        <f t="shared" si="12"/>
        <v>0</v>
      </c>
      <c r="G131">
        <f t="shared" si="13"/>
        <v>0</v>
      </c>
      <c r="H131">
        <f t="shared" si="14"/>
        <v>0</v>
      </c>
      <c r="I131">
        <f t="shared" si="15"/>
        <v>0</v>
      </c>
    </row>
    <row r="132" spans="1:9" x14ac:dyDescent="0.25">
      <c r="B132" s="30" t="s">
        <v>197</v>
      </c>
      <c r="C132">
        <v>17.100000000000001</v>
      </c>
      <c r="D132">
        <v>3.1</v>
      </c>
      <c r="E132">
        <f t="shared" si="11"/>
        <v>3.1E-2</v>
      </c>
      <c r="F132">
        <f t="shared" si="12"/>
        <v>3.2834406514597534</v>
      </c>
      <c r="G132">
        <f t="shared" si="13"/>
        <v>0.19201407318478089</v>
      </c>
      <c r="H132">
        <f t="shared" si="14"/>
        <v>3.4021164468858363</v>
      </c>
      <c r="I132">
        <f t="shared" si="15"/>
        <v>0.19895417818045824</v>
      </c>
    </row>
    <row r="133" spans="1:9" x14ac:dyDescent="0.25">
      <c r="B133" s="30" t="s">
        <v>217</v>
      </c>
      <c r="C133">
        <v>18.899999999999999</v>
      </c>
      <c r="D133">
        <v>0</v>
      </c>
      <c r="E133">
        <f t="shared" si="11"/>
        <v>0</v>
      </c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 x14ac:dyDescent="0.25">
      <c r="B134" s="30" t="s">
        <v>218</v>
      </c>
      <c r="C134">
        <v>15.5</v>
      </c>
      <c r="D134"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25">
      <c r="B135" s="30" t="s">
        <v>200</v>
      </c>
      <c r="C135">
        <v>18.7</v>
      </c>
      <c r="D135">
        <v>0</v>
      </c>
      <c r="E135">
        <f t="shared" si="11"/>
        <v>0</v>
      </c>
      <c r="F135">
        <f t="shared" si="12"/>
        <v>0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1:9" x14ac:dyDescent="0.25">
      <c r="B136" s="30" t="s">
        <v>219</v>
      </c>
      <c r="C136">
        <v>19.100000000000001</v>
      </c>
      <c r="D136">
        <v>4.5999999999999996</v>
      </c>
      <c r="E136">
        <f t="shared" si="11"/>
        <v>4.5999999999999999E-2</v>
      </c>
      <c r="F136">
        <f t="shared" si="12"/>
        <v>4.8722022570047949</v>
      </c>
      <c r="G136">
        <f t="shared" si="13"/>
        <v>0.2550891234033924</v>
      </c>
      <c r="H136">
        <f t="shared" si="14"/>
        <v>5.048301824411241</v>
      </c>
      <c r="I136">
        <f t="shared" si="15"/>
        <v>0.26430899604247332</v>
      </c>
    </row>
    <row r="137" spans="1:9" ht="15.75" thickBot="1" x14ac:dyDescent="0.3"/>
    <row r="138" spans="1:9" ht="15.75" thickBot="1" x14ac:dyDescent="0.3">
      <c r="A138" s="31" t="s">
        <v>229</v>
      </c>
      <c r="B138" s="31"/>
      <c r="C138" s="31" t="s">
        <v>203</v>
      </c>
      <c r="D138" s="31" t="s">
        <v>204</v>
      </c>
    </row>
    <row r="139" spans="1:9" ht="15.75" thickBot="1" x14ac:dyDescent="0.3">
      <c r="A139" s="31"/>
      <c r="B139" s="31" t="s">
        <v>205</v>
      </c>
      <c r="C139" s="31">
        <f>SUM(D121:D127)</f>
        <v>92.4</v>
      </c>
      <c r="D139" s="31">
        <f>SUM(G121:G127)</f>
        <v>5.2370831691055475</v>
      </c>
    </row>
    <row r="140" spans="1:9" ht="15.75" thickBot="1" x14ac:dyDescent="0.3">
      <c r="A140" s="31"/>
      <c r="B140" s="31" t="s">
        <v>206</v>
      </c>
      <c r="C140" s="31">
        <f>SUM(D128:D129)</f>
        <v>0</v>
      </c>
      <c r="D140" s="31">
        <f>SUM(G128:G129)</f>
        <v>0</v>
      </c>
    </row>
    <row r="141" spans="1:9" ht="15.75" thickBot="1" x14ac:dyDescent="0.3">
      <c r="A141" s="31"/>
      <c r="B141" s="31" t="s">
        <v>207</v>
      </c>
      <c r="C141" s="31">
        <f>SUM(D130:D136)</f>
        <v>7.6999999999999993</v>
      </c>
      <c r="D141" s="31">
        <f>SUM(G130:G136)</f>
        <v>0.44710319658817332</v>
      </c>
    </row>
    <row r="142" spans="1:9" ht="15.75" thickBot="1" x14ac:dyDescent="0.3">
      <c r="A142" s="31" t="s">
        <v>26</v>
      </c>
      <c r="B142" s="31"/>
      <c r="C142" s="31">
        <f>SUM(C139:C141)</f>
        <v>100.10000000000001</v>
      </c>
      <c r="D142" s="31">
        <f>SUM(D139:D141)</f>
        <v>5.684186365693721</v>
      </c>
    </row>
    <row r="144" spans="1:9" ht="15.75" thickBot="1" x14ac:dyDescent="0.3"/>
    <row r="145" spans="1:4" ht="15.75" thickBot="1" x14ac:dyDescent="0.3">
      <c r="A145" s="31" t="s">
        <v>230</v>
      </c>
      <c r="B145" s="31"/>
      <c r="C145" s="31" t="s">
        <v>203</v>
      </c>
      <c r="D145" s="31" t="s">
        <v>204</v>
      </c>
    </row>
    <row r="146" spans="1:4" ht="15.75" thickBot="1" x14ac:dyDescent="0.3">
      <c r="A146" s="31"/>
      <c r="B146" s="31" t="s">
        <v>205</v>
      </c>
      <c r="C146" s="31">
        <f>SUM(D121:D127)</f>
        <v>92.4</v>
      </c>
      <c r="D146" s="31">
        <f>SUM(I121:I127)</f>
        <v>5.4263708940199118</v>
      </c>
    </row>
    <row r="147" spans="1:4" ht="15.75" thickBot="1" x14ac:dyDescent="0.3">
      <c r="A147" s="31"/>
      <c r="B147" s="31" t="s">
        <v>206</v>
      </c>
      <c r="C147" s="31">
        <f>SUM(D128:D129)</f>
        <v>0</v>
      </c>
      <c r="D147" s="31">
        <f>SUM(I128:I129)</f>
        <v>0</v>
      </c>
    </row>
    <row r="148" spans="1:4" ht="15.75" thickBot="1" x14ac:dyDescent="0.3">
      <c r="A148" s="31"/>
      <c r="B148" s="31" t="s">
        <v>207</v>
      </c>
      <c r="C148" s="31">
        <f>SUM(D130:D136)</f>
        <v>7.6999999999999993</v>
      </c>
      <c r="D148" s="31">
        <f>SUM(I130:I136)</f>
        <v>0.46326317422293156</v>
      </c>
    </row>
    <row r="149" spans="1:4" ht="15.75" thickBot="1" x14ac:dyDescent="0.3">
      <c r="A149" s="31" t="s">
        <v>26</v>
      </c>
      <c r="B149" s="31"/>
      <c r="C149" s="31">
        <f>SUM(C146:C148)</f>
        <v>100.10000000000001</v>
      </c>
      <c r="D149" s="31">
        <f>SUM(D146:D148)</f>
        <v>5.8896340682428434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zoomScale="30" zoomScaleNormal="30" workbookViewId="0">
      <selection activeCell="J25" sqref="J25:BM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zoomScale="50" zoomScaleNormal="50" workbookViewId="0">
      <selection activeCell="AU72" sqref="AU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40" zoomScaleNormal="40"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sqref="A1:XFD1"/>
    </sheetView>
  </sheetViews>
  <sheetFormatPr defaultRowHeight="15" x14ac:dyDescent="0.25"/>
  <sheetData>
    <row r="1" spans="1:28" s="5" customFormat="1" ht="25.5" x14ac:dyDescent="0.2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6" t="s">
        <v>49</v>
      </c>
      <c r="G1" s="6" t="s">
        <v>8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11</v>
      </c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9"/>
    </row>
  </sheetData>
  <autoFilter ref="A1:A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herd</vt:lpstr>
      <vt:lpstr>Input</vt:lpstr>
      <vt:lpstr>Output</vt:lpstr>
      <vt:lpstr>Import &amp; Export</vt:lpstr>
      <vt:lpstr>Variables calculations</vt:lpstr>
      <vt:lpstr>SEM per week</vt:lpstr>
      <vt:lpstr> SEM per year (Potential)</vt:lpstr>
      <vt:lpstr>SEM Total</vt:lpstr>
      <vt:lpstr>Database Box 1 Adult Cattle</vt:lpstr>
      <vt:lpstr>Database box 2 Calves</vt:lpstr>
      <vt:lpstr>Database box 3 Young Cattle</vt:lpstr>
      <vt:lpstr>Database Country Level</vt:lpstr>
      <vt:lpstr>Database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Muscat, Abigail</dc:creator>
  <cp:lastModifiedBy>Muscat, Abigail</cp:lastModifiedBy>
  <dcterms:created xsi:type="dcterms:W3CDTF">2017-12-14T11:11:21Z</dcterms:created>
  <dcterms:modified xsi:type="dcterms:W3CDTF">2018-02-12T17:16:51Z</dcterms:modified>
</cp:coreProperties>
</file>