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URNET.NL\Homes\musca002\My Documents\MAGIC\WP4 Case study\UK\"/>
    </mc:Choice>
  </mc:AlternateContent>
  <bookViews>
    <workbookView xWindow="0" yWindow="0" windowWidth="21570" windowHeight="6855" activeTab="2"/>
  </bookViews>
  <sheets>
    <sheet name="Metadata" sheetId="19" r:id="rId1"/>
    <sheet name="Data herd" sheetId="1" r:id="rId2"/>
    <sheet name="Input" sheetId="2" r:id="rId3"/>
    <sheet name="Output" sheetId="3" r:id="rId4"/>
    <sheet name="Import &amp; Export" sheetId="4" r:id="rId5"/>
    <sheet name="Coefficients" sheetId="5" r:id="rId6"/>
    <sheet name="SEM per week" sheetId="6" r:id="rId7"/>
    <sheet name="SEM per year (Statistics)" sheetId="7" r:id="rId8"/>
    <sheet name="SEM per year (Potential)" sheetId="20" r:id="rId9"/>
    <sheet name="SEM Total" sheetId="8" r:id="rId10"/>
    <sheet name="Database Box 1 Adult Cattle" sheetId="15" r:id="rId11"/>
    <sheet name="Database box 2 Calves" sheetId="12" r:id="rId12"/>
    <sheet name="Database box 3 Young Cattle" sheetId="13" r:id="rId13"/>
    <sheet name="Database Country Level" sheetId="17" r:id="rId14"/>
    <sheet name="Database" sheetId="18" r:id="rId15"/>
  </sheets>
  <definedNames>
    <definedName name="_xlnm._FilterDatabase" localSheetId="14" hidden="1">Database!$A$1:$N$1</definedName>
    <definedName name="_xlnm._FilterDatabase" localSheetId="10" hidden="1">'Database Box 1 Adult Cattle'!$A$1:$AB$1</definedName>
    <definedName name="_xlnm._FilterDatabase" localSheetId="11" hidden="1">'Database box 2 Calves'!$A$1:$AB$1</definedName>
    <definedName name="_xlnm._FilterDatabase" localSheetId="12" hidden="1">'Database box 3 Young Cattle'!$A$1:$AB$1</definedName>
    <definedName name="_xlnm._FilterDatabase" localSheetId="13" hidden="1">'Database Country Level'!$A$1:$K$1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4" i="2" l="1"/>
  <c r="N153" i="2"/>
  <c r="E18" i="1" l="1"/>
  <c r="E17" i="1"/>
  <c r="L37" i="1" l="1"/>
  <c r="N163" i="2" l="1"/>
  <c r="L47" i="1" l="1"/>
  <c r="L40" i="1"/>
  <c r="L46" i="1"/>
  <c r="L45" i="1"/>
  <c r="N13" i="2"/>
  <c r="N14" i="2"/>
  <c r="N15" i="2"/>
  <c r="N12" i="2"/>
  <c r="O22" i="4"/>
  <c r="O21" i="4"/>
  <c r="E8" i="1"/>
  <c r="O5" i="4"/>
  <c r="L17" i="1"/>
  <c r="N11" i="2"/>
  <c r="N10" i="2"/>
  <c r="N9" i="2"/>
  <c r="N8" i="2"/>
  <c r="N45" i="3"/>
  <c r="N36" i="3"/>
  <c r="N26" i="3"/>
  <c r="N180" i="2"/>
  <c r="N173" i="2"/>
  <c r="N167" i="2"/>
  <c r="N175" i="2" l="1"/>
  <c r="N27" i="3"/>
  <c r="O29" i="3" s="1"/>
  <c r="N182" i="2"/>
  <c r="N37" i="3"/>
  <c r="O39" i="3" s="1"/>
  <c r="O23" i="4"/>
  <c r="O24" i="4" s="1"/>
  <c r="O40" i="3"/>
  <c r="O30" i="3"/>
  <c r="O31" i="3" s="1"/>
  <c r="O32" i="3" s="1"/>
  <c r="N46" i="3"/>
  <c r="N169" i="2"/>
  <c r="N135" i="2"/>
  <c r="N127" i="2"/>
  <c r="N118" i="2"/>
  <c r="E176" i="2"/>
  <c r="N150" i="2"/>
  <c r="N151" i="2" s="1"/>
  <c r="O41" i="3" l="1"/>
  <c r="O42" i="3" s="1"/>
  <c r="N176" i="2"/>
  <c r="N177" i="2" s="1"/>
  <c r="N170" i="2"/>
  <c r="N171" i="2" s="1"/>
  <c r="N183" i="2"/>
  <c r="N184" i="2" s="1"/>
  <c r="O49" i="3"/>
  <c r="O48" i="3"/>
  <c r="N120" i="2"/>
  <c r="N137" i="2"/>
  <c r="N129" i="2"/>
  <c r="O50" i="3" l="1"/>
  <c r="O51" i="3" s="1"/>
  <c r="N146" i="2"/>
  <c r="N145" i="2"/>
  <c r="L27" i="1"/>
  <c r="O15" i="3"/>
  <c r="O20" i="3" s="1"/>
  <c r="O16" i="3"/>
  <c r="O21" i="3" s="1"/>
  <c r="O17" i="3"/>
  <c r="O14" i="3"/>
  <c r="O19" i="3" s="1"/>
  <c r="E22" i="1"/>
  <c r="E87" i="5"/>
  <c r="E88" i="5"/>
  <c r="E89" i="5"/>
  <c r="E90" i="5"/>
  <c r="E91" i="5"/>
  <c r="E92" i="5"/>
  <c r="E93" i="5"/>
  <c r="E94" i="5"/>
  <c r="E95" i="5"/>
  <c r="E96" i="5"/>
  <c r="E97" i="5"/>
  <c r="E98" i="5"/>
  <c r="E99" i="5"/>
  <c r="E100" i="5"/>
  <c r="E101" i="5"/>
  <c r="E86" i="5"/>
  <c r="N155" i="2" l="1"/>
  <c r="N156" i="2" s="1"/>
  <c r="N147" i="2"/>
  <c r="N148" i="2" s="1"/>
  <c r="C121" i="5"/>
  <c r="C123" i="5"/>
  <c r="C89" i="5"/>
  <c r="C87" i="5"/>
  <c r="C62" i="5"/>
  <c r="C60" i="5"/>
  <c r="C30" i="5"/>
  <c r="C28" i="5"/>
  <c r="C147" i="5" l="1"/>
  <c r="C146" i="5"/>
  <c r="C145" i="5"/>
  <c r="C140" i="5"/>
  <c r="C139" i="5"/>
  <c r="C138" i="5"/>
  <c r="C79" i="5"/>
  <c r="C78" i="5"/>
  <c r="C77" i="5"/>
  <c r="C53" i="5"/>
  <c r="C52" i="5"/>
  <c r="C51" i="5"/>
  <c r="C54" i="5" s="1"/>
  <c r="C47" i="5"/>
  <c r="C46" i="5"/>
  <c r="C45" i="5"/>
  <c r="E121" i="5"/>
  <c r="E122" i="5"/>
  <c r="E123" i="5"/>
  <c r="E124" i="5"/>
  <c r="E125" i="5"/>
  <c r="E126" i="5"/>
  <c r="E127" i="5"/>
  <c r="E128" i="5"/>
  <c r="E129" i="5"/>
  <c r="E130" i="5"/>
  <c r="E131" i="5"/>
  <c r="E132" i="5"/>
  <c r="E133" i="5"/>
  <c r="E134" i="5"/>
  <c r="E135" i="5"/>
  <c r="E120" i="5"/>
  <c r="E60" i="5"/>
  <c r="E61" i="5"/>
  <c r="E62" i="5"/>
  <c r="E63" i="5"/>
  <c r="E64" i="5"/>
  <c r="E65" i="5"/>
  <c r="E66" i="5"/>
  <c r="E67" i="5"/>
  <c r="E68" i="5"/>
  <c r="E69" i="5"/>
  <c r="E70" i="5"/>
  <c r="E71" i="5"/>
  <c r="E72" i="5"/>
  <c r="E73" i="5"/>
  <c r="E74" i="5"/>
  <c r="E59" i="5"/>
  <c r="E28" i="5"/>
  <c r="E29" i="5"/>
  <c r="E30" i="5"/>
  <c r="E31" i="5"/>
  <c r="E32" i="5"/>
  <c r="E33" i="5"/>
  <c r="E34" i="5"/>
  <c r="E35" i="5"/>
  <c r="E36" i="5"/>
  <c r="E37" i="5"/>
  <c r="E38" i="5"/>
  <c r="E39" i="5"/>
  <c r="E40" i="5"/>
  <c r="E41" i="5"/>
  <c r="E42" i="5"/>
  <c r="E27" i="5"/>
  <c r="C148" i="5" l="1"/>
  <c r="C141" i="5"/>
  <c r="C80" i="5"/>
  <c r="C48" i="5"/>
  <c r="E77" i="1"/>
  <c r="E78" i="1"/>
  <c r="E76" i="1"/>
  <c r="E74" i="1"/>
  <c r="E73" i="1"/>
  <c r="E72" i="1"/>
  <c r="D18" i="5"/>
  <c r="E66" i="1" s="1"/>
  <c r="E51" i="1"/>
  <c r="E48" i="1"/>
  <c r="E55" i="1" s="1"/>
  <c r="E58" i="1" l="1"/>
  <c r="E52" i="1"/>
  <c r="E59" i="1" s="1"/>
  <c r="L43" i="1"/>
  <c r="L30" i="1"/>
  <c r="L42" i="1"/>
  <c r="L29" i="1"/>
  <c r="E61" i="1" s="1"/>
  <c r="E50" i="1"/>
  <c r="E57" i="1" s="1"/>
  <c r="L36" i="1"/>
  <c r="L24" i="1"/>
  <c r="L23" i="1"/>
  <c r="L25" i="1" s="1"/>
  <c r="E84" i="1" l="1"/>
  <c r="E63" i="1"/>
  <c r="E86" i="1" s="1"/>
  <c r="B118" i="5" s="1"/>
  <c r="E62" i="1"/>
  <c r="L38" i="1"/>
  <c r="L13" i="1"/>
  <c r="L12" i="1"/>
  <c r="E85" i="1" l="1"/>
  <c r="B117" i="5" s="1"/>
  <c r="B83" i="5"/>
  <c r="D103" i="5" s="1"/>
  <c r="E103" i="5" s="1"/>
  <c r="B84" i="5"/>
  <c r="H128" i="5"/>
  <c r="I128" i="5" s="1"/>
  <c r="H135" i="5"/>
  <c r="I135" i="5" s="1"/>
  <c r="H121" i="5"/>
  <c r="I121" i="5" s="1"/>
  <c r="H125" i="5"/>
  <c r="I125" i="5" s="1"/>
  <c r="H129" i="5"/>
  <c r="I129" i="5" s="1"/>
  <c r="H133" i="5"/>
  <c r="I133" i="5" s="1"/>
  <c r="H122" i="5"/>
  <c r="I122" i="5" s="1"/>
  <c r="H126" i="5"/>
  <c r="I126" i="5" s="1"/>
  <c r="H130" i="5"/>
  <c r="I130" i="5" s="1"/>
  <c r="H134" i="5"/>
  <c r="I134" i="5" s="1"/>
  <c r="H123" i="5"/>
  <c r="I123" i="5" s="1"/>
  <c r="H127" i="5"/>
  <c r="I127" i="5" s="1"/>
  <c r="H131" i="5"/>
  <c r="I131" i="5" s="1"/>
  <c r="H124" i="5"/>
  <c r="I124" i="5" s="1"/>
  <c r="H132" i="5"/>
  <c r="I132" i="5" s="1"/>
  <c r="H120" i="5"/>
  <c r="I120" i="5" s="1"/>
  <c r="J121" i="5"/>
  <c r="K121" i="5" s="1"/>
  <c r="J125" i="5"/>
  <c r="K125" i="5" s="1"/>
  <c r="J129" i="5"/>
  <c r="K129" i="5" s="1"/>
  <c r="J133" i="5"/>
  <c r="K133" i="5" s="1"/>
  <c r="J130" i="5"/>
  <c r="K130" i="5" s="1"/>
  <c r="J123" i="5"/>
  <c r="K123" i="5" s="1"/>
  <c r="J127" i="5"/>
  <c r="K127" i="5" s="1"/>
  <c r="J131" i="5"/>
  <c r="K131" i="5" s="1"/>
  <c r="J135" i="5"/>
  <c r="K135" i="5" s="1"/>
  <c r="J124" i="5"/>
  <c r="K124" i="5" s="1"/>
  <c r="J128" i="5"/>
  <c r="K128" i="5" s="1"/>
  <c r="J132" i="5"/>
  <c r="K132" i="5" s="1"/>
  <c r="J120" i="5"/>
  <c r="K120" i="5" s="1"/>
  <c r="J126" i="5"/>
  <c r="K126" i="5" s="1"/>
  <c r="J134" i="5"/>
  <c r="K134" i="5" s="1"/>
  <c r="J122" i="5"/>
  <c r="K122" i="5" s="1"/>
  <c r="L14" i="1"/>
  <c r="L2" i="1" s="1"/>
  <c r="E120" i="2"/>
  <c r="E121" i="2" s="1"/>
  <c r="N114" i="2" s="1"/>
  <c r="N115" i="2" s="1"/>
  <c r="F120" i="5" l="1"/>
  <c r="G120" i="5" s="1"/>
  <c r="F121" i="5"/>
  <c r="G121" i="5" s="1"/>
  <c r="F123" i="5"/>
  <c r="G123" i="5" s="1"/>
  <c r="F124" i="5"/>
  <c r="G124" i="5" s="1"/>
  <c r="D138" i="5" s="1"/>
  <c r="F130" i="5"/>
  <c r="G130" i="5" s="1"/>
  <c r="F126" i="5"/>
  <c r="G126" i="5" s="1"/>
  <c r="F129" i="5"/>
  <c r="G129" i="5" s="1"/>
  <c r="F127" i="5"/>
  <c r="G127" i="5" s="1"/>
  <c r="D139" i="5" s="1"/>
  <c r="N88" i="2" s="1"/>
  <c r="N96" i="2" s="1"/>
  <c r="N104" i="2" s="1"/>
  <c r="N109" i="2" s="1"/>
  <c r="F128" i="5"/>
  <c r="G128" i="5" s="1"/>
  <c r="F122" i="5"/>
  <c r="G122" i="5" s="1"/>
  <c r="F135" i="5"/>
  <c r="G135" i="5" s="1"/>
  <c r="F125" i="5"/>
  <c r="G125" i="5" s="1"/>
  <c r="F133" i="5"/>
  <c r="G133" i="5" s="1"/>
  <c r="F131" i="5"/>
  <c r="G131" i="5" s="1"/>
  <c r="F132" i="5"/>
  <c r="G132" i="5" s="1"/>
  <c r="F134" i="5"/>
  <c r="G134" i="5" s="1"/>
  <c r="D140" i="5" s="1"/>
  <c r="N89" i="2" s="1"/>
  <c r="N97" i="2" s="1"/>
  <c r="N139" i="2"/>
  <c r="N140" i="2" s="1"/>
  <c r="N122" i="2"/>
  <c r="N123" i="2" s="1"/>
  <c r="N131" i="2"/>
  <c r="N132" i="2" s="1"/>
  <c r="D146" i="5"/>
  <c r="N92" i="2" s="1"/>
  <c r="N100" i="2" s="1"/>
  <c r="F91" i="5"/>
  <c r="G91" i="5" s="1"/>
  <c r="F94" i="5"/>
  <c r="G94" i="5" s="1"/>
  <c r="F93" i="5"/>
  <c r="G93" i="5" s="1"/>
  <c r="F92" i="5"/>
  <c r="G92" i="5" s="1"/>
  <c r="F95" i="5"/>
  <c r="G95" i="5" s="1"/>
  <c r="F98" i="5"/>
  <c r="G98" i="5" s="1"/>
  <c r="F96" i="5"/>
  <c r="G96" i="5" s="1"/>
  <c r="F87" i="5"/>
  <c r="G87" i="5" s="1"/>
  <c r="F90" i="5"/>
  <c r="G90" i="5" s="1"/>
  <c r="F89" i="5"/>
  <c r="G89" i="5" s="1"/>
  <c r="F88" i="5"/>
  <c r="G88" i="5" s="1"/>
  <c r="F97" i="5"/>
  <c r="G97" i="5" s="1"/>
  <c r="F99" i="5"/>
  <c r="G99" i="5" s="1"/>
  <c r="F86" i="5"/>
  <c r="G86" i="5" s="1"/>
  <c r="F101" i="5"/>
  <c r="G101" i="5" s="1"/>
  <c r="F100" i="5"/>
  <c r="G100" i="5" s="1"/>
  <c r="F103" i="5"/>
  <c r="G103" i="5" s="1"/>
  <c r="D109" i="5" s="1"/>
  <c r="N70" i="2" s="1"/>
  <c r="D107" i="5"/>
  <c r="N68" i="2" s="1"/>
  <c r="N74" i="2" s="1"/>
  <c r="N80" i="2" s="1"/>
  <c r="D145" i="5"/>
  <c r="N91" i="2" s="1"/>
  <c r="N99" i="2" s="1"/>
  <c r="D147" i="5"/>
  <c r="N93" i="2" s="1"/>
  <c r="N101" i="2" s="1"/>
  <c r="E169" i="2"/>
  <c r="N87" i="2" l="1"/>
  <c r="N95" i="2" s="1"/>
  <c r="N103" i="2" s="1"/>
  <c r="N108" i="2" s="1"/>
  <c r="N105" i="2"/>
  <c r="N110" i="2" s="1"/>
  <c r="D106" i="5"/>
  <c r="N67" i="2" s="1"/>
  <c r="N73" i="2" s="1"/>
  <c r="N79" i="2" s="1"/>
  <c r="D108" i="5"/>
  <c r="N69" i="2" s="1"/>
  <c r="N75" i="2" s="1"/>
  <c r="N81" i="2" s="1"/>
  <c r="D141" i="5"/>
  <c r="D148" i="5"/>
  <c r="E49" i="1"/>
  <c r="E47" i="1"/>
  <c r="E54" i="1" l="1"/>
  <c r="E82" i="1" s="1"/>
  <c r="B25" i="5" s="1"/>
  <c r="H29" i="5" s="1"/>
  <c r="I29" i="5" s="1"/>
  <c r="E81" i="1"/>
  <c r="H37" i="5"/>
  <c r="I37" i="5" s="1"/>
  <c r="H30" i="5"/>
  <c r="I30" i="5" s="1"/>
  <c r="H38" i="5"/>
  <c r="I38" i="5" s="1"/>
  <c r="H39" i="5"/>
  <c r="I39" i="5" s="1"/>
  <c r="H28" i="5"/>
  <c r="I28" i="5" s="1"/>
  <c r="H36" i="5"/>
  <c r="I36" i="5" s="1"/>
  <c r="H41" i="5"/>
  <c r="I41" i="5" s="1"/>
  <c r="H34" i="5"/>
  <c r="I34" i="5" s="1"/>
  <c r="H42" i="5"/>
  <c r="I42" i="5" s="1"/>
  <c r="H27" i="5"/>
  <c r="I27" i="5" s="1"/>
  <c r="H32" i="5"/>
  <c r="I32" i="5" s="1"/>
  <c r="H40" i="5"/>
  <c r="I40" i="5" s="1"/>
  <c r="E56" i="1"/>
  <c r="E83" i="1" s="1"/>
  <c r="B57" i="5" s="1"/>
  <c r="D110" i="5"/>
  <c r="N71" i="2" s="1"/>
  <c r="N77" i="2" s="1"/>
  <c r="N83" i="2" s="1"/>
  <c r="N106" i="2"/>
  <c r="N111" i="2" s="1"/>
  <c r="N76" i="2"/>
  <c r="N82" i="2" s="1"/>
  <c r="E69" i="1"/>
  <c r="E28" i="3"/>
  <c r="B24" i="5" l="1"/>
  <c r="H35" i="5"/>
  <c r="I35" i="5" s="1"/>
  <c r="D52" i="5" s="1"/>
  <c r="N38" i="2" s="1"/>
  <c r="N50" i="2" s="1"/>
  <c r="H33" i="5"/>
  <c r="I33" i="5" s="1"/>
  <c r="H31" i="5"/>
  <c r="I31" i="5" s="1"/>
  <c r="F64" i="5"/>
  <c r="G64" i="5" s="1"/>
  <c r="F68" i="5"/>
  <c r="G68" i="5" s="1"/>
  <c r="D79" i="5" s="1"/>
  <c r="N43" i="2" s="1"/>
  <c r="N55" i="2" s="1"/>
  <c r="F69" i="5"/>
  <c r="G69" i="5" s="1"/>
  <c r="F70" i="5"/>
  <c r="G70" i="5" s="1"/>
  <c r="F63" i="5"/>
  <c r="G63" i="5" s="1"/>
  <c r="F60" i="5"/>
  <c r="G60" i="5" s="1"/>
  <c r="D77" i="5" s="1"/>
  <c r="N41" i="2" s="1"/>
  <c r="N53" i="2" s="1"/>
  <c r="F61" i="5"/>
  <c r="G61" i="5" s="1"/>
  <c r="F62" i="5"/>
  <c r="G62" i="5" s="1"/>
  <c r="F74" i="5"/>
  <c r="G74" i="5" s="1"/>
  <c r="F67" i="5"/>
  <c r="G67" i="5" s="1"/>
  <c r="F59" i="5"/>
  <c r="G59" i="5" s="1"/>
  <c r="F71" i="5"/>
  <c r="G71" i="5" s="1"/>
  <c r="F66" i="5"/>
  <c r="G66" i="5" s="1"/>
  <c r="F73" i="5"/>
  <c r="G73" i="5" s="1"/>
  <c r="F65" i="5"/>
  <c r="G65" i="5" s="1"/>
  <c r="F72" i="5"/>
  <c r="G72" i="5" s="1"/>
  <c r="D51" i="5"/>
  <c r="D53" i="5"/>
  <c r="N39" i="2" s="1"/>
  <c r="N51" i="2" s="1"/>
  <c r="F29" i="5"/>
  <c r="G29" i="5" s="1"/>
  <c r="F33" i="5"/>
  <c r="G33" i="5" s="1"/>
  <c r="F37" i="5"/>
  <c r="G37" i="5" s="1"/>
  <c r="F41" i="5"/>
  <c r="G41" i="5" s="1"/>
  <c r="F30" i="5"/>
  <c r="G30" i="5" s="1"/>
  <c r="F34" i="5"/>
  <c r="G34" i="5" s="1"/>
  <c r="F38" i="5"/>
  <c r="G38" i="5" s="1"/>
  <c r="F42" i="5"/>
  <c r="G42" i="5" s="1"/>
  <c r="F27" i="5"/>
  <c r="G27" i="5" s="1"/>
  <c r="F31" i="5"/>
  <c r="G31" i="5" s="1"/>
  <c r="F35" i="5"/>
  <c r="G35" i="5" s="1"/>
  <c r="F39" i="5"/>
  <c r="G39" i="5" s="1"/>
  <c r="F28" i="5"/>
  <c r="G28" i="5" s="1"/>
  <c r="F32" i="5"/>
  <c r="G32" i="5" s="1"/>
  <c r="F36" i="5"/>
  <c r="G36" i="5" s="1"/>
  <c r="F40" i="5"/>
  <c r="G40" i="5" s="1"/>
  <c r="D78" i="5"/>
  <c r="N42" i="2" s="1"/>
  <c r="N54" i="2" s="1"/>
  <c r="N37" i="2" l="1"/>
  <c r="N49" i="2" s="1"/>
  <c r="D54" i="5"/>
  <c r="D80" i="5"/>
  <c r="D47" i="5"/>
  <c r="N35" i="2" s="1"/>
  <c r="N47" i="2" s="1"/>
  <c r="N59" i="2" s="1"/>
  <c r="N64" i="2" s="1"/>
  <c r="D45" i="5"/>
  <c r="N33" i="2" s="1"/>
  <c r="N45" i="2" s="1"/>
  <c r="N57" i="2" s="1"/>
  <c r="N62" i="2" s="1"/>
  <c r="D46" i="5"/>
  <c r="N34" i="2" s="1"/>
  <c r="N46" i="2" s="1"/>
  <c r="N58" i="2" s="1"/>
  <c r="N63" i="2" s="1"/>
  <c r="N60" i="2" l="1"/>
  <c r="N65" i="2" s="1"/>
  <c r="D48" i="5"/>
</calcChain>
</file>

<file path=xl/sharedStrings.xml><?xml version="1.0" encoding="utf-8"?>
<sst xmlns="http://schemas.openxmlformats.org/spreadsheetml/2006/main" count="1474" uniqueCount="434">
  <si>
    <t>Beef farms</t>
  </si>
  <si>
    <t>Herd Composition</t>
  </si>
  <si>
    <t>Adult Cattle</t>
  </si>
  <si>
    <t>Calves</t>
  </si>
  <si>
    <t>Young Cattle</t>
  </si>
  <si>
    <t>Feed/Energy requirements</t>
  </si>
  <si>
    <t xml:space="preserve">Total number of farms </t>
  </si>
  <si>
    <t>Year</t>
  </si>
  <si>
    <t>Unit</t>
  </si>
  <si>
    <t>Value</t>
  </si>
  <si>
    <t>ID Number</t>
  </si>
  <si>
    <t>Source</t>
  </si>
  <si>
    <t>Farm/Country</t>
  </si>
  <si>
    <t>H.1</t>
  </si>
  <si>
    <t>H.2</t>
  </si>
  <si>
    <t>Notes</t>
  </si>
  <si>
    <t>June Census</t>
  </si>
  <si>
    <t>DEFRA Livestock Numbers</t>
  </si>
  <si>
    <t>H.3</t>
  </si>
  <si>
    <t>H.4</t>
  </si>
  <si>
    <t xml:space="preserve">Female Beef 1-2 yrs </t>
  </si>
  <si>
    <t>Other Female Beef &gt;=2 yrs</t>
  </si>
  <si>
    <t>Females Breeder  &gt;=2yrs</t>
  </si>
  <si>
    <t>H.5</t>
  </si>
  <si>
    <t>Male Beef &gt;= 2yrs</t>
  </si>
  <si>
    <t xml:space="preserve">Male Beef 1-2 yrs </t>
  </si>
  <si>
    <t>Females Beef &lt; 1yr</t>
  </si>
  <si>
    <t>Males beef &lt;1 yr</t>
  </si>
  <si>
    <t>Net Energy Maintenance Calves</t>
  </si>
  <si>
    <t>.</t>
  </si>
  <si>
    <t>IPCC caclulation</t>
  </si>
  <si>
    <t>Energy Requirements</t>
  </si>
  <si>
    <t>Non-Lactating Cows</t>
  </si>
  <si>
    <t>MJ/day/kg</t>
  </si>
  <si>
    <t>IPCC</t>
  </si>
  <si>
    <t>Lactating Cows</t>
  </si>
  <si>
    <t>Bulls</t>
  </si>
  <si>
    <t>Coefficients Net Energy Maintenance</t>
  </si>
  <si>
    <t>MJ/day/head</t>
  </si>
  <si>
    <t>GLEAM</t>
  </si>
  <si>
    <t>kg/head</t>
  </si>
  <si>
    <t>Net Energy Maintenance Adult Cattle Male</t>
  </si>
  <si>
    <t>Energy Use</t>
  </si>
  <si>
    <t>Feed</t>
  </si>
  <si>
    <t>Labour Use</t>
  </si>
  <si>
    <t>Water Use</t>
  </si>
  <si>
    <t>Land Use</t>
  </si>
  <si>
    <t>Fertiliser use</t>
  </si>
  <si>
    <t>Beef cow drinking water</t>
  </si>
  <si>
    <t>l/animal/day</t>
  </si>
  <si>
    <t>l/animal/year</t>
  </si>
  <si>
    <t>Beef bull drinking water</t>
  </si>
  <si>
    <t>Calves drinking water</t>
  </si>
  <si>
    <t>LFA grazing livestock</t>
  </si>
  <si>
    <t>2011/2012</t>
  </si>
  <si>
    <t>Lowland grazing livestock</t>
  </si>
  <si>
    <t>Road fuel</t>
  </si>
  <si>
    <t>Mean l/ha</t>
  </si>
  <si>
    <t>Red Diesel</t>
  </si>
  <si>
    <t>LPG</t>
  </si>
  <si>
    <t>Kerosene</t>
  </si>
  <si>
    <t>mean kg/ ha</t>
  </si>
  <si>
    <t>Electricity</t>
  </si>
  <si>
    <t>Heating Oil</t>
  </si>
  <si>
    <t>Red Diesel Contractors</t>
  </si>
  <si>
    <t>Units/ha</t>
  </si>
  <si>
    <t>Exports</t>
  </si>
  <si>
    <t>Imports</t>
  </si>
  <si>
    <t>Export Cattle</t>
  </si>
  <si>
    <t>head</t>
  </si>
  <si>
    <t>FAOSTAT</t>
  </si>
  <si>
    <t>Live Animals</t>
  </si>
  <si>
    <t>Import Cattle</t>
  </si>
  <si>
    <t>Meat Production</t>
  </si>
  <si>
    <t>Total</t>
  </si>
  <si>
    <t>Fresh/frozen</t>
  </si>
  <si>
    <t>Processed</t>
  </si>
  <si>
    <t>Fresh /frozen</t>
  </si>
  <si>
    <t>Offal</t>
  </si>
  <si>
    <t>fresh/frozen</t>
  </si>
  <si>
    <t>processed</t>
  </si>
  <si>
    <t>AHDB UK Yearbook 2016 Cattle</t>
  </si>
  <si>
    <t>Beef and Veal</t>
  </si>
  <si>
    <t xml:space="preserve"> Tonnes</t>
  </si>
  <si>
    <t>Tonnes</t>
  </si>
  <si>
    <t>Technology to improve water use efficiency - Defra Project WU0123</t>
  </si>
  <si>
    <t>Cattle Slaughtering</t>
  </si>
  <si>
    <t>Head/year</t>
  </si>
  <si>
    <t>Prime Cattle</t>
  </si>
  <si>
    <t>Cows and Bulls</t>
  </si>
  <si>
    <t>AHDB UK Yearbook 2017 Cattle</t>
  </si>
  <si>
    <t>Tonnes/year</t>
  </si>
  <si>
    <t>Beef Meat Exports</t>
  </si>
  <si>
    <t>Beef Meat imports</t>
  </si>
  <si>
    <t>Manure</t>
  </si>
  <si>
    <t>Probably does not include offal</t>
  </si>
  <si>
    <t xml:space="preserve">Permanent grassland </t>
  </si>
  <si>
    <t>ha</t>
  </si>
  <si>
    <t>Total labour force</t>
  </si>
  <si>
    <t>People</t>
  </si>
  <si>
    <t>Agriculture in the United Kingdom</t>
  </si>
  <si>
    <t>June Survey</t>
  </si>
  <si>
    <t>Full time</t>
  </si>
  <si>
    <t>Part-time</t>
  </si>
  <si>
    <t>Part-timers are defined differently in different UK countries, it's 39 in England and Wales, 38 in Scotland and less than 30 in N Ireland</t>
  </si>
  <si>
    <t>Agriculture in UK 2015</t>
  </si>
  <si>
    <t>Beef Cattle</t>
  </si>
  <si>
    <t>Undiluted Slurry</t>
  </si>
  <si>
    <t>Smith and Williams 2016 Production and Management of Cattle manure in the UK</t>
  </si>
  <si>
    <t>FYM or Solids</t>
  </si>
  <si>
    <t>%</t>
  </si>
  <si>
    <t>Adult Females Replacement</t>
  </si>
  <si>
    <t>Mortality of young females</t>
  </si>
  <si>
    <t>Mortality of young males</t>
  </si>
  <si>
    <t>Age at First Calving</t>
  </si>
  <si>
    <t>months</t>
  </si>
  <si>
    <t>Fertility of adult females</t>
  </si>
  <si>
    <t>Mortality of Adult Animals</t>
  </si>
  <si>
    <t>ID</t>
  </si>
  <si>
    <t>Biosphere/Technosphere</t>
  </si>
  <si>
    <t>Input/Output/Export/Import</t>
  </si>
  <si>
    <t>Fund/Flow</t>
  </si>
  <si>
    <t>Parameter/interface</t>
  </si>
  <si>
    <t>Name</t>
  </si>
  <si>
    <t>Value/year</t>
  </si>
  <si>
    <t>Value/week</t>
  </si>
  <si>
    <t>Value on scale</t>
  </si>
  <si>
    <t>Dependency</t>
  </si>
  <si>
    <t>Formula</t>
  </si>
  <si>
    <t>Input/output/import/export</t>
  </si>
  <si>
    <t>Interface/parameter</t>
  </si>
  <si>
    <t>Souce</t>
  </si>
  <si>
    <t>Processor</t>
  </si>
  <si>
    <t>Average paid hours per cow</t>
  </si>
  <si>
    <t>2014/2015</t>
  </si>
  <si>
    <t>Hrs/cow</t>
  </si>
  <si>
    <t xml:space="preserve">Non-SDA Suckler herds- English cattle only </t>
  </si>
  <si>
    <t>Average unpaid hours per cow</t>
  </si>
  <si>
    <t>2014/2016</t>
  </si>
  <si>
    <t>SDA Suckler Herds - English Cattle only</t>
  </si>
  <si>
    <t>AHDB Stocktake report 2015</t>
  </si>
  <si>
    <t xml:space="preserve">Spring Calving Herd -English Cattle only </t>
  </si>
  <si>
    <t xml:space="preserve">Spring  Calving Herd -English Cattle only </t>
  </si>
  <si>
    <t>Autumn Calving Herd -English Cattle only</t>
  </si>
  <si>
    <t>Breeding/ Beef finishing English Cattle</t>
  </si>
  <si>
    <t>Breeding/Beef stores English cattle</t>
  </si>
  <si>
    <t>Beef stores English cattle</t>
  </si>
  <si>
    <t>Inorganic nitrogen use</t>
  </si>
  <si>
    <t xml:space="preserve">kg/ha </t>
  </si>
  <si>
    <t>Beef finishing 16-24 months english cattle</t>
  </si>
  <si>
    <t>Beef finishing 16 months english cattle</t>
  </si>
  <si>
    <t>Beef finishing over 24 months english cattle</t>
  </si>
  <si>
    <t>2014/2017</t>
  </si>
  <si>
    <t>2014/2018</t>
  </si>
  <si>
    <t>2014/2019</t>
  </si>
  <si>
    <t>2014/2020</t>
  </si>
  <si>
    <t>2014/2021</t>
  </si>
  <si>
    <t>Agricultural labour force</t>
  </si>
  <si>
    <t>Animal Numbers</t>
  </si>
  <si>
    <t>Lowland Grazing Livestock</t>
  </si>
  <si>
    <t>Holdings on which cattle, sheep and other grazing livestock account for more than two
thirds of their total SO except holdings classified as dairy. A holding is classified as
lowland if less than 50 per cent of its total area is in the LFA</t>
  </si>
  <si>
    <t xml:space="preserve">Less Favoured Area Grazing Livestock </t>
  </si>
  <si>
    <t xml:space="preserve">Holdings on which cattle, sheep and other grazing livestock account for more than two
thirds of their total SO except holdings classified as dairy. A holding is classified as a Less
Favoured Area (LFA) holding if 50 per cent or more of its total area is in the LFA. Of
holdings classified as LFA, those whose LFA land is wholly or mainly (50 per cent or more)
in the Severely Disadvantaged Area (SDA) are classified as SDA; those whose LFA land
is wholly or mainly (more than 50 per cent) in the Disadvantaged Area (DA) are classified
as DA.
</t>
  </si>
  <si>
    <t>All Animal number are taken from the June census unless otherwise stated</t>
  </si>
  <si>
    <t>2015/2016</t>
  </si>
  <si>
    <t>kg N/ha</t>
  </si>
  <si>
    <t>Artificial fertiliser N</t>
  </si>
  <si>
    <t>Artificial fertiliser P2O5</t>
  </si>
  <si>
    <t>Artificial fertiliser K2O</t>
  </si>
  <si>
    <t>Kg P2O5/ha</t>
  </si>
  <si>
    <t>kg k2o/ha</t>
  </si>
  <si>
    <t>Grazing livestock England</t>
  </si>
  <si>
    <t>DEFRA Farm Business Survey Fertiliser Use: fertiliser use 2015/2016 dataset</t>
  </si>
  <si>
    <t>DEFRA Farm Business Survey: Energy Use 2011/2012 dataset</t>
  </si>
  <si>
    <t xml:space="preserve">from chain graph </t>
  </si>
  <si>
    <t>Avg. Carcase weights</t>
  </si>
  <si>
    <t>steers</t>
  </si>
  <si>
    <t>heifers</t>
  </si>
  <si>
    <t>young bulls</t>
  </si>
  <si>
    <t>prime cattle</t>
  </si>
  <si>
    <t>kg dw</t>
  </si>
  <si>
    <t>Net Energy Maintenance Young Cattle female</t>
  </si>
  <si>
    <t>Net Energy Maintenance Young Cattle Male</t>
  </si>
  <si>
    <t>Percentage of population lactating</t>
  </si>
  <si>
    <t>Steers/Bullocks</t>
  </si>
  <si>
    <t>Castrated males over 1 year old, raised for beef</t>
  </si>
  <si>
    <t>Heifers</t>
  </si>
  <si>
    <t xml:space="preserve"> Female animals that have not calved. Over 1 year old, raised for beef.</t>
  </si>
  <si>
    <t>Young bulls</t>
  </si>
  <si>
    <t>Non-castrated young males, raised for beef, generally slaughtered
around 13 months old.</t>
  </si>
  <si>
    <t>DEFRA</t>
  </si>
  <si>
    <t>All those raised specifically for beef production. Total of Steers +
Heifers + Young Bulls.</t>
  </si>
  <si>
    <t>Breeding bulls</t>
  </si>
  <si>
    <t>Cows</t>
  </si>
  <si>
    <t>Older cull males, previously used for breeding</t>
  </si>
  <si>
    <t>All bovine animals aged 1 year old or younger</t>
  </si>
  <si>
    <t>Older cull females, previously used for breeding</t>
  </si>
  <si>
    <t>Primary Energy Used</t>
  </si>
  <si>
    <t>Beef in England and Wales</t>
  </si>
  <si>
    <t>Determining the environmental burdens and resource use in the production of agricultural and horticultural commodities.Defra project report IS0205</t>
  </si>
  <si>
    <t>GHG Emissions</t>
  </si>
  <si>
    <t>GJ/t carcass</t>
  </si>
  <si>
    <t>GWP 100 t CO2</t>
  </si>
  <si>
    <t>GWP/t carcass</t>
  </si>
  <si>
    <t xml:space="preserve">Land use Grade 2 ha </t>
  </si>
  <si>
    <t>Land use Grade 3a ha</t>
  </si>
  <si>
    <t>Land Use Grade 3b ha</t>
  </si>
  <si>
    <t>Land Use Grade 4 ha</t>
  </si>
  <si>
    <t>ha/ t carcass</t>
  </si>
  <si>
    <t>Determining the environmental burdens and resource use in the production of agricultural and horticultural commodities.Defra project report IS0206</t>
  </si>
  <si>
    <t>Determining the environmental burdens and resource use in the production of agricultural and horticultural commodities.Defra project report IS0207</t>
  </si>
  <si>
    <t>Determining the environmental burdens and resource use in the production of agricultural and horticultural commodities.Defra project report IS0208</t>
  </si>
  <si>
    <t>Pesticide use</t>
  </si>
  <si>
    <t>Pesticide use dose ha</t>
  </si>
  <si>
    <t>dose/ha/per t carcass</t>
  </si>
  <si>
    <t>Adult females</t>
  </si>
  <si>
    <t>Roughages</t>
  </si>
  <si>
    <t>Grains</t>
  </si>
  <si>
    <t>Adult males and replacement animals</t>
  </si>
  <si>
    <t>% DMI</t>
  </si>
  <si>
    <t>Fattening Animals</t>
  </si>
  <si>
    <t>Agro-industrial by-products</t>
  </si>
  <si>
    <t>Agro-Industrial by-products</t>
  </si>
  <si>
    <t>Assumption</t>
  </si>
  <si>
    <t>Calculations</t>
  </si>
  <si>
    <t xml:space="preserve">Unit </t>
  </si>
  <si>
    <t>Total Biomass</t>
  </si>
  <si>
    <t>REM Adult Cattle</t>
  </si>
  <si>
    <t>REM Young Cattle</t>
  </si>
  <si>
    <t>REG Adult Cattle</t>
  </si>
  <si>
    <t>REM Calves</t>
  </si>
  <si>
    <t>REG Young Cattle</t>
  </si>
  <si>
    <t>REG Calves</t>
  </si>
  <si>
    <t>Total Meat Cattle</t>
  </si>
  <si>
    <t>Young Cattle and Calves</t>
  </si>
  <si>
    <t>Animal heads/year</t>
  </si>
  <si>
    <t>Eurostat</t>
  </si>
  <si>
    <t>Animals heads/year</t>
  </si>
  <si>
    <t>tonnes/year</t>
  </si>
  <si>
    <t>Beef Labour</t>
  </si>
  <si>
    <t>Breeders</t>
  </si>
  <si>
    <t>Breeders-Fatteners</t>
  </si>
  <si>
    <t>Fatteners</t>
  </si>
  <si>
    <t>FADN Beef Data</t>
  </si>
  <si>
    <t>Own Calculation</t>
  </si>
  <si>
    <t>Own Calculation Annual working units X 1800 hours which is 8 hrs a day for 225 days</t>
  </si>
  <si>
    <t>Annual Working Units/farm</t>
  </si>
  <si>
    <t>Hours/year/farm</t>
  </si>
  <si>
    <t>'Breeders' (B) are farmers with suckler cows, selling young cattle.</t>
  </si>
  <si>
    <t>'Fatteners' (F) purchase young male animals and then finish fattening them</t>
  </si>
  <si>
    <t xml:space="preserve">Breeders &amp; Fatteners' (BF) fatten the calves born on their farms </t>
  </si>
  <si>
    <t>FADN</t>
  </si>
  <si>
    <t>Avg. UAA</t>
  </si>
  <si>
    <t>ha/farm</t>
  </si>
  <si>
    <t>FADN Beef data</t>
  </si>
  <si>
    <t xml:space="preserve">Breeders-Fatteners </t>
  </si>
  <si>
    <t>Forage crops</t>
  </si>
  <si>
    <t>Kg/year</t>
  </si>
  <si>
    <t>Biomass Male</t>
  </si>
  <si>
    <t>Biomass Female</t>
  </si>
  <si>
    <t xml:space="preserve">Biomass total </t>
  </si>
  <si>
    <t>Weight of Adult female</t>
  </si>
  <si>
    <t>Weight of Adult male</t>
  </si>
  <si>
    <t>Goonawardene 1986</t>
  </si>
  <si>
    <t xml:space="preserve">Mid-Point Calves  (180 days) </t>
  </si>
  <si>
    <t>End Weight Calves (365 days)</t>
  </si>
  <si>
    <t>Start Weight Young Cattle (365 days)</t>
  </si>
  <si>
    <t>Mid Point Young Cattle (548 days)</t>
  </si>
  <si>
    <t>End Weight Young Cattle (730 days)</t>
  </si>
  <si>
    <t>Heads/year</t>
  </si>
  <si>
    <t>heads/year</t>
  </si>
  <si>
    <t>Biomass Total</t>
  </si>
  <si>
    <t>Start Weight Calves (1 days)</t>
  </si>
  <si>
    <t>kg/year</t>
  </si>
  <si>
    <t>Biomass total</t>
  </si>
  <si>
    <t>Coefficients Net Energy for Activity</t>
  </si>
  <si>
    <t>Housing conditions: Pasture</t>
  </si>
  <si>
    <t>Coefficients Net Energy for Growth</t>
  </si>
  <si>
    <t>females</t>
  </si>
  <si>
    <t>bulls</t>
  </si>
  <si>
    <t>Daily Weight Gain Calf</t>
  </si>
  <si>
    <t>kg/day/head</t>
  </si>
  <si>
    <t>Daily weight gain Young Cattle</t>
  </si>
  <si>
    <t>H.6</t>
  </si>
  <si>
    <t>H.7</t>
  </si>
  <si>
    <t>H.8</t>
  </si>
  <si>
    <t>H.9</t>
  </si>
  <si>
    <t>H.10</t>
  </si>
  <si>
    <t>H.11</t>
  </si>
  <si>
    <t>H.12</t>
  </si>
  <si>
    <t>H.13</t>
  </si>
  <si>
    <t xml:space="preserve">Mortality of young males </t>
  </si>
  <si>
    <t>Mortality of Calves</t>
  </si>
  <si>
    <t>Mortality of Young Cattle</t>
  </si>
  <si>
    <t>Net Energy for Growth Young Cattle male</t>
  </si>
  <si>
    <t>Net Energy for Growth Young Cattle Female</t>
  </si>
  <si>
    <t xml:space="preserve">DE% Adult Cattle </t>
  </si>
  <si>
    <t>DE% Young Cattle</t>
  </si>
  <si>
    <t>DE% Calves</t>
  </si>
  <si>
    <t>Net Energy for Growth  Calves</t>
  </si>
  <si>
    <t>Net Energy Maintenance Adult Cattle Female Lactating Cows</t>
  </si>
  <si>
    <t>Net Energy Maintenance Adult Cattle Female Non-Lactating Cows</t>
  </si>
  <si>
    <t>Females Lactating</t>
  </si>
  <si>
    <t>Females not-lactating</t>
  </si>
  <si>
    <t xml:space="preserve"> Heads/year</t>
  </si>
  <si>
    <t>Net Energy for Lactation Adult Cattle Female</t>
  </si>
  <si>
    <t>Milk Fat content</t>
  </si>
  <si>
    <t>Parameters for REG &amp; REM</t>
  </si>
  <si>
    <t>Parameters for NE lactation</t>
  </si>
  <si>
    <t>kg/milk/day</t>
  </si>
  <si>
    <t>Milk produced</t>
  </si>
  <si>
    <t xml:space="preserve">Coefficients Pregnancy </t>
  </si>
  <si>
    <t>Cattle and Buffalo</t>
  </si>
  <si>
    <t>constant</t>
  </si>
  <si>
    <t>Gross Energy Requirements Calves</t>
  </si>
  <si>
    <t>Gross Energy Requirements Adult Cattle  Female Lactating</t>
  </si>
  <si>
    <t>Gross Energy Requiremements Adult Cattle Female Non-lactating</t>
  </si>
  <si>
    <t xml:space="preserve">Gross Energy Requirements Adult Cattle Male </t>
  </si>
  <si>
    <t>Gross Energy Requirements Young Cattle female</t>
  </si>
  <si>
    <t>Gross Energy Requirements Young Cattle male</t>
  </si>
  <si>
    <t xml:space="preserve"> Animal FUND</t>
  </si>
  <si>
    <t>Animal FUND</t>
  </si>
  <si>
    <t>...</t>
  </si>
  <si>
    <t>Caculations</t>
  </si>
  <si>
    <t>ID number</t>
  </si>
  <si>
    <t>Energy in Feed crops</t>
  </si>
  <si>
    <t xml:space="preserve">Fresh grass </t>
  </si>
  <si>
    <t xml:space="preserve">Hay or silage from grass </t>
  </si>
  <si>
    <t>Fresh mixture of grass and legumes</t>
  </si>
  <si>
    <t xml:space="preserve">Hay or silage from grass and legumes </t>
  </si>
  <si>
    <t xml:space="preserve">Silage from whole maize plant </t>
  </si>
  <si>
    <t>Crop residues from wheat</t>
  </si>
  <si>
    <t>Fodder Beet</t>
  </si>
  <si>
    <t xml:space="preserve">Maize </t>
  </si>
  <si>
    <t xml:space="preserve">By-products from soy </t>
  </si>
  <si>
    <t xml:space="preserve">By-products from rape (canola) </t>
  </si>
  <si>
    <t xml:space="preserve">By-products from sugar beet </t>
  </si>
  <si>
    <t>Oil palm kernel expeller</t>
  </si>
  <si>
    <t>Molasses</t>
  </si>
  <si>
    <t xml:space="preserve">Maize gluten feed </t>
  </si>
  <si>
    <t xml:space="preserve">Dry by-product from grain industries </t>
  </si>
  <si>
    <t>Agro-Industrial By-products</t>
  </si>
  <si>
    <t>Ratio DMI</t>
  </si>
  <si>
    <t>DMI % (Gleam)</t>
  </si>
  <si>
    <t xml:space="preserve"> Kg DMI/head (Calculated)</t>
  </si>
  <si>
    <t xml:space="preserve">Young Cattle </t>
  </si>
  <si>
    <t>Adult Females</t>
  </si>
  <si>
    <t>Adult Males</t>
  </si>
  <si>
    <t>Ratio DMI (Calculated)</t>
  </si>
  <si>
    <t>GE Females Lactating</t>
  </si>
  <si>
    <t>GE Females Non-Lactating</t>
  </si>
  <si>
    <t>GE Males</t>
  </si>
  <si>
    <t>GE Calves</t>
  </si>
  <si>
    <t>GE Young Cattle Female</t>
  </si>
  <si>
    <t>GE Young Cattle Male</t>
  </si>
  <si>
    <t>Kg DMI/Head Non-Lactating (Calculated)</t>
  </si>
  <si>
    <t xml:space="preserve"> Kg DMI/head Lactating (Calculated)</t>
  </si>
  <si>
    <t xml:space="preserve"> Kg DMI/head female (Calculated)</t>
  </si>
  <si>
    <t xml:space="preserve"> Kg DMI/head male (Calculated)</t>
  </si>
  <si>
    <t>Young Cattle Female</t>
  </si>
  <si>
    <t xml:space="preserve">Young Cattle Male </t>
  </si>
  <si>
    <t>%DMI</t>
  </si>
  <si>
    <t>Adult Female Lactating</t>
  </si>
  <si>
    <t>Adult Female Non-Lactating</t>
  </si>
  <si>
    <t>kg DMI</t>
  </si>
  <si>
    <t>Adult Male</t>
  </si>
  <si>
    <t>MJ/kg (Source: INRA Feed tables)</t>
  </si>
  <si>
    <t>Grains (Assumed Barley)</t>
  </si>
  <si>
    <t>Molasses (assumed beet)</t>
  </si>
  <si>
    <t>Dry by-product from grain industries  (assumed avg. for wheat middlings)</t>
  </si>
  <si>
    <t>Crop residues from wheat (assumed wheat bran)</t>
  </si>
  <si>
    <t>Oil palm kernel expeller (assumed palm kernel meal)</t>
  </si>
  <si>
    <t>Fresh mixture of grass and legumes (avg of grass and white clover)</t>
  </si>
  <si>
    <t>Hay or silage from grass  (avg of maize silage and fresh grass)</t>
  </si>
  <si>
    <t>Hay or silage from grass and legumes (avg of maie silage and fresh grass/legume mx)</t>
  </si>
  <si>
    <t>Kg DMI/ head male</t>
  </si>
  <si>
    <t>Milk powder whole</t>
  </si>
  <si>
    <t>GE Calves minus milk</t>
  </si>
  <si>
    <t>Adult Cattle total</t>
  </si>
  <si>
    <t>Feed Calculations</t>
  </si>
  <si>
    <t>kg DMI/head/day</t>
  </si>
  <si>
    <t>Industrial by-products</t>
  </si>
  <si>
    <t>Industrial By-products</t>
  </si>
  <si>
    <t>Milk powder</t>
  </si>
  <si>
    <t>Total Calves</t>
  </si>
  <si>
    <t xml:space="preserve">Total </t>
  </si>
  <si>
    <t>Young Cattle Male</t>
  </si>
  <si>
    <t>Young Cattle total</t>
  </si>
  <si>
    <t>total</t>
  </si>
  <si>
    <t>Gg/year</t>
  </si>
  <si>
    <t>Tg/year</t>
  </si>
  <si>
    <t xml:space="preserve">Gg/year </t>
  </si>
  <si>
    <t>Adult female</t>
  </si>
  <si>
    <t>l/year</t>
  </si>
  <si>
    <t>Young Cattle female</t>
  </si>
  <si>
    <t>Young Cattle male</t>
  </si>
  <si>
    <t>TL/Year</t>
  </si>
  <si>
    <t>Labour hours in beef sector</t>
  </si>
  <si>
    <t>hours/year</t>
  </si>
  <si>
    <t>Land Use of Beef Sector</t>
  </si>
  <si>
    <t>ha/year</t>
  </si>
  <si>
    <t>Adult cattle Biomass</t>
  </si>
  <si>
    <t>Calves Biomass</t>
  </si>
  <si>
    <t>Young Cattle Biomass</t>
  </si>
  <si>
    <t>Ratio</t>
  </si>
  <si>
    <t>Ratio of total</t>
  </si>
  <si>
    <t>ratio</t>
  </si>
  <si>
    <t>Adult Cattle Labour</t>
  </si>
  <si>
    <t>Calves Labour</t>
  </si>
  <si>
    <t>Young Cattle Labour</t>
  </si>
  <si>
    <t>Ghours/year</t>
  </si>
  <si>
    <t xml:space="preserve">Adult Cattle Land Use </t>
  </si>
  <si>
    <t>Calves Land Use</t>
  </si>
  <si>
    <t>Young Cattle Land Use</t>
  </si>
  <si>
    <t>km2/year</t>
  </si>
  <si>
    <t>FYM OR Solids</t>
  </si>
  <si>
    <t>Animal Fund</t>
  </si>
  <si>
    <t>Undiluted slurry</t>
  </si>
  <si>
    <t>GJ/year</t>
  </si>
  <si>
    <t>Primary energy use</t>
  </si>
  <si>
    <t xml:space="preserve">Live Animals </t>
  </si>
  <si>
    <t xml:space="preserve">kg/year </t>
  </si>
  <si>
    <t>Adult Cattle female</t>
  </si>
  <si>
    <t>Adult Cattle male</t>
  </si>
  <si>
    <t>TJ/year</t>
  </si>
  <si>
    <t>Replacement Females</t>
  </si>
  <si>
    <t>Net Energy for Activity Adult Cattle Female Lactating</t>
  </si>
  <si>
    <t>Net Energy for Activity Adult Cattle Female Non-Lactating</t>
  </si>
  <si>
    <t>Net Energy for Activity Young Cattle male</t>
  </si>
  <si>
    <t>Net Energy for Activity Adult Cattle Male</t>
  </si>
  <si>
    <t>Net Energy for Activity Calves</t>
  </si>
  <si>
    <t>Net Energy for Activity Young Cattle female</t>
  </si>
  <si>
    <t>Net Energy for pregnancy Adult Cattle female</t>
  </si>
  <si>
    <t>Percentage of population non- lactating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</si>
</sst>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 &quot;#,##0.00&quot; &quot;;&quot;-&quot;#,##0.00&quot; &quot;;&quot; -&quot;00&quot; &quot;;&quot; &quot;@&quot; &quot;"/>
    <numFmt numFmtId="165" formatCode="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0"/>
      <color rgb="FFFF0000"/>
      <name val="Arial"/>
      <family val="2"/>
    </font>
    <font>
      <b/>
      <sz val="11"/>
      <name val="Calibri"/>
      <family val="2"/>
      <scheme val="minor"/>
    </font>
    <font>
      <sz val="11"/>
      <name val="Calibri"/>
      <family val="2"/>
      <scheme val="minor"/>
    </font>
    <font>
      <b/>
      <sz val="10"/>
      <name val="Arial"/>
      <family val="2"/>
    </font>
    <font>
      <b/>
      <sz val="10"/>
      <color theme="4" tint="-0.249977111117893"/>
      <name val="Arial"/>
      <family val="2"/>
    </font>
    <font>
      <b/>
      <sz val="10"/>
      <color rgb="FFCC0000"/>
      <name val="Arial"/>
      <family val="2"/>
    </font>
    <font>
      <sz val="12"/>
      <color rgb="FF000000"/>
      <name val="Arial"/>
      <family val="2"/>
    </font>
    <font>
      <u/>
      <sz val="10"/>
      <color rgb="FF0000FF"/>
      <name val="Arial"/>
      <family val="2"/>
    </font>
    <font>
      <sz val="11"/>
      <color rgb="FF000000"/>
      <name val="Calibri"/>
      <family val="2"/>
    </font>
    <font>
      <sz val="10"/>
      <color rgb="FF000000"/>
      <name val="Arial"/>
      <family val="2"/>
    </font>
    <font>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9"/>
        <bgColor indexed="64"/>
      </patternFill>
    </fill>
    <fill>
      <patternFill patternType="solid">
        <fgColor theme="7"/>
        <bgColor indexed="64"/>
      </patternFill>
    </fill>
  </fills>
  <borders count="7">
    <border>
      <left/>
      <right/>
      <top/>
      <bottom/>
      <diagonal/>
    </border>
    <border>
      <left/>
      <right style="thick">
        <color rgb="FFFF0000"/>
      </right>
      <top/>
      <bottom/>
      <diagonal/>
    </border>
    <border>
      <left style="thick">
        <color rgb="FFFF0000"/>
      </left>
      <right/>
      <top/>
      <bottom/>
      <diagonal/>
    </border>
    <border>
      <left/>
      <right style="medium">
        <color rgb="FFFF0000"/>
      </right>
      <top/>
      <bottom/>
      <diagonal/>
    </border>
    <border>
      <left/>
      <right/>
      <top style="thick">
        <color rgb="FFC00000"/>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9">
    <xf numFmtId="0" fontId="0" fillId="0" borderId="0"/>
    <xf numFmtId="0" fontId="3" fillId="0" borderId="0"/>
    <xf numFmtId="0" fontId="10" fillId="0" borderId="0"/>
    <xf numFmtId="164" fontId="10" fillId="0" borderId="0" applyFont="0" applyFill="0" applyBorder="0" applyAlignment="0" applyProtection="0"/>
    <xf numFmtId="164" fontId="10" fillId="0" borderId="0" applyFont="0" applyFill="0" applyBorder="0" applyAlignment="0" applyProtection="0"/>
    <xf numFmtId="0" fontId="11" fillId="0" borderId="0" applyNumberFormat="0" applyFill="0" applyBorder="0" applyAlignment="0" applyProtection="0"/>
    <xf numFmtId="0" fontId="12" fillId="0" borderId="0" applyNumberFormat="0" applyBorder="0" applyProtection="0"/>
    <xf numFmtId="0" fontId="13" fillId="0" borderId="0" applyNumberFormat="0" applyBorder="0" applyProtection="0"/>
    <xf numFmtId="9" fontId="14" fillId="0" borderId="0" applyFont="0" applyFill="0" applyBorder="0" applyAlignment="0" applyProtection="0"/>
  </cellStyleXfs>
  <cellXfs count="62">
    <xf numFmtId="0" fontId="0" fillId="0" borderId="0" xfId="0"/>
    <xf numFmtId="0" fontId="2" fillId="2" borderId="0" xfId="0" applyFont="1" applyFill="1"/>
    <xf numFmtId="0" fontId="2" fillId="3" borderId="0" xfId="0" applyFont="1" applyFill="1"/>
    <xf numFmtId="3" fontId="0" fillId="0" borderId="0" xfId="0" applyNumberFormat="1"/>
    <xf numFmtId="0" fontId="0" fillId="0" borderId="0" xfId="0" applyFont="1" applyFill="1"/>
    <xf numFmtId="0" fontId="3" fillId="4" borderId="0" xfId="1" applyNumberFormat="1" applyFont="1" applyFill="1" applyBorder="1"/>
    <xf numFmtId="0" fontId="1" fillId="0" borderId="0" xfId="0" applyFont="1"/>
    <xf numFmtId="0" fontId="2" fillId="0" borderId="0" xfId="0" applyFont="1"/>
    <xf numFmtId="3" fontId="1" fillId="0" borderId="0" xfId="0" applyNumberFormat="1" applyFont="1"/>
    <xf numFmtId="0" fontId="5" fillId="2" borderId="0" xfId="0" applyFont="1" applyFill="1"/>
    <xf numFmtId="9" fontId="3" fillId="4" borderId="0" xfId="1" applyNumberFormat="1" applyFont="1" applyFill="1" applyBorder="1"/>
    <xf numFmtId="0" fontId="6" fillId="0" borderId="0" xfId="0" applyFont="1"/>
    <xf numFmtId="0" fontId="7" fillId="0" borderId="0" xfId="0" applyFont="1"/>
    <xf numFmtId="0" fontId="7" fillId="0" borderId="0" xfId="0" applyFont="1" applyFill="1" applyBorder="1" applyAlignment="1">
      <alignment horizontal="left"/>
    </xf>
    <xf numFmtId="0" fontId="7" fillId="0" borderId="0" xfId="0" applyFont="1" applyFill="1" applyBorder="1" applyAlignment="1">
      <alignment wrapText="1"/>
    </xf>
    <xf numFmtId="0" fontId="8" fillId="0" borderId="0" xfId="0" applyFont="1" applyFill="1" applyBorder="1" applyAlignment="1">
      <alignment horizontal="center" wrapText="1"/>
    </xf>
    <xf numFmtId="0" fontId="9" fillId="0" borderId="0" xfId="0" applyFont="1" applyFill="1" applyBorder="1" applyAlignment="1">
      <alignment horizontal="center" wrapText="1"/>
    </xf>
    <xf numFmtId="0" fontId="7" fillId="0" borderId="0" xfId="0" applyFont="1" applyFill="1" applyBorder="1"/>
    <xf numFmtId="0" fontId="0" fillId="0" borderId="0" xfId="0" applyAlignment="1">
      <alignment wrapText="1"/>
    </xf>
    <xf numFmtId="1" fontId="13" fillId="0" borderId="0" xfId="2" applyNumberFormat="1" applyFont="1"/>
    <xf numFmtId="1" fontId="13" fillId="0" borderId="0" xfId="0" applyNumberFormat="1" applyFont="1"/>
    <xf numFmtId="1" fontId="13" fillId="0" borderId="0" xfId="2" applyNumberFormat="1" applyFont="1"/>
    <xf numFmtId="0" fontId="6" fillId="0" borderId="0" xfId="0" applyFont="1" applyFill="1"/>
    <xf numFmtId="1" fontId="13" fillId="0" borderId="0" xfId="2" applyNumberFormat="1" applyFont="1" applyFill="1"/>
    <xf numFmtId="0" fontId="0" fillId="0" borderId="0" xfId="0" quotePrefix="1"/>
    <xf numFmtId="0" fontId="0" fillId="0" borderId="1" xfId="0" applyBorder="1"/>
    <xf numFmtId="0" fontId="1" fillId="0" borderId="1" xfId="0" applyFont="1" applyBorder="1"/>
    <xf numFmtId="0" fontId="6" fillId="0" borderId="1" xfId="0" applyFont="1" applyBorder="1"/>
    <xf numFmtId="0" fontId="0" fillId="0" borderId="2" xfId="0" applyBorder="1"/>
    <xf numFmtId="0" fontId="0" fillId="0" borderId="2" xfId="0" applyBorder="1" applyAlignment="1">
      <alignment horizontal="left"/>
    </xf>
    <xf numFmtId="9" fontId="4" fillId="4" borderId="0" xfId="1" applyNumberFormat="1" applyFont="1" applyFill="1" applyBorder="1"/>
    <xf numFmtId="2" fontId="0" fillId="0" borderId="0" xfId="0" applyNumberFormat="1"/>
    <xf numFmtId="0" fontId="0" fillId="0" borderId="0" xfId="8" applyNumberFormat="1" applyFont="1"/>
    <xf numFmtId="0" fontId="0" fillId="0" borderId="0" xfId="0" applyFill="1" applyBorder="1"/>
    <xf numFmtId="0" fontId="2" fillId="0" borderId="0" xfId="0" applyFont="1" applyFill="1" applyAlignment="1">
      <alignment horizontal="center"/>
    </xf>
    <xf numFmtId="0" fontId="2" fillId="2" borderId="4" xfId="0" applyFont="1" applyFill="1" applyBorder="1"/>
    <xf numFmtId="0" fontId="0" fillId="0" borderId="0" xfId="0" applyBorder="1"/>
    <xf numFmtId="0" fontId="6" fillId="0" borderId="0" xfId="0" applyFont="1" applyBorder="1"/>
    <xf numFmtId="0" fontId="6" fillId="0" borderId="0" xfId="0" applyFont="1" applyFill="1" applyBorder="1"/>
    <xf numFmtId="0" fontId="0" fillId="0" borderId="3" xfId="0" applyBorder="1"/>
    <xf numFmtId="0" fontId="6" fillId="0" borderId="3" xfId="0" applyFont="1" applyBorder="1"/>
    <xf numFmtId="0" fontId="6" fillId="0" borderId="3" xfId="0" applyFont="1" applyFill="1" applyBorder="1"/>
    <xf numFmtId="0" fontId="1" fillId="0" borderId="3" xfId="0" applyFont="1" applyBorder="1"/>
    <xf numFmtId="0" fontId="0" fillId="0" borderId="0" xfId="0" applyFont="1"/>
    <xf numFmtId="0" fontId="5" fillId="3" borderId="0" xfId="0" applyFont="1" applyFill="1"/>
    <xf numFmtId="0" fontId="0" fillId="3" borderId="0" xfId="0" applyFill="1"/>
    <xf numFmtId="0" fontId="0" fillId="3" borderId="0" xfId="0" applyFont="1" applyFill="1"/>
    <xf numFmtId="0" fontId="0" fillId="5" borderId="5" xfId="0" applyFill="1" applyBorder="1"/>
    <xf numFmtId="0" fontId="0" fillId="0" borderId="6" xfId="0" applyBorder="1"/>
    <xf numFmtId="0" fontId="6" fillId="3" borderId="0" xfId="0" applyFont="1" applyFill="1"/>
    <xf numFmtId="0" fontId="2" fillId="0" borderId="0" xfId="0" applyFont="1" applyFill="1"/>
    <xf numFmtId="0" fontId="0" fillId="0" borderId="0" xfId="0" applyFill="1"/>
    <xf numFmtId="0" fontId="0" fillId="0" borderId="3" xfId="0" applyFill="1" applyBorder="1"/>
    <xf numFmtId="0" fontId="2" fillId="2" borderId="0" xfId="0" applyFont="1" applyFill="1" applyBorder="1"/>
    <xf numFmtId="0" fontId="2" fillId="3" borderId="0" xfId="0" applyFont="1" applyFill="1" applyBorder="1"/>
    <xf numFmtId="0" fontId="0" fillId="0" borderId="0" xfId="0" applyAlignment="1">
      <alignment horizontal="fill"/>
    </xf>
    <xf numFmtId="0" fontId="6" fillId="0" borderId="0" xfId="0" applyFont="1" applyAlignment="1">
      <alignment horizontal="fill"/>
    </xf>
    <xf numFmtId="0" fontId="6" fillId="0" borderId="0" xfId="0" applyFont="1" applyFill="1" applyAlignment="1">
      <alignment horizontal="fill"/>
    </xf>
    <xf numFmtId="0" fontId="0" fillId="0" borderId="0" xfId="0" applyFill="1" applyAlignment="1">
      <alignment horizontal="fill"/>
    </xf>
    <xf numFmtId="0" fontId="1" fillId="0" borderId="3" xfId="0" applyFont="1" applyBorder="1" applyAlignment="1">
      <alignment horizontal="fill"/>
    </xf>
    <xf numFmtId="0" fontId="1" fillId="0" borderId="0" xfId="0" applyFont="1" applyFill="1"/>
    <xf numFmtId="165" fontId="0" fillId="0" borderId="0" xfId="0" applyNumberFormat="1"/>
  </cellXfs>
  <cellStyles count="9">
    <cellStyle name="Comma 2" xfId="3"/>
    <cellStyle name="Comma 3" xfId="4"/>
    <cellStyle name="Hyperlink" xfId="5"/>
    <cellStyle name="Normal" xfId="0" builtinId="0"/>
    <cellStyle name="Normal 2" xfId="6"/>
    <cellStyle name="Normal 3" xfId="7"/>
    <cellStyle name="Normal 4" xfId="2"/>
    <cellStyle name="Normal_Cattle (CTS)_1" xfId="1"/>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166687</xdr:colOff>
      <xdr:row>17</xdr:row>
      <xdr:rowOff>142875</xdr:rowOff>
    </xdr:from>
    <xdr:to>
      <xdr:col>59</xdr:col>
      <xdr:colOff>235478</xdr:colOff>
      <xdr:row>78</xdr:row>
      <xdr:rowOff>111125</xdr:rowOff>
    </xdr:to>
    <xdr:grpSp>
      <xdr:nvGrpSpPr>
        <xdr:cNvPr id="97" name="Group 96"/>
        <xdr:cNvGrpSpPr/>
      </xdr:nvGrpSpPr>
      <xdr:grpSpPr>
        <a:xfrm>
          <a:off x="2024062" y="3381375"/>
          <a:ext cx="34739791" cy="11588750"/>
          <a:chOff x="3391958" y="5365750"/>
          <a:chExt cx="34739791" cy="11588750"/>
        </a:xfrm>
      </xdr:grpSpPr>
      <xdr:sp macro="" textlink="">
        <xdr:nvSpPr>
          <xdr:cNvPr id="98" name="U-Turn Arrow 15"/>
          <xdr:cNvSpPr/>
        </xdr:nvSpPr>
        <xdr:spPr>
          <a:xfrm rot="10800000">
            <a:off x="9207500" y="14128750"/>
            <a:ext cx="26060065" cy="2825750"/>
          </a:xfrm>
          <a:prstGeom prst="uturnArrow">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chemeClr val="tx1"/>
              </a:solidFill>
            </a:endParaRPr>
          </a:p>
        </xdr:txBody>
      </xdr:sp>
      <xdr:grpSp>
        <xdr:nvGrpSpPr>
          <xdr:cNvPr id="99" name="Group 98"/>
          <xdr:cNvGrpSpPr/>
        </xdr:nvGrpSpPr>
        <xdr:grpSpPr>
          <a:xfrm>
            <a:off x="3391958" y="5365750"/>
            <a:ext cx="34739791" cy="8165399"/>
            <a:chOff x="3391958" y="5365750"/>
            <a:chExt cx="34739791" cy="8165399"/>
          </a:xfrm>
        </xdr:grpSpPr>
        <xdr:sp macro="" textlink="">
          <xdr:nvSpPr>
            <xdr:cNvPr id="100" name="Right Arrow Callout 99"/>
            <xdr:cNvSpPr/>
          </xdr:nvSpPr>
          <xdr:spPr>
            <a:xfrm>
              <a:off x="35877500" y="10445750"/>
              <a:ext cx="2254249"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solidFill>
                    <a:sysClr val="windowText" lastClr="000000"/>
                  </a:solidFill>
                </a:rPr>
                <a:t>Slaughtered</a:t>
              </a:r>
              <a:r>
                <a:rPr lang="en-GB" sz="1600" baseline="0">
                  <a:solidFill>
                    <a:sysClr val="windowText" lastClr="000000"/>
                  </a:solidFill>
                </a:rPr>
                <a:t>  Young Cattle</a:t>
              </a:r>
              <a:r>
                <a:rPr lang="en-GB" sz="1800" b="0" i="0" u="none" strike="noStrike" kern="1200" baseline="0">
                  <a:solidFill>
                    <a:schemeClr val="lt1"/>
                  </a:solidFill>
                  <a:effectLst/>
                  <a:latin typeface="+mn-lt"/>
                  <a:ea typeface="+mn-ea"/>
                  <a:cs typeface="+mn-cs"/>
                </a:rPr>
                <a:t> </a:t>
              </a:r>
              <a:r>
                <a:rPr lang="en-GB" sz="1800" b="0" i="0" u="none" strike="noStrike" kern="1200" baseline="0">
                  <a:solidFill>
                    <a:sysClr val="windowText" lastClr="000000"/>
                  </a:solidFill>
                  <a:effectLst/>
                  <a:latin typeface="+mn-lt"/>
                  <a:ea typeface="+mn-ea"/>
                  <a:cs typeface="+mn-cs"/>
                </a:rPr>
                <a:t>3.13 Gg</a:t>
              </a:r>
              <a:endParaRPr lang="en-GB" sz="1600">
                <a:solidFill>
                  <a:sysClr val="windowText" lastClr="000000"/>
                </a:solidFill>
              </a:endParaRPr>
            </a:p>
          </xdr:txBody>
        </xdr:sp>
        <xdr:grpSp>
          <xdr:nvGrpSpPr>
            <xdr:cNvPr id="101" name="Group 100"/>
            <xdr:cNvGrpSpPr/>
          </xdr:nvGrpSpPr>
          <xdr:grpSpPr>
            <a:xfrm>
              <a:off x="3391958" y="5365750"/>
              <a:ext cx="34640852" cy="8165399"/>
              <a:chOff x="3487208" y="5508625"/>
              <a:chExt cx="34640852" cy="8165399"/>
            </a:xfrm>
          </xdr:grpSpPr>
          <xdr:grpSp>
            <xdr:nvGrpSpPr>
              <xdr:cNvPr id="102" name="Group 101"/>
              <xdr:cNvGrpSpPr/>
            </xdr:nvGrpSpPr>
            <xdr:grpSpPr>
              <a:xfrm>
                <a:off x="3487208" y="5582730"/>
                <a:ext cx="34640852" cy="8091294"/>
                <a:chOff x="3487208" y="5582730"/>
                <a:chExt cx="34640852" cy="8091294"/>
              </a:xfrm>
            </xdr:grpSpPr>
            <xdr:cxnSp macro="">
              <xdr:nvCxnSpPr>
                <xdr:cNvPr id="109" name="Straight Arrow Connector 90"/>
                <xdr:cNvCxnSpPr/>
              </xdr:nvCxnSpPr>
              <xdr:spPr>
                <a:xfrm>
                  <a:off x="18107126" y="6078540"/>
                  <a:ext cx="318174"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0" name="Rectángulo 762"/>
                <xdr:cNvSpPr/>
              </xdr:nvSpPr>
              <xdr:spPr>
                <a:xfrm>
                  <a:off x="18682152" y="5597525"/>
                  <a:ext cx="914385"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sp macro="" textlink="">
              <xdr:nvSpPr>
                <xdr:cNvPr id="111" name="Rectángulo 762"/>
                <xdr:cNvSpPr/>
              </xdr:nvSpPr>
              <xdr:spPr>
                <a:xfrm>
                  <a:off x="17368762" y="5582730"/>
                  <a:ext cx="1129153"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xdr:txBody>
            </xdr:sp>
            <xdr:cxnSp macro="">
              <xdr:nvCxnSpPr>
                <xdr:cNvPr id="112" name="Straight Arrow Connector 91"/>
                <xdr:cNvCxnSpPr>
                  <a:stCxn id="110" idx="2"/>
                </xdr:cNvCxnSpPr>
              </xdr:nvCxnSpPr>
              <xdr:spPr>
                <a:xfrm flipH="1">
                  <a:off x="18654632" y="6041507"/>
                  <a:ext cx="477525"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Rectángulo 762"/>
                <xdr:cNvSpPr/>
              </xdr:nvSpPr>
              <xdr:spPr>
                <a:xfrm>
                  <a:off x="16773525" y="6231047"/>
                  <a:ext cx="1054074" cy="505811"/>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xdr:txBody>
            </xdr:sp>
            <xdr:cxnSp macro="">
              <xdr:nvCxnSpPr>
                <xdr:cNvPr id="114" name="Rechte verbindingslijn met pijl 70"/>
                <xdr:cNvCxnSpPr>
                  <a:stCxn id="113" idx="3"/>
                </xdr:cNvCxnSpPr>
              </xdr:nvCxnSpPr>
              <xdr:spPr>
                <a:xfrm>
                  <a:off x="17827599" y="6481764"/>
                  <a:ext cx="432601" cy="421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115" name="Group 114"/>
                <xdr:cNvGrpSpPr/>
              </xdr:nvGrpSpPr>
              <xdr:grpSpPr>
                <a:xfrm>
                  <a:off x="3487208" y="5604955"/>
                  <a:ext cx="34640852" cy="8069069"/>
                  <a:chOff x="3487208" y="5604955"/>
                  <a:chExt cx="34640852" cy="8069069"/>
                </a:xfrm>
              </xdr:grpSpPr>
              <xdr:sp macro="" textlink="">
                <xdr:nvSpPr>
                  <xdr:cNvPr id="116" name="Right Arrow Callout 115"/>
                  <xdr:cNvSpPr/>
                </xdr:nvSpPr>
                <xdr:spPr>
                  <a:xfrm>
                    <a:off x="13012208" y="9461500"/>
                    <a:ext cx="2238374"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17" name="Right Arrow Callout 116"/>
                  <xdr:cNvSpPr/>
                </xdr:nvSpPr>
                <xdr:spPr>
                  <a:xfrm>
                    <a:off x="3487208" y="9271000"/>
                    <a:ext cx="2410150" cy="1004974"/>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118" name="Group 117"/>
                  <xdr:cNvGrpSpPr/>
                </xdr:nvGrpSpPr>
                <xdr:grpSpPr>
                  <a:xfrm>
                    <a:off x="15804619" y="6614583"/>
                    <a:ext cx="22323441" cy="7059441"/>
                    <a:chOff x="13942124" y="218016"/>
                    <a:chExt cx="21419217" cy="7059441"/>
                  </a:xfrm>
                </xdr:grpSpPr>
                <xdr:sp macro="" textlink="">
                  <xdr:nvSpPr>
                    <xdr:cNvPr id="158" name="Rectangle 157"/>
                    <xdr:cNvSpPr/>
                  </xdr:nvSpPr>
                  <xdr:spPr>
                    <a:xfrm>
                      <a:off x="28025725" y="2314504"/>
                      <a:ext cx="2335530" cy="1214755"/>
                    </a:xfrm>
                    <a:prstGeom prst="rect">
                      <a:avLst/>
                    </a:prstGeom>
                    <a:solidFill>
                      <a:sysClr val="window" lastClr="FFFFFF"/>
                    </a:solidFill>
                    <a:ln w="381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59" name="Rectangle 158"/>
                    <xdr:cNvSpPr/>
                  </xdr:nvSpPr>
                  <xdr:spPr>
                    <a:xfrm>
                      <a:off x="30635575" y="3790244"/>
                      <a:ext cx="2335530" cy="1214755"/>
                    </a:xfrm>
                    <a:prstGeom prst="rect">
                      <a:avLst/>
                    </a:prstGeom>
                    <a:solidFill>
                      <a:sysClr val="window" lastClr="FFFFFF"/>
                    </a:solidFill>
                    <a:ln w="38100" cap="flat" cmpd="sng" algn="ctr">
                      <a:solidFill>
                        <a:srgbClr val="FFC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60" name="Rectangle 159"/>
                    <xdr:cNvSpPr/>
                  </xdr:nvSpPr>
                  <xdr:spPr>
                    <a:xfrm>
                      <a:off x="28051760" y="3793419"/>
                      <a:ext cx="2335530" cy="1214755"/>
                    </a:xfrm>
                    <a:prstGeom prst="rect">
                      <a:avLst/>
                    </a:prstGeom>
                    <a:solidFill>
                      <a:sysClr val="window" lastClr="FFFFFF"/>
                    </a:solidFill>
                    <a:ln w="38100" cap="flat" cmpd="sng" algn="ctr">
                      <a:solidFill>
                        <a:srgbClr val="00B05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61" name="Rectangle 160"/>
                    <xdr:cNvSpPr/>
                  </xdr:nvSpPr>
                  <xdr:spPr>
                    <a:xfrm>
                      <a:off x="30635575" y="2320854"/>
                      <a:ext cx="2335530" cy="1214755"/>
                    </a:xfrm>
                    <a:prstGeom prst="rect">
                      <a:avLst/>
                    </a:prstGeom>
                    <a:solidFill>
                      <a:sysClr val="window" lastClr="FFFFFF"/>
                    </a:solidFill>
                    <a:ln w="38100" cap="flat" cmpd="sng" algn="ctr">
                      <a:solidFill>
                        <a:srgbClr val="C0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62" name="Rectangle 161"/>
                    <xdr:cNvSpPr>
                      <a:spLocks noChangeArrowheads="1"/>
                    </xdr:cNvSpPr>
                  </xdr:nvSpPr>
                  <xdr:spPr bwMode="auto">
                    <a:xfrm>
                      <a:off x="28794075" y="3001890"/>
                      <a:ext cx="3683000" cy="1001713"/>
                    </a:xfrm>
                    <a:prstGeom prst="rect">
                      <a:avLst/>
                    </a:prstGeom>
                    <a:solidFill>
                      <a:srgbClr val="FFFFFF"/>
                    </a:solidFill>
                    <a:ln w="3175">
                      <a:solidFill>
                        <a:srgbClr val="00B050"/>
                      </a:solidFill>
                      <a:miter lim="800000"/>
                      <a:headEnd/>
                      <a:tailEnd/>
                    </a:ln>
                  </xdr:spPr>
                  <xdr:txBody>
                    <a:bodyPr vert="horz" wrap="square" lIns="91440" tIns="45720" rIns="91440" bIns="45720" numCol="1" anchor="ctr"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chemeClr val="tx1"/>
                          </a:solidFill>
                          <a:effectLst/>
                          <a:latin typeface="Calibri" panose="020F0502020204030204" pitchFamily="34" charset="0"/>
                          <a:cs typeface="Times New Roman" panose="02020603050405020304" pitchFamily="18" charset="0"/>
                        </a:rPr>
                        <a:t> Young Cattle</a:t>
                      </a:r>
                    </a:p>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chemeClr val="tx1"/>
                          </a:solidFill>
                          <a:effectLst/>
                          <a:latin typeface="Calibri" panose="020F0502020204030204" pitchFamily="34" charset="0"/>
                          <a:cs typeface="Times New Roman" panose="02020603050405020304" pitchFamily="18" charset="0"/>
                        </a:rPr>
                        <a:t>1-2yrs</a:t>
                      </a:r>
                      <a:endParaRPr kumimoji="0" lang="en-GB" altLang="en-US" sz="1800" b="0" i="0" u="none" strike="noStrike" cap="none" normalizeH="0" baseline="0">
                        <a:ln>
                          <a:noFill/>
                        </a:ln>
                        <a:solidFill>
                          <a:schemeClr val="tx1"/>
                        </a:solidFill>
                        <a:effectLst/>
                        <a:latin typeface="Arial" panose="020B0604020202020204" pitchFamily="34" charset="0"/>
                      </a:endParaRPr>
                    </a:p>
                  </xdr:txBody>
                </xdr:sp>
                <xdr:sp macro="" textlink="">
                  <xdr:nvSpPr>
                    <xdr:cNvPr id="163" name="TextBox 162"/>
                    <xdr:cNvSpPr txBox="1"/>
                  </xdr:nvSpPr>
                  <xdr:spPr>
                    <a:xfrm>
                      <a:off x="19174734" y="513965"/>
                      <a:ext cx="764388" cy="529552"/>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a:p>
                      <a:r>
                        <a:rPr lang="en-GB" sz="1300" b="1" i="0" u="none" strike="noStrike">
                          <a:solidFill>
                            <a:schemeClr val="dk1"/>
                          </a:solidFill>
                          <a:effectLst/>
                          <a:latin typeface="+mn-lt"/>
                          <a:ea typeface="+mn-ea"/>
                          <a:cs typeface="+mn-cs"/>
                        </a:rPr>
                        <a:t> </a:t>
                      </a:r>
                      <a:r>
                        <a:rPr lang="en-GB" sz="1300"/>
                        <a:t> </a:t>
                      </a:r>
                    </a:p>
                  </xdr:txBody>
                </xdr:sp>
                <xdr:sp macro="" textlink="">
                  <xdr:nvSpPr>
                    <xdr:cNvPr id="164" name="TextBox 163"/>
                    <xdr:cNvSpPr txBox="1"/>
                  </xdr:nvSpPr>
                  <xdr:spPr>
                    <a:xfrm>
                      <a:off x="20008954" y="281518"/>
                      <a:ext cx="920750" cy="889598"/>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 Fund</a:t>
                      </a:r>
                      <a:r>
                        <a:rPr lang="en-GB" sz="1100" b="0" i="0" u="none" strike="noStrike" baseline="0">
                          <a:solidFill>
                            <a:schemeClr val="dk1"/>
                          </a:solidFill>
                          <a:effectLst/>
                          <a:latin typeface="+mn-lt"/>
                          <a:ea typeface="+mn-ea"/>
                          <a:cs typeface="+mn-cs"/>
                        </a:rPr>
                        <a:t> </a:t>
                      </a:r>
                    </a:p>
                    <a:p>
                      <a:r>
                        <a:rPr lang="en-GB" sz="1600">
                          <a:solidFill>
                            <a:schemeClr val="dk1"/>
                          </a:solidFill>
                          <a:latin typeface="+mn-lt"/>
                          <a:ea typeface="+mn-ea"/>
                          <a:cs typeface="+mn-cs"/>
                        </a:rPr>
                        <a:t>521 Gg</a:t>
                      </a:r>
                    </a:p>
                  </xdr:txBody>
                </xdr:sp>
                <xdr:sp macro="" textlink="">
                  <xdr:nvSpPr>
                    <xdr:cNvPr id="165" name="TextBox 164"/>
                    <xdr:cNvSpPr txBox="1"/>
                  </xdr:nvSpPr>
                  <xdr:spPr>
                    <a:xfrm>
                      <a:off x="21013208" y="534458"/>
                      <a:ext cx="716492" cy="619546"/>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endParaRPr lang="en-GB" sz="1600"/>
                    </a:p>
                  </xdr:txBody>
                </xdr:sp>
                <xdr:sp macro="" textlink="">
                  <xdr:nvSpPr>
                    <xdr:cNvPr id="166" name="Shape 9"/>
                    <xdr:cNvSpPr/>
                  </xdr:nvSpPr>
                  <xdr:spPr>
                    <a:xfrm rot="5400000">
                      <a:off x="18871139" y="1565275"/>
                      <a:ext cx="1195919"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67" name="Shape 9"/>
                    <xdr:cNvSpPr/>
                  </xdr:nvSpPr>
                  <xdr:spPr>
                    <a:xfrm rot="5400000">
                      <a:off x="19802473" y="1628774"/>
                      <a:ext cx="1111250"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68" name="Rectangle 167"/>
                    <xdr:cNvSpPr/>
                  </xdr:nvSpPr>
                  <xdr:spPr>
                    <a:xfrm>
                      <a:off x="16357600" y="2337200"/>
                      <a:ext cx="2346113" cy="1214755"/>
                    </a:xfrm>
                    <a:prstGeom prst="rect">
                      <a:avLst/>
                    </a:prstGeom>
                    <a:solidFill>
                      <a:sysClr val="window" lastClr="FFFFFF"/>
                    </a:solidFill>
                    <a:ln w="381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69" name="Rectangle 168"/>
                    <xdr:cNvSpPr/>
                  </xdr:nvSpPr>
                  <xdr:spPr>
                    <a:xfrm>
                      <a:off x="18967450" y="3812940"/>
                      <a:ext cx="2335530" cy="1214755"/>
                    </a:xfrm>
                    <a:prstGeom prst="rect">
                      <a:avLst/>
                    </a:prstGeom>
                    <a:solidFill>
                      <a:sysClr val="window" lastClr="FFFFFF"/>
                    </a:solidFill>
                    <a:ln w="38100" cap="flat" cmpd="sng" algn="ctr">
                      <a:solidFill>
                        <a:srgbClr val="FFC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70" name="Rectangle 169"/>
                    <xdr:cNvSpPr/>
                  </xdr:nvSpPr>
                  <xdr:spPr>
                    <a:xfrm>
                      <a:off x="16383635" y="3816115"/>
                      <a:ext cx="2335530" cy="1214755"/>
                    </a:xfrm>
                    <a:prstGeom prst="rect">
                      <a:avLst/>
                    </a:prstGeom>
                    <a:solidFill>
                      <a:sysClr val="window" lastClr="FFFFFF"/>
                    </a:solidFill>
                    <a:ln w="38100" cap="flat" cmpd="sng" algn="ctr">
                      <a:solidFill>
                        <a:srgbClr val="00B05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71" name="Rectangle 170"/>
                    <xdr:cNvSpPr/>
                  </xdr:nvSpPr>
                  <xdr:spPr>
                    <a:xfrm>
                      <a:off x="18967450" y="2343550"/>
                      <a:ext cx="2335530" cy="1214755"/>
                    </a:xfrm>
                    <a:prstGeom prst="rect">
                      <a:avLst/>
                    </a:prstGeom>
                    <a:solidFill>
                      <a:sysClr val="window" lastClr="FFFFFF"/>
                    </a:solidFill>
                    <a:ln w="38100" cap="flat" cmpd="sng" algn="ctr">
                      <a:solidFill>
                        <a:srgbClr val="C0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72" name="Rectangle 171"/>
                    <xdr:cNvSpPr>
                      <a:spLocks noChangeArrowheads="1"/>
                    </xdr:cNvSpPr>
                  </xdr:nvSpPr>
                  <xdr:spPr bwMode="auto">
                    <a:xfrm>
                      <a:off x="17059275" y="3072211"/>
                      <a:ext cx="3683000" cy="1001713"/>
                    </a:xfrm>
                    <a:prstGeom prst="rect">
                      <a:avLst/>
                    </a:prstGeom>
                    <a:solidFill>
                      <a:srgbClr val="FFFFFF"/>
                    </a:solidFill>
                    <a:ln w="3175">
                      <a:solidFill>
                        <a:srgbClr val="00B050"/>
                      </a:solidFill>
                      <a:miter lim="800000"/>
                      <a:headEnd/>
                      <a:tailEnd/>
                    </a:ln>
                  </xdr:spPr>
                  <xdr:txBody>
                    <a:bodyPr vert="horz" wrap="square" lIns="91440" tIns="45720" rIns="91440" bIns="45720" numCol="1"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ysClr val="windowText" lastClr="000000"/>
                          </a:solidFill>
                          <a:effectLst/>
                          <a:latin typeface="Calibri" panose="020F0502020204030204" pitchFamily="34" charset="0"/>
                          <a:ea typeface="Times New Roman" panose="02020603050405020304" pitchFamily="18" charset="0"/>
                          <a:cs typeface="Times New Roman" panose="02020603050405020304" pitchFamily="18" charset="0"/>
                        </a:rPr>
                        <a:t>Calves &lt; 1yrs</a:t>
                      </a:r>
                    </a:p>
                    <a:p>
                      <a:pPr marL="0" marR="0" lvl="0" indent="0" algn="ctr" defTabSz="914400" rtl="0" eaLnBrk="0" fontAlgn="base" latinLnBrk="0" hangingPunct="0">
                        <a:lnSpc>
                          <a:spcPct val="100000"/>
                        </a:lnSpc>
                        <a:spcBef>
                          <a:spcPct val="0"/>
                        </a:spcBef>
                        <a:spcAft>
                          <a:spcPct val="0"/>
                        </a:spcAft>
                        <a:buClrTx/>
                        <a:buSzTx/>
                        <a:buFontTx/>
                        <a:buNone/>
                        <a:tabLst/>
                      </a:pPr>
                      <a:endParaRPr kumimoji="0" lang="en-GB" altLang="en-US" sz="1800" b="0" i="0" u="none" strike="noStrike" cap="none" normalizeH="0" baseline="0">
                        <a:ln>
                          <a:noFill/>
                        </a:ln>
                        <a:solidFill>
                          <a:sysClr val="windowText" lastClr="000000"/>
                        </a:solidFill>
                        <a:effectLst/>
                        <a:latin typeface="Arial" panose="020B0604020202020204" pitchFamily="34" charset="0"/>
                      </a:endParaRPr>
                    </a:p>
                  </xdr:txBody>
                </xdr:sp>
                <xdr:sp macro="" textlink="">
                  <xdr:nvSpPr>
                    <xdr:cNvPr id="173" name="Shape 9"/>
                    <xdr:cNvSpPr/>
                  </xdr:nvSpPr>
                  <xdr:spPr>
                    <a:xfrm rot="5400000">
                      <a:off x="20776141" y="1628774"/>
                      <a:ext cx="1111250"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74" name="TextBox 12"/>
                    <xdr:cNvSpPr txBox="1"/>
                  </xdr:nvSpPr>
                  <xdr:spPr>
                    <a:xfrm>
                      <a:off x="16131001" y="546796"/>
                      <a:ext cx="799157"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175" name="TextBox 18"/>
                    <xdr:cNvSpPr txBox="1"/>
                  </xdr:nvSpPr>
                  <xdr:spPr>
                    <a:xfrm>
                      <a:off x="17019852" y="455083"/>
                      <a:ext cx="808747" cy="530658"/>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xdr:txBody>
                </xdr:sp>
                <xdr:sp macro="" textlink="">
                  <xdr:nvSpPr>
                    <xdr:cNvPr id="176" name="TextBox 40"/>
                    <xdr:cNvSpPr txBox="1"/>
                  </xdr:nvSpPr>
                  <xdr:spPr>
                    <a:xfrm>
                      <a:off x="17917123" y="540808"/>
                      <a:ext cx="1191124"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177" name="Shape 8"/>
                    <xdr:cNvSpPr/>
                  </xdr:nvSpPr>
                  <xdr:spPr>
                    <a:xfrm rot="5400000">
                      <a:off x="15905161" y="1429279"/>
                      <a:ext cx="1238250" cy="299509"/>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78" name="Shape 8"/>
                    <xdr:cNvSpPr/>
                  </xdr:nvSpPr>
                  <xdr:spPr>
                    <a:xfrm rot="5400000">
                      <a:off x="16814798" y="1470025"/>
                      <a:ext cx="1190625" cy="284691"/>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79" name="Shape 8"/>
                    <xdr:cNvSpPr/>
                  </xdr:nvSpPr>
                  <xdr:spPr>
                    <a:xfrm rot="5400000">
                      <a:off x="17772061" y="1429279"/>
                      <a:ext cx="1314450" cy="299509"/>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80" name="TextBox 12"/>
                    <xdr:cNvSpPr txBox="1"/>
                  </xdr:nvSpPr>
                  <xdr:spPr>
                    <a:xfrm>
                      <a:off x="14911916" y="626533"/>
                      <a:ext cx="799155" cy="5932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a:t>
                      </a:r>
                      <a:r>
                        <a:rPr lang="en-GB" sz="1600" baseline="0"/>
                        <a:t> Use</a:t>
                      </a:r>
                      <a:endParaRPr lang="en-GB" sz="1600"/>
                    </a:p>
                  </xdr:txBody>
                </xdr:sp>
                <xdr:cxnSp macro="">
                  <xdr:nvCxnSpPr>
                    <xdr:cNvPr id="181" name="Elbow Connector 180"/>
                    <xdr:cNvCxnSpPr>
                      <a:stCxn id="180" idx="2"/>
                    </xdr:cNvCxnSpPr>
                  </xdr:nvCxnSpPr>
                  <xdr:spPr>
                    <a:xfrm rot="16200000" flipH="1">
                      <a:off x="15287146" y="1244118"/>
                      <a:ext cx="1054583" cy="1005888"/>
                    </a:xfrm>
                    <a:prstGeom prst="bentConnector3">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2" name="TextBox 12"/>
                    <xdr:cNvSpPr txBox="1"/>
                  </xdr:nvSpPr>
                  <xdr:spPr>
                    <a:xfrm>
                      <a:off x="27836169" y="525629"/>
                      <a:ext cx="809739"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183" name="TextBox 18"/>
                    <xdr:cNvSpPr txBox="1"/>
                  </xdr:nvSpPr>
                  <xdr:spPr>
                    <a:xfrm>
                      <a:off x="28735602" y="433916"/>
                      <a:ext cx="808748" cy="530658"/>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xdr:txBody>
                </xdr:sp>
                <xdr:sp macro="" textlink="">
                  <xdr:nvSpPr>
                    <xdr:cNvPr id="184" name="TextBox 40"/>
                    <xdr:cNvSpPr txBox="1"/>
                  </xdr:nvSpPr>
                  <xdr:spPr>
                    <a:xfrm>
                      <a:off x="29622291" y="519641"/>
                      <a:ext cx="1191123"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185" name="Shape 8"/>
                    <xdr:cNvSpPr/>
                  </xdr:nvSpPr>
                  <xdr:spPr>
                    <a:xfrm rot="5400000">
                      <a:off x="27615620" y="1413404"/>
                      <a:ext cx="1238250" cy="28892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86" name="Shape 8"/>
                    <xdr:cNvSpPr/>
                  </xdr:nvSpPr>
                  <xdr:spPr>
                    <a:xfrm rot="5400000">
                      <a:off x="28525257" y="1443566"/>
                      <a:ext cx="1190625" cy="29527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87" name="Shape 8"/>
                    <xdr:cNvSpPr/>
                  </xdr:nvSpPr>
                  <xdr:spPr>
                    <a:xfrm rot="5400000">
                      <a:off x="29482520" y="1413404"/>
                      <a:ext cx="1314450" cy="28892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88" name="TextBox 12"/>
                    <xdr:cNvSpPr txBox="1"/>
                  </xdr:nvSpPr>
                  <xdr:spPr>
                    <a:xfrm>
                      <a:off x="26617083" y="605366"/>
                      <a:ext cx="809739" cy="5932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 Use</a:t>
                      </a:r>
                    </a:p>
                  </xdr:txBody>
                </xdr:sp>
                <xdr:cxnSp macro="">
                  <xdr:nvCxnSpPr>
                    <xdr:cNvPr id="189" name="Elbow Connector 188"/>
                    <xdr:cNvCxnSpPr>
                      <a:stCxn id="188" idx="2"/>
                    </xdr:cNvCxnSpPr>
                  </xdr:nvCxnSpPr>
                  <xdr:spPr>
                    <a:xfrm rot="16200000" flipH="1">
                      <a:off x="27000250" y="1220307"/>
                      <a:ext cx="1054585" cy="1011180"/>
                    </a:xfrm>
                    <a:prstGeom prst="bentConnector3">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0" name="TextBox 189"/>
                    <xdr:cNvSpPr txBox="1"/>
                  </xdr:nvSpPr>
                  <xdr:spPr>
                    <a:xfrm>
                      <a:off x="30903333" y="558801"/>
                      <a:ext cx="641351" cy="442533"/>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xdr:txBody>
                </xdr:sp>
                <xdr:sp macro="" textlink="">
                  <xdr:nvSpPr>
                    <xdr:cNvPr id="191" name="TextBox 190"/>
                    <xdr:cNvSpPr txBox="1"/>
                  </xdr:nvSpPr>
                  <xdr:spPr>
                    <a:xfrm>
                      <a:off x="31636758" y="218016"/>
                      <a:ext cx="931332" cy="895951"/>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 Fund</a:t>
                      </a:r>
                      <a:r>
                        <a:rPr lang="en-GB" sz="1600" baseline="0"/>
                        <a:t> </a:t>
                      </a:r>
                    </a:p>
                    <a:p>
                      <a:r>
                        <a:rPr lang="en-GB" sz="1600" baseline="0"/>
                        <a:t>629 Gg</a:t>
                      </a:r>
                      <a:endParaRPr lang="en-GB" sz="1600"/>
                    </a:p>
                  </xdr:txBody>
                </xdr:sp>
                <xdr:sp macro="" textlink="">
                  <xdr:nvSpPr>
                    <xdr:cNvPr id="192" name="TextBox 191"/>
                    <xdr:cNvSpPr txBox="1"/>
                  </xdr:nvSpPr>
                  <xdr:spPr>
                    <a:xfrm>
                      <a:off x="32733189" y="466727"/>
                      <a:ext cx="727076" cy="619546"/>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endParaRPr lang="en-GB" sz="1600"/>
                    </a:p>
                  </xdr:txBody>
                </xdr:sp>
                <xdr:sp macro="" textlink="">
                  <xdr:nvSpPr>
                    <xdr:cNvPr id="193" name="Shape 9"/>
                    <xdr:cNvSpPr/>
                  </xdr:nvSpPr>
                  <xdr:spPr>
                    <a:xfrm rot="5400000">
                      <a:off x="30601704" y="1497544"/>
                      <a:ext cx="1195919"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94" name="Shape 9"/>
                    <xdr:cNvSpPr/>
                  </xdr:nvSpPr>
                  <xdr:spPr>
                    <a:xfrm rot="5400000">
                      <a:off x="31527746" y="1566335"/>
                      <a:ext cx="1111250" cy="298449"/>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95" name="Shape 9"/>
                    <xdr:cNvSpPr/>
                  </xdr:nvSpPr>
                  <xdr:spPr>
                    <a:xfrm rot="5400000">
                      <a:off x="32501414" y="1566335"/>
                      <a:ext cx="1111250" cy="298450"/>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96" name="TextBox 195"/>
                    <xdr:cNvSpPr txBox="1"/>
                  </xdr:nvSpPr>
                  <xdr:spPr>
                    <a:xfrm>
                      <a:off x="16255999" y="5792258"/>
                      <a:ext cx="1500717" cy="3905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Green water </a:t>
                      </a:r>
                    </a:p>
                  </xdr:txBody>
                </xdr:sp>
                <xdr:sp macro="" textlink="">
                  <xdr:nvSpPr>
                    <xdr:cNvPr id="197" name="Shape 10"/>
                    <xdr:cNvSpPr/>
                  </xdr:nvSpPr>
                  <xdr:spPr>
                    <a:xfrm rot="-5400000">
                      <a:off x="16349133" y="5035550"/>
                      <a:ext cx="1076325" cy="360892"/>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98" name="Shape 11"/>
                    <xdr:cNvSpPr/>
                  </xdr:nvSpPr>
                  <xdr:spPr>
                    <a:xfrm rot="5400000">
                      <a:off x="18619818" y="4888442"/>
                      <a:ext cx="1076325" cy="29527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99" name="Shape 11"/>
                    <xdr:cNvSpPr/>
                  </xdr:nvSpPr>
                  <xdr:spPr>
                    <a:xfrm rot="5400000">
                      <a:off x="19671801" y="4886325"/>
                      <a:ext cx="1076325" cy="299509"/>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200" name="TextBox 199"/>
                    <xdr:cNvSpPr txBox="1"/>
                  </xdr:nvSpPr>
                  <xdr:spPr>
                    <a:xfrm>
                      <a:off x="18510250" y="5700541"/>
                      <a:ext cx="1177924" cy="83820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GHG</a:t>
                      </a:r>
                      <a:endParaRPr lang="en-GB" sz="1600" baseline="0"/>
                    </a:p>
                    <a:p>
                      <a:r>
                        <a:rPr lang="en-GB" sz="1600" baseline="0"/>
                        <a:t>(N2O, CH4, CO2)</a:t>
                      </a:r>
                      <a:endParaRPr lang="en-GB" sz="1600"/>
                    </a:p>
                  </xdr:txBody>
                </xdr:sp>
                <xdr:sp macro="" textlink="">
                  <xdr:nvSpPr>
                    <xdr:cNvPr id="201" name="TextBox 200"/>
                    <xdr:cNvSpPr txBox="1"/>
                  </xdr:nvSpPr>
                  <xdr:spPr>
                    <a:xfrm>
                      <a:off x="19792950" y="5729116"/>
                      <a:ext cx="1139826"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Antibiotics</a:t>
                      </a:r>
                    </a:p>
                  </xdr:txBody>
                </xdr:sp>
                <xdr:sp macro="" textlink="">
                  <xdr:nvSpPr>
                    <xdr:cNvPr id="202" name="Shape 11"/>
                    <xdr:cNvSpPr/>
                  </xdr:nvSpPr>
                  <xdr:spPr>
                    <a:xfrm rot="5400000">
                      <a:off x="20065471" y="5424845"/>
                      <a:ext cx="2057400" cy="284691"/>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203" name="TextBox 202"/>
                    <xdr:cNvSpPr txBox="1"/>
                  </xdr:nvSpPr>
                  <xdr:spPr>
                    <a:xfrm>
                      <a:off x="20576118" y="6624466"/>
                      <a:ext cx="1150407"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Manure?</a:t>
                      </a:r>
                    </a:p>
                  </xdr:txBody>
                </xdr:sp>
                <xdr:sp macro="" textlink="">
                  <xdr:nvSpPr>
                    <xdr:cNvPr id="204" name="TextBox 203"/>
                    <xdr:cNvSpPr txBox="1"/>
                  </xdr:nvSpPr>
                  <xdr:spPr>
                    <a:xfrm>
                      <a:off x="27929417" y="5845174"/>
                      <a:ext cx="1511300" cy="390525"/>
                    </a:xfrm>
                    <a:prstGeom prst="rect">
                      <a:avLst/>
                    </a:prstGeom>
                    <a:solidFill>
                      <a:sysClr val="window" lastClr="FFFFFF"/>
                    </a:solidFill>
                    <a:ln w="9525" cmpd="sng">
                      <a:solidFill>
                        <a:srgbClr val="70AD47">
                          <a:lumMod val="75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Green water </a:t>
                      </a:r>
                    </a:p>
                  </xdr:txBody>
                </xdr:sp>
                <xdr:sp macro="" textlink="">
                  <xdr:nvSpPr>
                    <xdr:cNvPr id="205" name="Shape 10"/>
                    <xdr:cNvSpPr/>
                  </xdr:nvSpPr>
                  <xdr:spPr>
                    <a:xfrm rot="-5400000">
                      <a:off x="28027842" y="5083174"/>
                      <a:ext cx="1076325" cy="371475"/>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206" name="Shape 11"/>
                    <xdr:cNvSpPr/>
                  </xdr:nvSpPr>
                  <xdr:spPr>
                    <a:xfrm rot="5400000">
                      <a:off x="30298526" y="4946650"/>
                      <a:ext cx="1076325" cy="284692"/>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207" name="Shape 11"/>
                    <xdr:cNvSpPr/>
                  </xdr:nvSpPr>
                  <xdr:spPr>
                    <a:xfrm rot="5400000">
                      <a:off x="31350510" y="4944533"/>
                      <a:ext cx="1076325" cy="28892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208" name="TextBox 207"/>
                    <xdr:cNvSpPr txBox="1"/>
                  </xdr:nvSpPr>
                  <xdr:spPr>
                    <a:xfrm>
                      <a:off x="30183667" y="5753457"/>
                      <a:ext cx="1188508" cy="838200"/>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GHG</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(N2O, CH4, CO2)</a:t>
                      </a:r>
                    </a:p>
                  </xdr:txBody>
                </xdr:sp>
                <xdr:sp macro="" textlink="">
                  <xdr:nvSpPr>
                    <xdr:cNvPr id="209" name="TextBox 208"/>
                    <xdr:cNvSpPr txBox="1"/>
                  </xdr:nvSpPr>
                  <xdr:spPr>
                    <a:xfrm>
                      <a:off x="31466368" y="5782032"/>
                      <a:ext cx="1139825" cy="600075"/>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Antibiotics</a:t>
                      </a:r>
                    </a:p>
                  </xdr:txBody>
                </xdr:sp>
                <xdr:sp macro="" textlink="">
                  <xdr:nvSpPr>
                    <xdr:cNvPr id="210" name="Shape 11"/>
                    <xdr:cNvSpPr/>
                  </xdr:nvSpPr>
                  <xdr:spPr>
                    <a:xfrm rot="5400000">
                      <a:off x="31744180" y="5472469"/>
                      <a:ext cx="2057400" cy="29527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211" name="TextBox 210"/>
                    <xdr:cNvSpPr txBox="1"/>
                  </xdr:nvSpPr>
                  <xdr:spPr>
                    <a:xfrm>
                      <a:off x="32260118" y="6677382"/>
                      <a:ext cx="1139825" cy="600075"/>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Manure?</a:t>
                      </a:r>
                    </a:p>
                  </xdr:txBody>
                </xdr:sp>
                <xdr:sp macro="" textlink="">
                  <xdr:nvSpPr>
                    <xdr:cNvPr id="212" name="Right Arrow Callout 211"/>
                    <xdr:cNvSpPr/>
                  </xdr:nvSpPr>
                  <xdr:spPr>
                    <a:xfrm>
                      <a:off x="13942124" y="3181349"/>
                      <a:ext cx="1783655" cy="879034"/>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13" name="TextBox 212"/>
                    <xdr:cNvSpPr txBox="1"/>
                  </xdr:nvSpPr>
                  <xdr:spPr>
                    <a:xfrm>
                      <a:off x="13994850" y="3244851"/>
                      <a:ext cx="921808" cy="634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Imports calves</a:t>
                      </a:r>
                    </a:p>
                    <a:p>
                      <a:endParaRPr lang="en-GB" sz="1600"/>
                    </a:p>
                  </xdr:txBody>
                </xdr:sp>
                <xdr:sp macro="" textlink="">
                  <xdr:nvSpPr>
                    <xdr:cNvPr id="214" name="Right Arrow Callout 213"/>
                    <xdr:cNvSpPr/>
                  </xdr:nvSpPr>
                  <xdr:spPr>
                    <a:xfrm>
                      <a:off x="21616988" y="3000375"/>
                      <a:ext cx="2677043" cy="1059147"/>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15" name="TextBox 27"/>
                    <xdr:cNvSpPr txBox="1"/>
                  </xdr:nvSpPr>
                  <xdr:spPr>
                    <a:xfrm>
                      <a:off x="21795128" y="2990850"/>
                      <a:ext cx="1462020" cy="16264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Slaughtered calves</a:t>
                      </a:r>
                      <a:endParaRPr lang="en-GB" sz="1800" b="0" i="0" u="none" strike="noStrike" kern="1200">
                        <a:solidFill>
                          <a:schemeClr val="tx1"/>
                        </a:solidFill>
                        <a:effectLst/>
                        <a:latin typeface="+mn-lt"/>
                        <a:ea typeface="+mn-ea"/>
                        <a:cs typeface="+mn-cs"/>
                      </a:endParaRPr>
                    </a:p>
                    <a:p>
                      <a:r>
                        <a:rPr lang="en-GB" sz="1800" b="0" i="0" u="none" strike="noStrike" kern="1200">
                          <a:solidFill>
                            <a:schemeClr val="tx1"/>
                          </a:solidFill>
                          <a:effectLst/>
                          <a:latin typeface="+mn-lt"/>
                          <a:ea typeface="+mn-ea"/>
                          <a:cs typeface="+mn-cs"/>
                        </a:rPr>
                        <a:t>2.27</a:t>
                      </a:r>
                      <a:r>
                        <a:rPr lang="en-GB" sz="1800" b="0" i="0" u="none" strike="noStrike" kern="1200" baseline="0">
                          <a:solidFill>
                            <a:schemeClr val="tx1"/>
                          </a:solidFill>
                          <a:effectLst/>
                          <a:latin typeface="+mn-lt"/>
                          <a:ea typeface="+mn-ea"/>
                          <a:cs typeface="+mn-cs"/>
                        </a:rPr>
                        <a:t> Gg</a:t>
                      </a:r>
                      <a:endParaRPr lang="en-GB" sz="1600"/>
                    </a:p>
                    <a:p>
                      <a:endParaRPr lang="en-GB" sz="1600"/>
                    </a:p>
                    <a:p>
                      <a:endParaRPr lang="en-GB" sz="1600"/>
                    </a:p>
                    <a:p>
                      <a:endParaRPr lang="en-GB" sz="1600"/>
                    </a:p>
                  </xdr:txBody>
                </xdr:sp>
                <xdr:sp macro="" textlink="">
                  <xdr:nvSpPr>
                    <xdr:cNvPr id="216" name="Right Arrow Callout 215"/>
                    <xdr:cNvSpPr/>
                  </xdr:nvSpPr>
                  <xdr:spPr>
                    <a:xfrm>
                      <a:off x="21717000" y="4381500"/>
                      <a:ext cx="2223559" cy="630521"/>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17" name="TextBox 27"/>
                    <xdr:cNvSpPr txBox="1"/>
                  </xdr:nvSpPr>
                  <xdr:spPr>
                    <a:xfrm>
                      <a:off x="21875884" y="4408091"/>
                      <a:ext cx="1300711"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Exports</a:t>
                      </a:r>
                      <a:r>
                        <a:rPr lang="en-GB" sz="1600" baseline="0"/>
                        <a:t> Calves</a:t>
                      </a:r>
                      <a:endParaRPr lang="en-GB" sz="1600"/>
                    </a:p>
                  </xdr:txBody>
                </xdr:sp>
                <xdr:sp macro="" textlink="">
                  <xdr:nvSpPr>
                    <xdr:cNvPr id="218" name="Right Arrow Callout 217"/>
                    <xdr:cNvSpPr/>
                  </xdr:nvSpPr>
                  <xdr:spPr>
                    <a:xfrm>
                      <a:off x="33137782" y="3196167"/>
                      <a:ext cx="2223559" cy="630521"/>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19" name="TextBox 27"/>
                    <xdr:cNvSpPr txBox="1"/>
                  </xdr:nvSpPr>
                  <xdr:spPr>
                    <a:xfrm>
                      <a:off x="33228234" y="3229108"/>
                      <a:ext cx="1300711"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Exports</a:t>
                      </a:r>
                      <a:r>
                        <a:rPr lang="en-GB" sz="1600" baseline="0"/>
                        <a:t> Young Cattle</a:t>
                      </a:r>
                      <a:endParaRPr lang="en-GB" sz="1600"/>
                    </a:p>
                  </xdr:txBody>
                </xdr:sp>
                <xdr:sp macro="" textlink="">
                  <xdr:nvSpPr>
                    <xdr:cNvPr id="220" name="Right Arrow Callout 219"/>
                    <xdr:cNvSpPr/>
                  </xdr:nvSpPr>
                  <xdr:spPr>
                    <a:xfrm>
                      <a:off x="25791583" y="2990850"/>
                      <a:ext cx="2222500" cy="8980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21" name="TextBox 20"/>
                    <xdr:cNvSpPr txBox="1"/>
                  </xdr:nvSpPr>
                  <xdr:spPr>
                    <a:xfrm>
                      <a:off x="25881541" y="3034844"/>
                      <a:ext cx="1281642"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aseline="0"/>
                        <a:t>Imports Young Cattle</a:t>
                      </a:r>
                    </a:p>
                  </xdr:txBody>
                </xdr:sp>
              </xdr:grpSp>
              <xdr:grpSp>
                <xdr:nvGrpSpPr>
                  <xdr:cNvPr id="119" name="Group 118"/>
                  <xdr:cNvGrpSpPr/>
                </xdr:nvGrpSpPr>
                <xdr:grpSpPr>
                  <a:xfrm>
                    <a:off x="5963708" y="6635751"/>
                    <a:ext cx="7130468" cy="6878109"/>
                    <a:chOff x="2445544" y="2561166"/>
                    <a:chExt cx="6887051" cy="6878109"/>
                  </a:xfrm>
                </xdr:grpSpPr>
                <xdr:cxnSp macro="">
                  <xdr:nvCxnSpPr>
                    <xdr:cNvPr id="129" name="Elbow Connector 128"/>
                    <xdr:cNvCxnSpPr>
                      <a:stCxn id="147" idx="2"/>
                    </xdr:cNvCxnSpPr>
                  </xdr:nvCxnSpPr>
                  <xdr:spPr>
                    <a:xfrm rot="16200000" flipH="1">
                      <a:off x="2848228" y="3586469"/>
                      <a:ext cx="1020255" cy="1049823"/>
                    </a:xfrm>
                    <a:prstGeom prst="bentConnector3">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0" name="Group 129"/>
                    <xdr:cNvGrpSpPr/>
                  </xdr:nvGrpSpPr>
                  <xdr:grpSpPr>
                    <a:xfrm>
                      <a:off x="2445544" y="2561166"/>
                      <a:ext cx="6887051" cy="6878109"/>
                      <a:chOff x="2278856" y="2656416"/>
                      <a:chExt cx="6887051" cy="6878109"/>
                    </a:xfrm>
                  </xdr:grpSpPr>
                  <xdr:sp macro="" textlink="">
                    <xdr:nvSpPr>
                      <xdr:cNvPr id="131" name="Rectangle 130"/>
                      <xdr:cNvSpPr/>
                    </xdr:nvSpPr>
                    <xdr:spPr>
                      <a:xfrm>
                        <a:off x="3770408" y="4751136"/>
                        <a:ext cx="2352596" cy="1214755"/>
                      </a:xfrm>
                      <a:prstGeom prst="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132" name="Rectangle 131"/>
                      <xdr:cNvSpPr/>
                    </xdr:nvSpPr>
                    <xdr:spPr>
                      <a:xfrm>
                        <a:off x="6390251" y="6188776"/>
                        <a:ext cx="2352595" cy="121475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133" name="Rectangle 132"/>
                      <xdr:cNvSpPr/>
                    </xdr:nvSpPr>
                    <xdr:spPr>
                      <a:xfrm>
                        <a:off x="3796270" y="6201476"/>
                        <a:ext cx="2352596" cy="1214755"/>
                      </a:xfrm>
                      <a:prstGeom prst="rect">
                        <a:avLst/>
                      </a:prstGeom>
                      <a:solidFill>
                        <a:schemeClr val="bg1"/>
                      </a:solid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134" name="Rectangle 133"/>
                      <xdr:cNvSpPr/>
                    </xdr:nvSpPr>
                    <xdr:spPr>
                      <a:xfrm>
                        <a:off x="6399713" y="4757486"/>
                        <a:ext cx="2352595" cy="1214755"/>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135" name="Rectangle 134"/>
                      <xdr:cNvSpPr/>
                    </xdr:nvSpPr>
                    <xdr:spPr>
                      <a:xfrm>
                        <a:off x="4419114" y="5497261"/>
                        <a:ext cx="3706148" cy="1002030"/>
                      </a:xfrm>
                      <a:prstGeom prst="rect">
                        <a:avLst/>
                      </a:prstGeom>
                      <a:solidFill>
                        <a:schemeClr val="bg1"/>
                      </a:solid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136" name="TextBox 4"/>
                      <xdr:cNvSpPr txBox="1">
                        <a:spLocks noChangeArrowheads="1"/>
                      </xdr:cNvSpPr>
                    </xdr:nvSpPr>
                    <xdr:spPr bwMode="auto">
                      <a:xfrm>
                        <a:off x="5145510" y="5688839"/>
                        <a:ext cx="2508403" cy="3693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800" b="0" i="0" u="none" strike="noStrike" cap="none" normalizeH="0" baseline="0">
                            <a:ln>
                              <a:noFill/>
                            </a:ln>
                            <a:solidFill>
                              <a:srgbClr val="000000"/>
                            </a:solidFill>
                            <a:effectLst/>
                            <a:latin typeface="Calibri" panose="020F0502020204030204" pitchFamily="34" charset="0"/>
                            <a:ea typeface="Times New Roman" panose="02020603050405020304" pitchFamily="18" charset="0"/>
                            <a:cs typeface="Times New Roman" panose="02020603050405020304" pitchFamily="18" charset="0"/>
                          </a:rPr>
                          <a:t>Adult Animals</a:t>
                        </a:r>
                        <a:r>
                          <a:rPr kumimoji="0" lang="en-US" altLang="en-US" sz="1800" b="0" i="0" u="none" strike="noStrike" cap="none" normalizeH="0">
                            <a:ln>
                              <a:noFill/>
                            </a:ln>
                            <a:solidFill>
                              <a:srgbClr val="000000"/>
                            </a:solidFill>
                            <a:effectLst/>
                            <a:latin typeface="Calibri" panose="020F0502020204030204" pitchFamily="34" charset="0"/>
                            <a:ea typeface="Times New Roman" panose="02020603050405020304" pitchFamily="18" charset="0"/>
                            <a:cs typeface="Times New Roman" panose="02020603050405020304" pitchFamily="18" charset="0"/>
                          </a:rPr>
                          <a:t> &gt;= 2yrs</a:t>
                        </a:r>
                        <a:endParaRPr kumimoji="0" lang="en-US" altLang="en-US" sz="1800" b="0" i="0" u="none" strike="noStrike" cap="none" normalizeH="0" baseline="0">
                          <a:ln>
                            <a:noFill/>
                          </a:ln>
                          <a:solidFill>
                            <a:schemeClr val="tx1"/>
                          </a:solidFill>
                          <a:effectLst/>
                          <a:latin typeface="Arial" panose="020B0604020202020204" pitchFamily="34" charset="0"/>
                        </a:endParaRPr>
                      </a:p>
                    </xdr:txBody>
                  </xdr:sp>
                  <xdr:sp macro="" textlink="">
                    <xdr:nvSpPr>
                      <xdr:cNvPr id="137" name="TextBox 12"/>
                      <xdr:cNvSpPr txBox="1"/>
                    </xdr:nvSpPr>
                    <xdr:spPr>
                      <a:xfrm>
                        <a:off x="3506135" y="3006363"/>
                        <a:ext cx="810129"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138" name="TextBox 18"/>
                      <xdr:cNvSpPr txBox="1"/>
                    </xdr:nvSpPr>
                    <xdr:spPr>
                      <a:xfrm>
                        <a:off x="4405364" y="2914650"/>
                        <a:ext cx="811526" cy="530658"/>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xdr:txBody>
                  </xdr:sp>
                  <xdr:sp macro="" textlink="">
                    <xdr:nvSpPr>
                      <xdr:cNvPr id="139" name="TextBox 40"/>
                      <xdr:cNvSpPr txBox="1"/>
                    </xdr:nvSpPr>
                    <xdr:spPr>
                      <a:xfrm>
                        <a:off x="5304828" y="3000375"/>
                        <a:ext cx="1199502"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140" name="TextBox 139"/>
                      <xdr:cNvSpPr txBox="1"/>
                    </xdr:nvSpPr>
                    <xdr:spPr>
                      <a:xfrm>
                        <a:off x="8291077" y="2824162"/>
                        <a:ext cx="730393" cy="600075"/>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endParaRPr lang="en-GB" sz="1600"/>
                      </a:p>
                    </xdr:txBody>
                  </xdr:sp>
                  <xdr:sp macro="" textlink="">
                    <xdr:nvSpPr>
                      <xdr:cNvPr id="141" name="TextBox 140"/>
                      <xdr:cNvSpPr txBox="1"/>
                    </xdr:nvSpPr>
                    <xdr:spPr>
                      <a:xfrm>
                        <a:off x="6606269" y="2855119"/>
                        <a:ext cx="645235" cy="457200"/>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xdr:txBody>
                  </xdr:sp>
                  <xdr:sp macro="" textlink="">
                    <xdr:nvSpPr>
                      <xdr:cNvPr id="142" name="TextBox 141"/>
                      <xdr:cNvSpPr txBox="1"/>
                    </xdr:nvSpPr>
                    <xdr:spPr>
                      <a:xfrm>
                        <a:off x="7308877" y="2656416"/>
                        <a:ext cx="952037" cy="857248"/>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a:t>
                        </a:r>
                        <a:r>
                          <a:rPr lang="en-GB" sz="1600" baseline="0"/>
                          <a:t> Fund 1.25 Tg</a:t>
                        </a:r>
                        <a:endParaRPr lang="en-GB" sz="1600"/>
                      </a:p>
                    </xdr:txBody>
                  </xdr:sp>
                  <xdr:sp macro="" textlink="">
                    <xdr:nvSpPr>
                      <xdr:cNvPr id="143" name="TextBox 142"/>
                      <xdr:cNvSpPr txBox="1"/>
                    </xdr:nvSpPr>
                    <xdr:spPr>
                      <a:xfrm>
                        <a:off x="3512556" y="7915275"/>
                        <a:ext cx="1515177" cy="3905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Green water </a:t>
                        </a:r>
                      </a:p>
                    </xdr:txBody>
                  </xdr:sp>
                  <xdr:sp macro="" textlink="">
                    <xdr:nvSpPr>
                      <xdr:cNvPr id="144" name="TextBox 143"/>
                      <xdr:cNvSpPr txBox="1"/>
                    </xdr:nvSpPr>
                    <xdr:spPr>
                      <a:xfrm>
                        <a:off x="5932647" y="8010525"/>
                        <a:ext cx="1186389" cy="83820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GHG</a:t>
                        </a:r>
                        <a:endParaRPr lang="en-GB" sz="1600" baseline="0"/>
                      </a:p>
                      <a:p>
                        <a:r>
                          <a:rPr lang="en-GB" sz="1600" baseline="0"/>
                          <a:t>(N2O, CH4, CO2)</a:t>
                        </a:r>
                        <a:endParaRPr lang="en-GB" sz="1600"/>
                      </a:p>
                    </xdr:txBody>
                  </xdr:sp>
                  <xdr:sp macro="" textlink="">
                    <xdr:nvSpPr>
                      <xdr:cNvPr id="145" name="TextBox 144"/>
                      <xdr:cNvSpPr txBox="1"/>
                    </xdr:nvSpPr>
                    <xdr:spPr>
                      <a:xfrm>
                        <a:off x="7223118" y="8039100"/>
                        <a:ext cx="1148544"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Antibiotics</a:t>
                        </a:r>
                      </a:p>
                    </xdr:txBody>
                  </xdr:sp>
                  <xdr:sp macro="" textlink="">
                    <xdr:nvSpPr>
                      <xdr:cNvPr id="146" name="TextBox 145"/>
                      <xdr:cNvSpPr txBox="1"/>
                    </xdr:nvSpPr>
                    <xdr:spPr>
                      <a:xfrm>
                        <a:off x="8017365" y="8934450"/>
                        <a:ext cx="1148542"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Manure?</a:t>
                        </a:r>
                      </a:p>
                    </xdr:txBody>
                  </xdr:sp>
                  <xdr:sp macro="" textlink="">
                    <xdr:nvSpPr>
                      <xdr:cNvPr id="147" name="TextBox 12"/>
                      <xdr:cNvSpPr txBox="1"/>
                    </xdr:nvSpPr>
                    <xdr:spPr>
                      <a:xfrm>
                        <a:off x="2278856" y="3086100"/>
                        <a:ext cx="810129" cy="5932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 Use</a:t>
                        </a:r>
                      </a:p>
                    </xdr:txBody>
                  </xdr:sp>
                  <xdr:sp macro="" textlink="">
                    <xdr:nvSpPr>
                      <xdr:cNvPr id="148" name="Shape 8"/>
                      <xdr:cNvSpPr/>
                    </xdr:nvSpPr>
                    <xdr:spPr>
                      <a:xfrm rot="5400000">
                        <a:off x="3377333" y="3897386"/>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49" name="Shape 8"/>
                      <xdr:cNvSpPr/>
                    </xdr:nvSpPr>
                    <xdr:spPr>
                      <a:xfrm rot="5400000">
                        <a:off x="4115520" y="3933104"/>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50" name="Shape 8"/>
                      <xdr:cNvSpPr/>
                    </xdr:nvSpPr>
                    <xdr:spPr>
                      <a:xfrm rot="5400000">
                        <a:off x="5139457" y="3885480"/>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51" name="Shape 8"/>
                      <xdr:cNvSpPr/>
                    </xdr:nvSpPr>
                    <xdr:spPr>
                      <a:xfrm rot="5400000">
                        <a:off x="6330083" y="3968823"/>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52" name="Shape 8"/>
                      <xdr:cNvSpPr/>
                    </xdr:nvSpPr>
                    <xdr:spPr>
                      <a:xfrm rot="5400000">
                        <a:off x="7068271" y="4028355"/>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53" name="Shape 8"/>
                      <xdr:cNvSpPr/>
                    </xdr:nvSpPr>
                    <xdr:spPr>
                      <a:xfrm rot="5400000">
                        <a:off x="8008864" y="3980730"/>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54" name="Shape 10"/>
                      <xdr:cNvSpPr/>
                    </xdr:nvSpPr>
                    <xdr:spPr>
                      <a:xfrm rot="16200000">
                        <a:off x="3655876" y="7178812"/>
                        <a:ext cx="1076325" cy="363265"/>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lvl="0" indent="0" algn="l">
                          <a:spcBef>
                            <a:spcPts val="0"/>
                          </a:spcBef>
                          <a:buNone/>
                        </a:pPr>
                        <a:endParaRPr sz="1100"/>
                      </a:p>
                    </xdr:txBody>
                  </xdr:sp>
                  <xdr:pic>
                    <xdr:nvPicPr>
                      <xdr:cNvPr id="155" name="Picture 154"/>
                      <xdr:cNvPicPr>
                        <a:picLocks noChangeAspect="1"/>
                      </xdr:cNvPicPr>
                    </xdr:nvPicPr>
                    <xdr:blipFill>
                      <a:blip xmlns:r="http://schemas.openxmlformats.org/officeDocument/2006/relationships" r:embed="rId1"/>
                      <a:stretch>
                        <a:fillRect/>
                      </a:stretch>
                    </xdr:blipFill>
                    <xdr:spPr>
                      <a:xfrm>
                        <a:off x="6512719" y="6881812"/>
                        <a:ext cx="298730" cy="1079086"/>
                      </a:xfrm>
                      <a:prstGeom prst="rect">
                        <a:avLst/>
                      </a:prstGeom>
                    </xdr:spPr>
                  </xdr:pic>
                  <xdr:pic>
                    <xdr:nvPicPr>
                      <xdr:cNvPr id="156" name="Picture 155"/>
                      <xdr:cNvPicPr>
                        <a:picLocks noChangeAspect="1"/>
                      </xdr:cNvPicPr>
                    </xdr:nvPicPr>
                    <xdr:blipFill>
                      <a:blip xmlns:r="http://schemas.openxmlformats.org/officeDocument/2006/relationships" r:embed="rId1"/>
                      <a:stretch>
                        <a:fillRect/>
                      </a:stretch>
                    </xdr:blipFill>
                    <xdr:spPr>
                      <a:xfrm>
                        <a:off x="8498682" y="7141367"/>
                        <a:ext cx="298730" cy="1764507"/>
                      </a:xfrm>
                      <a:prstGeom prst="rect">
                        <a:avLst/>
                      </a:prstGeom>
                    </xdr:spPr>
                  </xdr:pic>
                  <xdr:pic>
                    <xdr:nvPicPr>
                      <xdr:cNvPr id="157" name="Picture 156"/>
                      <xdr:cNvPicPr>
                        <a:picLocks noChangeAspect="1"/>
                      </xdr:cNvPicPr>
                    </xdr:nvPicPr>
                    <xdr:blipFill>
                      <a:blip xmlns:r="http://schemas.openxmlformats.org/officeDocument/2006/relationships" r:embed="rId1"/>
                      <a:stretch>
                        <a:fillRect/>
                      </a:stretch>
                    </xdr:blipFill>
                    <xdr:spPr>
                      <a:xfrm>
                        <a:off x="7686675" y="6972299"/>
                        <a:ext cx="298730" cy="1079086"/>
                      </a:xfrm>
                      <a:prstGeom prst="rect">
                        <a:avLst/>
                      </a:prstGeom>
                    </xdr:spPr>
                  </xdr:pic>
                </xdr:grpSp>
              </xdr:grpSp>
              <xdr:sp macro="" textlink="">
                <xdr:nvSpPr>
                  <xdr:cNvPr id="120" name="TextBox 12"/>
                  <xdr:cNvSpPr txBox="1"/>
                </xdr:nvSpPr>
                <xdr:spPr>
                  <a:xfrm>
                    <a:off x="3688292" y="9398000"/>
                    <a:ext cx="1296457" cy="63500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Import</a:t>
                    </a:r>
                    <a:r>
                      <a:rPr lang="en-GB" sz="1600" baseline="0"/>
                      <a:t>s Adult Animals</a:t>
                    </a:r>
                    <a:endParaRPr lang="en-GB" sz="1600"/>
                  </a:p>
                </xdr:txBody>
              </xdr:sp>
              <xdr:sp macro="" textlink="">
                <xdr:nvSpPr>
                  <xdr:cNvPr id="121" name="TextBox 12"/>
                  <xdr:cNvSpPr txBox="1"/>
                </xdr:nvSpPr>
                <xdr:spPr>
                  <a:xfrm>
                    <a:off x="13133916" y="9567333"/>
                    <a:ext cx="1333500" cy="85725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Exports Adult Animals</a:t>
                    </a:r>
                  </a:p>
                </xdr:txBody>
              </xdr:sp>
              <xdr:sp macro="" textlink="">
                <xdr:nvSpPr>
                  <xdr:cNvPr id="122" name="Right Arrow Callout 121"/>
                  <xdr:cNvSpPr/>
                </xdr:nvSpPr>
                <xdr:spPr>
                  <a:xfrm>
                    <a:off x="12906375" y="10747375"/>
                    <a:ext cx="2254249"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solidFill>
                          <a:sysClr val="windowText" lastClr="000000"/>
                        </a:solidFill>
                      </a:rPr>
                      <a:t>Slaughtered</a:t>
                    </a:r>
                    <a:r>
                      <a:rPr lang="en-GB" sz="1600" baseline="0">
                        <a:solidFill>
                          <a:sysClr val="windowText" lastClr="000000"/>
                        </a:solidFill>
                      </a:rPr>
                      <a:t>  Adult Animals</a:t>
                    </a:r>
                  </a:p>
                  <a:p>
                    <a:pPr algn="ctr"/>
                    <a:r>
                      <a:rPr lang="en-GB" sz="1600">
                        <a:solidFill>
                          <a:sysClr val="windowText" lastClr="000000"/>
                        </a:solidFill>
                      </a:rPr>
                      <a:t>877.81 Gg</a:t>
                    </a:r>
                  </a:p>
                </xdr:txBody>
              </xdr:sp>
              <xdr:sp macro="" textlink="">
                <xdr:nvSpPr>
                  <xdr:cNvPr id="123" name="Rectángulo 762"/>
                  <xdr:cNvSpPr/>
                </xdr:nvSpPr>
                <xdr:spPr>
                  <a:xfrm>
                    <a:off x="7782377" y="5619750"/>
                    <a:ext cx="930260"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sp macro="" textlink="">
                <xdr:nvSpPr>
                  <xdr:cNvPr id="124" name="Rectángulo 762"/>
                  <xdr:cNvSpPr/>
                </xdr:nvSpPr>
                <xdr:spPr>
                  <a:xfrm>
                    <a:off x="6468987" y="5604955"/>
                    <a:ext cx="1145028"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xdr:txBody>
              </xdr:sp>
              <xdr:cxnSp macro="">
                <xdr:nvCxnSpPr>
                  <xdr:cNvPr id="125" name="Straight Arrow Connector 91"/>
                  <xdr:cNvCxnSpPr>
                    <a:stCxn id="123" idx="2"/>
                  </xdr:cNvCxnSpPr>
                </xdr:nvCxnSpPr>
                <xdr:spPr>
                  <a:xfrm flipH="1">
                    <a:off x="7754857" y="6063732"/>
                    <a:ext cx="493400"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6" name="Rectángulo 762"/>
                  <xdr:cNvSpPr/>
                </xdr:nvSpPr>
                <xdr:spPr>
                  <a:xfrm>
                    <a:off x="5873750" y="6253272"/>
                    <a:ext cx="1069949" cy="505811"/>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xdr:txBody>
              </xdr:sp>
              <xdr:cxnSp macro="">
                <xdr:nvCxnSpPr>
                  <xdr:cNvPr id="127" name="Rechte verbindingslijn met pijl 70"/>
                  <xdr:cNvCxnSpPr>
                    <a:stCxn id="126" idx="3"/>
                  </xdr:cNvCxnSpPr>
                </xdr:nvCxnSpPr>
                <xdr:spPr>
                  <a:xfrm>
                    <a:off x="6943699" y="6503989"/>
                    <a:ext cx="416726" cy="421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 name="Straight Arrow Connector 90"/>
                  <xdr:cNvCxnSpPr/>
                </xdr:nvCxnSpPr>
                <xdr:spPr>
                  <a:xfrm>
                    <a:off x="7254875" y="6127750"/>
                    <a:ext cx="334049"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xnSp macro="">
            <xdr:nvCxnSpPr>
              <xdr:cNvPr id="103" name="Straight Arrow Connector 90"/>
              <xdr:cNvCxnSpPr/>
            </xdr:nvCxnSpPr>
            <xdr:spPr>
              <a:xfrm>
                <a:off x="30241976" y="6004435"/>
                <a:ext cx="334049"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Rectángulo 762"/>
              <xdr:cNvSpPr/>
            </xdr:nvSpPr>
            <xdr:spPr>
              <a:xfrm>
                <a:off x="30817002" y="5523420"/>
                <a:ext cx="930260"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sp macro="" textlink="">
            <xdr:nvSpPr>
              <xdr:cNvPr id="105" name="Rectángulo 762"/>
              <xdr:cNvSpPr/>
            </xdr:nvSpPr>
            <xdr:spPr>
              <a:xfrm>
                <a:off x="29503612" y="5508625"/>
                <a:ext cx="1145028"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xdr:txBody>
          </xdr:sp>
          <xdr:cxnSp macro="">
            <xdr:nvCxnSpPr>
              <xdr:cNvPr id="106" name="Straight Arrow Connector 91"/>
              <xdr:cNvCxnSpPr>
                <a:stCxn id="104" idx="2"/>
              </xdr:cNvCxnSpPr>
            </xdr:nvCxnSpPr>
            <xdr:spPr>
              <a:xfrm flipH="1">
                <a:off x="30789482" y="5967402"/>
                <a:ext cx="493400"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7" name="Rectángulo 762"/>
              <xdr:cNvSpPr/>
            </xdr:nvSpPr>
            <xdr:spPr>
              <a:xfrm>
                <a:off x="28908375" y="6156942"/>
                <a:ext cx="1069949" cy="505811"/>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xdr:txBody>
          </xdr:sp>
          <xdr:cxnSp macro="">
            <xdr:nvCxnSpPr>
              <xdr:cNvPr id="108" name="Rechte verbindingslijn met pijl 70"/>
              <xdr:cNvCxnSpPr>
                <a:stCxn id="107" idx="3"/>
              </xdr:cNvCxnSpPr>
            </xdr:nvCxnSpPr>
            <xdr:spPr>
              <a:xfrm>
                <a:off x="29978324" y="6407659"/>
                <a:ext cx="432601" cy="421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429004</xdr:colOff>
      <xdr:row>30</xdr:row>
      <xdr:rowOff>18143</xdr:rowOff>
    </xdr:from>
    <xdr:to>
      <xdr:col>61</xdr:col>
      <xdr:colOff>530678</xdr:colOff>
      <xdr:row>90</xdr:row>
      <xdr:rowOff>176893</xdr:rowOff>
    </xdr:to>
    <xdr:grpSp>
      <xdr:nvGrpSpPr>
        <xdr:cNvPr id="106" name="Group 105"/>
        <xdr:cNvGrpSpPr/>
      </xdr:nvGrpSpPr>
      <xdr:grpSpPr>
        <a:xfrm>
          <a:off x="3477004" y="5733143"/>
          <a:ext cx="34239274" cy="11588750"/>
          <a:chOff x="3585861" y="5637893"/>
          <a:chExt cx="34391674" cy="11588750"/>
        </a:xfrm>
      </xdr:grpSpPr>
      <xdr:grpSp>
        <xdr:nvGrpSpPr>
          <xdr:cNvPr id="102" name="Group 101"/>
          <xdr:cNvGrpSpPr/>
        </xdr:nvGrpSpPr>
        <xdr:grpSpPr>
          <a:xfrm>
            <a:off x="3585861" y="5637893"/>
            <a:ext cx="34391674" cy="11588750"/>
            <a:chOff x="3391958" y="5365750"/>
            <a:chExt cx="34773039" cy="11588750"/>
          </a:xfrm>
        </xdr:grpSpPr>
        <xdr:sp macro="" textlink="">
          <xdr:nvSpPr>
            <xdr:cNvPr id="111" name="U-Turn Arrow 15"/>
            <xdr:cNvSpPr/>
          </xdr:nvSpPr>
          <xdr:spPr>
            <a:xfrm rot="10800000">
              <a:off x="9207499" y="13729607"/>
              <a:ext cx="26508568" cy="3224893"/>
            </a:xfrm>
            <a:prstGeom prst="uturnArrow">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chemeClr val="tx1"/>
                </a:solidFill>
              </a:endParaRPr>
            </a:p>
          </xdr:txBody>
        </xdr:sp>
        <xdr:grpSp>
          <xdr:nvGrpSpPr>
            <xdr:cNvPr id="100" name="Group 99"/>
            <xdr:cNvGrpSpPr/>
          </xdr:nvGrpSpPr>
          <xdr:grpSpPr>
            <a:xfrm>
              <a:off x="3391958" y="5365750"/>
              <a:ext cx="34773039" cy="8165399"/>
              <a:chOff x="3391958" y="5365750"/>
              <a:chExt cx="34773039" cy="8165399"/>
            </a:xfrm>
          </xdr:grpSpPr>
          <xdr:sp macro="" textlink="">
            <xdr:nvSpPr>
              <xdr:cNvPr id="114" name="Right Arrow Callout 113"/>
              <xdr:cNvSpPr/>
            </xdr:nvSpPr>
            <xdr:spPr>
              <a:xfrm>
                <a:off x="35877500" y="10445750"/>
                <a:ext cx="2254249"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solidFill>
                      <a:sysClr val="windowText" lastClr="000000"/>
                    </a:solidFill>
                  </a:rPr>
                  <a:t>Slaughtered</a:t>
                </a:r>
                <a:r>
                  <a:rPr lang="en-GB" sz="1600" baseline="0">
                    <a:solidFill>
                      <a:sysClr val="windowText" lastClr="000000"/>
                    </a:solidFill>
                  </a:rPr>
                  <a:t>  Young Cattle</a:t>
                </a:r>
                <a:r>
                  <a:rPr lang="en-GB" sz="1800" b="0" i="0" u="none" strike="noStrike" kern="1200" baseline="0">
                    <a:solidFill>
                      <a:schemeClr val="lt1"/>
                    </a:solidFill>
                    <a:effectLst/>
                    <a:latin typeface="+mn-lt"/>
                    <a:ea typeface="+mn-ea"/>
                    <a:cs typeface="+mn-cs"/>
                  </a:rPr>
                  <a:t> </a:t>
                </a:r>
                <a:r>
                  <a:rPr lang="en-GB" sz="1800" b="0" i="0" u="none" strike="noStrike" kern="1200" baseline="0">
                    <a:solidFill>
                      <a:sysClr val="windowText" lastClr="000000"/>
                    </a:solidFill>
                    <a:effectLst/>
                    <a:latin typeface="+mn-lt"/>
                    <a:ea typeface="+mn-ea"/>
                    <a:cs typeface="+mn-cs"/>
                  </a:rPr>
                  <a:t>3.13 Gg</a:t>
                </a:r>
                <a:endParaRPr lang="en-GB" sz="1600">
                  <a:solidFill>
                    <a:sysClr val="windowText" lastClr="000000"/>
                  </a:solidFill>
                </a:endParaRPr>
              </a:p>
            </xdr:txBody>
          </xdr:sp>
          <xdr:grpSp>
            <xdr:nvGrpSpPr>
              <xdr:cNvPr id="99" name="Group 98"/>
              <xdr:cNvGrpSpPr/>
            </xdr:nvGrpSpPr>
            <xdr:grpSpPr>
              <a:xfrm>
                <a:off x="3391958" y="5365750"/>
                <a:ext cx="34773039" cy="8165399"/>
                <a:chOff x="3487208" y="5508625"/>
                <a:chExt cx="34773039" cy="8165399"/>
              </a:xfrm>
            </xdr:grpSpPr>
            <xdr:grpSp>
              <xdr:nvGrpSpPr>
                <xdr:cNvPr id="98" name="Group 97"/>
                <xdr:cNvGrpSpPr/>
              </xdr:nvGrpSpPr>
              <xdr:grpSpPr>
                <a:xfrm>
                  <a:off x="3487208" y="5582730"/>
                  <a:ext cx="34773039" cy="8091294"/>
                  <a:chOff x="3487208" y="5582730"/>
                  <a:chExt cx="34773039" cy="8091294"/>
                </a:xfrm>
              </xdr:grpSpPr>
              <xdr:cxnSp macro="">
                <xdr:nvCxnSpPr>
                  <xdr:cNvPr id="116" name="Straight Arrow Connector 90"/>
                  <xdr:cNvCxnSpPr/>
                </xdr:nvCxnSpPr>
                <xdr:spPr>
                  <a:xfrm>
                    <a:off x="18107126" y="6078540"/>
                    <a:ext cx="318174"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0" name="Rectángulo 762"/>
                  <xdr:cNvSpPr/>
                </xdr:nvSpPr>
                <xdr:spPr>
                  <a:xfrm>
                    <a:off x="18682152" y="5597525"/>
                    <a:ext cx="914385"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a:p>
                    <a:pPr algn="ctr"/>
                    <a:r>
                      <a:rPr lang="en-GB" sz="1100"/>
                      <a:t>2.86 Tg</a:t>
                    </a:r>
                  </a:p>
                </xdr:txBody>
              </xdr:sp>
              <xdr:sp macro="" textlink="">
                <xdr:nvSpPr>
                  <xdr:cNvPr id="121" name="Rectángulo 762"/>
                  <xdr:cNvSpPr/>
                </xdr:nvSpPr>
                <xdr:spPr>
                  <a:xfrm>
                    <a:off x="17368762" y="5582730"/>
                    <a:ext cx="1129153"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a:p>
                    <a:pPr algn="ctr"/>
                    <a:r>
                      <a:rPr lang="en-GB" sz="1100"/>
                      <a:t>0.15 Tg</a:t>
                    </a:r>
                  </a:p>
                  <a:p>
                    <a:pPr algn="ctr"/>
                    <a:endParaRPr lang="en-GB" sz="1100"/>
                  </a:p>
                </xdr:txBody>
              </xdr:sp>
              <xdr:cxnSp macro="">
                <xdr:nvCxnSpPr>
                  <xdr:cNvPr id="122" name="Straight Arrow Connector 91"/>
                  <xdr:cNvCxnSpPr>
                    <a:stCxn id="120" idx="2"/>
                  </xdr:cNvCxnSpPr>
                </xdr:nvCxnSpPr>
                <xdr:spPr>
                  <a:xfrm flipH="1">
                    <a:off x="18654632" y="6041507"/>
                    <a:ext cx="477525"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3" name="Rectángulo 762"/>
                  <xdr:cNvSpPr/>
                </xdr:nvSpPr>
                <xdr:spPr>
                  <a:xfrm>
                    <a:off x="16773525" y="6231047"/>
                    <a:ext cx="1138595" cy="674578"/>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a:p>
                    <a:pPr algn="ctr"/>
                    <a:r>
                      <a:rPr lang="en-GB" sz="1100"/>
                      <a:t>0.08 Tg</a:t>
                    </a:r>
                  </a:p>
                </xdr:txBody>
              </xdr:sp>
              <xdr:cxnSp macro="">
                <xdr:nvCxnSpPr>
                  <xdr:cNvPr id="124" name="Rechte verbindingslijn met pijl 70"/>
                  <xdr:cNvCxnSpPr>
                    <a:stCxn id="123" idx="3"/>
                  </xdr:cNvCxnSpPr>
                </xdr:nvCxnSpPr>
                <xdr:spPr>
                  <a:xfrm>
                    <a:off x="17912120" y="6568336"/>
                    <a:ext cx="348080" cy="3347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97" name="Group 96"/>
                  <xdr:cNvGrpSpPr/>
                </xdr:nvGrpSpPr>
                <xdr:grpSpPr>
                  <a:xfrm>
                    <a:off x="3487208" y="5604955"/>
                    <a:ext cx="34773039" cy="8069069"/>
                    <a:chOff x="3487208" y="5604955"/>
                    <a:chExt cx="34773039" cy="8069069"/>
                  </a:xfrm>
                </xdr:grpSpPr>
                <xdr:sp macro="" textlink="">
                  <xdr:nvSpPr>
                    <xdr:cNvPr id="108" name="Right Arrow Callout 107"/>
                    <xdr:cNvSpPr/>
                  </xdr:nvSpPr>
                  <xdr:spPr>
                    <a:xfrm>
                      <a:off x="13012208" y="9461500"/>
                      <a:ext cx="2238374"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01" name="Right Arrow Callout 100"/>
                    <xdr:cNvSpPr/>
                  </xdr:nvSpPr>
                  <xdr:spPr>
                    <a:xfrm>
                      <a:off x="3487208" y="9191625"/>
                      <a:ext cx="2482942" cy="1084349"/>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2" name="Group 1"/>
                    <xdr:cNvGrpSpPr/>
                  </xdr:nvGrpSpPr>
                  <xdr:grpSpPr>
                    <a:xfrm>
                      <a:off x="15804619" y="6293304"/>
                      <a:ext cx="22455628" cy="7380720"/>
                      <a:chOff x="13942124" y="-103263"/>
                      <a:chExt cx="21546050" cy="7380720"/>
                    </a:xfrm>
                  </xdr:grpSpPr>
                  <xdr:sp macro="" textlink="">
                    <xdr:nvSpPr>
                      <xdr:cNvPr id="3" name="Rectangle 2"/>
                      <xdr:cNvSpPr/>
                    </xdr:nvSpPr>
                    <xdr:spPr>
                      <a:xfrm>
                        <a:off x="28025725" y="2314504"/>
                        <a:ext cx="2335530" cy="1214755"/>
                      </a:xfrm>
                      <a:prstGeom prst="rect">
                        <a:avLst/>
                      </a:prstGeom>
                      <a:solidFill>
                        <a:sysClr val="window" lastClr="FFFFFF"/>
                      </a:solidFill>
                      <a:ln w="381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 name="Rectangle 3"/>
                      <xdr:cNvSpPr/>
                    </xdr:nvSpPr>
                    <xdr:spPr>
                      <a:xfrm>
                        <a:off x="30635575" y="3790244"/>
                        <a:ext cx="2335530" cy="1214755"/>
                      </a:xfrm>
                      <a:prstGeom prst="rect">
                        <a:avLst/>
                      </a:prstGeom>
                      <a:solidFill>
                        <a:sysClr val="window" lastClr="FFFFFF"/>
                      </a:solidFill>
                      <a:ln w="38100" cap="flat" cmpd="sng" algn="ctr">
                        <a:solidFill>
                          <a:srgbClr val="FFC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 name="Rectangle 4"/>
                      <xdr:cNvSpPr/>
                    </xdr:nvSpPr>
                    <xdr:spPr>
                      <a:xfrm>
                        <a:off x="28051760" y="3793419"/>
                        <a:ext cx="2335530" cy="1214755"/>
                      </a:xfrm>
                      <a:prstGeom prst="rect">
                        <a:avLst/>
                      </a:prstGeom>
                      <a:solidFill>
                        <a:sysClr val="window" lastClr="FFFFFF"/>
                      </a:solidFill>
                      <a:ln w="38100" cap="flat" cmpd="sng" algn="ctr">
                        <a:solidFill>
                          <a:srgbClr val="00B05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 name="Rectangle 5"/>
                      <xdr:cNvSpPr/>
                    </xdr:nvSpPr>
                    <xdr:spPr>
                      <a:xfrm>
                        <a:off x="30635575" y="2320854"/>
                        <a:ext cx="2335530" cy="1214755"/>
                      </a:xfrm>
                      <a:prstGeom prst="rect">
                        <a:avLst/>
                      </a:prstGeom>
                      <a:solidFill>
                        <a:sysClr val="window" lastClr="FFFFFF"/>
                      </a:solidFill>
                      <a:ln w="38100" cap="flat" cmpd="sng" algn="ctr">
                        <a:solidFill>
                          <a:srgbClr val="C0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7" name="Rectangle 6"/>
                      <xdr:cNvSpPr>
                        <a:spLocks noChangeArrowheads="1"/>
                      </xdr:cNvSpPr>
                    </xdr:nvSpPr>
                    <xdr:spPr bwMode="auto">
                      <a:xfrm>
                        <a:off x="28794075" y="3001890"/>
                        <a:ext cx="3683000" cy="1001713"/>
                      </a:xfrm>
                      <a:prstGeom prst="rect">
                        <a:avLst/>
                      </a:prstGeom>
                      <a:solidFill>
                        <a:srgbClr val="FFFFFF"/>
                      </a:solidFill>
                      <a:ln w="3175">
                        <a:solidFill>
                          <a:srgbClr val="00B050"/>
                        </a:solidFill>
                        <a:miter lim="800000"/>
                        <a:headEnd/>
                        <a:tailEnd/>
                      </a:ln>
                    </xdr:spPr>
                    <xdr:txBody>
                      <a:bodyPr vert="horz" wrap="square" lIns="91440" tIns="45720" rIns="91440" bIns="45720" numCol="1" anchor="ctr"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chemeClr val="tx1"/>
                            </a:solidFill>
                            <a:effectLst/>
                            <a:latin typeface="Calibri" panose="020F0502020204030204" pitchFamily="34" charset="0"/>
                            <a:cs typeface="Times New Roman" panose="02020603050405020304" pitchFamily="18" charset="0"/>
                          </a:rPr>
                          <a:t> Young Cattle</a:t>
                        </a:r>
                      </a:p>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chemeClr val="tx1"/>
                            </a:solidFill>
                            <a:effectLst/>
                            <a:latin typeface="Calibri" panose="020F0502020204030204" pitchFamily="34" charset="0"/>
                            <a:cs typeface="Times New Roman" panose="02020603050405020304" pitchFamily="18" charset="0"/>
                          </a:rPr>
                          <a:t>1-2yrs</a:t>
                        </a:r>
                        <a:endParaRPr kumimoji="0" lang="en-GB" altLang="en-US" sz="1800" b="0" i="0" u="none" strike="noStrike" cap="none" normalizeH="0" baseline="0">
                          <a:ln>
                            <a:noFill/>
                          </a:ln>
                          <a:solidFill>
                            <a:schemeClr val="tx1"/>
                          </a:solidFill>
                          <a:effectLst/>
                          <a:latin typeface="Arial" panose="020B0604020202020204" pitchFamily="34" charset="0"/>
                        </a:endParaRPr>
                      </a:p>
                    </xdr:txBody>
                  </xdr:sp>
                  <xdr:sp macro="" textlink="">
                    <xdr:nvSpPr>
                      <xdr:cNvPr id="8" name="TextBox 7"/>
                      <xdr:cNvSpPr txBox="1"/>
                    </xdr:nvSpPr>
                    <xdr:spPr>
                      <a:xfrm>
                        <a:off x="19161533" y="-103263"/>
                        <a:ext cx="855358" cy="942674"/>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a:p>
                        <a:r>
                          <a:rPr lang="en-GB" sz="1600"/>
                          <a:t>96 Ghours</a:t>
                        </a:r>
                      </a:p>
                      <a:p>
                        <a:r>
                          <a:rPr lang="en-GB" sz="1300" b="1" i="0" u="none" strike="noStrike">
                            <a:solidFill>
                              <a:schemeClr val="dk1"/>
                            </a:solidFill>
                            <a:effectLst/>
                            <a:latin typeface="+mn-lt"/>
                            <a:ea typeface="+mn-ea"/>
                            <a:cs typeface="+mn-cs"/>
                          </a:rPr>
                          <a:t> </a:t>
                        </a:r>
                        <a:r>
                          <a:rPr lang="en-GB" sz="1300"/>
                          <a:t> </a:t>
                        </a:r>
                      </a:p>
                    </xdr:txBody>
                  </xdr:sp>
                  <xdr:sp macro="" textlink="">
                    <xdr:nvSpPr>
                      <xdr:cNvPr id="9" name="TextBox 8"/>
                      <xdr:cNvSpPr txBox="1"/>
                    </xdr:nvSpPr>
                    <xdr:spPr>
                      <a:xfrm>
                        <a:off x="20008954" y="281518"/>
                        <a:ext cx="920750" cy="889598"/>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 Fund</a:t>
                        </a:r>
                        <a:r>
                          <a:rPr lang="en-GB" sz="1100" b="0" i="0" u="none" strike="noStrike" baseline="0">
                            <a:solidFill>
                              <a:schemeClr val="dk1"/>
                            </a:solidFill>
                            <a:effectLst/>
                            <a:latin typeface="+mn-lt"/>
                            <a:ea typeface="+mn-ea"/>
                            <a:cs typeface="+mn-cs"/>
                          </a:rPr>
                          <a:t> </a:t>
                        </a:r>
                      </a:p>
                      <a:p>
                        <a:r>
                          <a:rPr lang="en-GB" sz="1600">
                            <a:solidFill>
                              <a:schemeClr val="dk1"/>
                            </a:solidFill>
                            <a:latin typeface="+mn-lt"/>
                            <a:ea typeface="+mn-ea"/>
                            <a:cs typeface="+mn-cs"/>
                          </a:rPr>
                          <a:t>521 Gg</a:t>
                        </a:r>
                      </a:p>
                    </xdr:txBody>
                  </xdr:sp>
                  <xdr:sp macro="" textlink="">
                    <xdr:nvSpPr>
                      <xdr:cNvPr id="10" name="TextBox 9"/>
                      <xdr:cNvSpPr txBox="1"/>
                    </xdr:nvSpPr>
                    <xdr:spPr>
                      <a:xfrm>
                        <a:off x="21013208" y="304951"/>
                        <a:ext cx="1076201" cy="849053"/>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p>
                      <a:p>
                        <a:r>
                          <a:rPr lang="en-GB" sz="1600" baseline="0"/>
                          <a:t>37279 km2</a:t>
                        </a:r>
                        <a:endParaRPr lang="en-GB" sz="1600"/>
                      </a:p>
                    </xdr:txBody>
                  </xdr:sp>
                  <xdr:sp macro="" textlink="">
                    <xdr:nvSpPr>
                      <xdr:cNvPr id="11" name="Shape 9"/>
                      <xdr:cNvSpPr/>
                    </xdr:nvSpPr>
                    <xdr:spPr>
                      <a:xfrm rot="5400000">
                        <a:off x="18871139" y="1565275"/>
                        <a:ext cx="1195919"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2" name="Shape 9"/>
                      <xdr:cNvSpPr/>
                    </xdr:nvSpPr>
                    <xdr:spPr>
                      <a:xfrm rot="5400000">
                        <a:off x="19802473" y="1628774"/>
                        <a:ext cx="1111250"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3" name="Rectangle 12"/>
                      <xdr:cNvSpPr/>
                    </xdr:nvSpPr>
                    <xdr:spPr>
                      <a:xfrm>
                        <a:off x="16357600" y="2337200"/>
                        <a:ext cx="2346113" cy="1214755"/>
                      </a:xfrm>
                      <a:prstGeom prst="rect">
                        <a:avLst/>
                      </a:prstGeom>
                      <a:solidFill>
                        <a:sysClr val="window" lastClr="FFFFFF"/>
                      </a:solidFill>
                      <a:ln w="381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4" name="Rectangle 13"/>
                      <xdr:cNvSpPr/>
                    </xdr:nvSpPr>
                    <xdr:spPr>
                      <a:xfrm>
                        <a:off x="18967450" y="3812940"/>
                        <a:ext cx="2335530" cy="1214755"/>
                      </a:xfrm>
                      <a:prstGeom prst="rect">
                        <a:avLst/>
                      </a:prstGeom>
                      <a:solidFill>
                        <a:sysClr val="window" lastClr="FFFFFF"/>
                      </a:solidFill>
                      <a:ln w="38100" cap="flat" cmpd="sng" algn="ctr">
                        <a:solidFill>
                          <a:srgbClr val="FFC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5" name="Rectangle 14"/>
                      <xdr:cNvSpPr/>
                    </xdr:nvSpPr>
                    <xdr:spPr>
                      <a:xfrm>
                        <a:off x="16383635" y="3816115"/>
                        <a:ext cx="2335530" cy="1214755"/>
                      </a:xfrm>
                      <a:prstGeom prst="rect">
                        <a:avLst/>
                      </a:prstGeom>
                      <a:solidFill>
                        <a:sysClr val="window" lastClr="FFFFFF"/>
                      </a:solidFill>
                      <a:ln w="38100" cap="flat" cmpd="sng" algn="ctr">
                        <a:solidFill>
                          <a:srgbClr val="00B05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6" name="Rectangle 15"/>
                      <xdr:cNvSpPr/>
                    </xdr:nvSpPr>
                    <xdr:spPr>
                      <a:xfrm>
                        <a:off x="18967450" y="2343550"/>
                        <a:ext cx="2335530" cy="1214755"/>
                      </a:xfrm>
                      <a:prstGeom prst="rect">
                        <a:avLst/>
                      </a:prstGeom>
                      <a:solidFill>
                        <a:sysClr val="window" lastClr="FFFFFF"/>
                      </a:solidFill>
                      <a:ln w="38100" cap="flat" cmpd="sng" algn="ctr">
                        <a:solidFill>
                          <a:srgbClr val="C0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17" name="Rectangle 16"/>
                      <xdr:cNvSpPr>
                        <a:spLocks noChangeArrowheads="1"/>
                      </xdr:cNvSpPr>
                    </xdr:nvSpPr>
                    <xdr:spPr bwMode="auto">
                      <a:xfrm>
                        <a:off x="17059275" y="3072211"/>
                        <a:ext cx="3683000" cy="1001713"/>
                      </a:xfrm>
                      <a:prstGeom prst="rect">
                        <a:avLst/>
                      </a:prstGeom>
                      <a:solidFill>
                        <a:srgbClr val="FFFFFF"/>
                      </a:solidFill>
                      <a:ln w="3175">
                        <a:solidFill>
                          <a:srgbClr val="00B050"/>
                        </a:solidFill>
                        <a:miter lim="800000"/>
                        <a:headEnd/>
                        <a:tailEnd/>
                      </a:ln>
                    </xdr:spPr>
                    <xdr:txBody>
                      <a:bodyPr vert="horz" wrap="square" lIns="91440" tIns="45720" rIns="91440" bIns="45720" numCol="1"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ysClr val="windowText" lastClr="000000"/>
                            </a:solidFill>
                            <a:effectLst/>
                            <a:latin typeface="Calibri" panose="020F0502020204030204" pitchFamily="34" charset="0"/>
                            <a:ea typeface="Times New Roman" panose="02020603050405020304" pitchFamily="18" charset="0"/>
                            <a:cs typeface="Times New Roman" panose="02020603050405020304" pitchFamily="18" charset="0"/>
                          </a:rPr>
                          <a:t>Calves &lt; 1yrs</a:t>
                        </a:r>
                      </a:p>
                      <a:p>
                        <a:pPr marL="0" marR="0" lvl="0" indent="0" algn="ctr" defTabSz="914400" rtl="0" eaLnBrk="0" fontAlgn="base" latinLnBrk="0" hangingPunct="0">
                          <a:lnSpc>
                            <a:spcPct val="100000"/>
                          </a:lnSpc>
                          <a:spcBef>
                            <a:spcPct val="0"/>
                          </a:spcBef>
                          <a:spcAft>
                            <a:spcPct val="0"/>
                          </a:spcAft>
                          <a:buClrTx/>
                          <a:buSzTx/>
                          <a:buFontTx/>
                          <a:buNone/>
                          <a:tabLst/>
                        </a:pPr>
                        <a:endParaRPr kumimoji="0" lang="en-GB" altLang="en-US" sz="1800" b="0" i="0" u="none" strike="noStrike" cap="none" normalizeH="0" baseline="0">
                          <a:ln>
                            <a:noFill/>
                          </a:ln>
                          <a:solidFill>
                            <a:sysClr val="windowText" lastClr="000000"/>
                          </a:solidFill>
                          <a:effectLst/>
                          <a:latin typeface="Arial" panose="020B0604020202020204" pitchFamily="34" charset="0"/>
                        </a:endParaRPr>
                      </a:p>
                    </xdr:txBody>
                  </xdr:sp>
                  <xdr:sp macro="" textlink="">
                    <xdr:nvSpPr>
                      <xdr:cNvPr id="18" name="Shape 9"/>
                      <xdr:cNvSpPr/>
                    </xdr:nvSpPr>
                    <xdr:spPr>
                      <a:xfrm rot="5400000">
                        <a:off x="20776141" y="1628774"/>
                        <a:ext cx="1111250"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9" name="TextBox 12"/>
                      <xdr:cNvSpPr txBox="1"/>
                    </xdr:nvSpPr>
                    <xdr:spPr>
                      <a:xfrm>
                        <a:off x="16131001" y="546796"/>
                        <a:ext cx="799157"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20" name="TextBox 18"/>
                      <xdr:cNvSpPr txBox="1"/>
                    </xdr:nvSpPr>
                    <xdr:spPr>
                      <a:xfrm>
                        <a:off x="17099056" y="278190"/>
                        <a:ext cx="808747" cy="749821"/>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a:p>
                        <a:r>
                          <a:rPr lang="en-GB" sz="1400"/>
                          <a:t>5 TL</a:t>
                        </a:r>
                      </a:p>
                    </xdr:txBody>
                  </xdr:sp>
                  <xdr:sp macro="" textlink="">
                    <xdr:nvSpPr>
                      <xdr:cNvPr id="21" name="TextBox 40"/>
                      <xdr:cNvSpPr txBox="1"/>
                    </xdr:nvSpPr>
                    <xdr:spPr>
                      <a:xfrm>
                        <a:off x="17917123" y="540808"/>
                        <a:ext cx="1191124"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22" name="Shape 8"/>
                      <xdr:cNvSpPr/>
                    </xdr:nvSpPr>
                    <xdr:spPr>
                      <a:xfrm rot="5400000">
                        <a:off x="15905161" y="1429279"/>
                        <a:ext cx="1238250" cy="299509"/>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23" name="Shape 8"/>
                      <xdr:cNvSpPr/>
                    </xdr:nvSpPr>
                    <xdr:spPr>
                      <a:xfrm rot="5400000">
                        <a:off x="16814798" y="1470025"/>
                        <a:ext cx="1190625" cy="284691"/>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24" name="Shape 8"/>
                      <xdr:cNvSpPr/>
                    </xdr:nvSpPr>
                    <xdr:spPr>
                      <a:xfrm rot="5400000">
                        <a:off x="17772061" y="1429279"/>
                        <a:ext cx="1314450" cy="299509"/>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25" name="TextBox 12"/>
                      <xdr:cNvSpPr txBox="1"/>
                    </xdr:nvSpPr>
                    <xdr:spPr>
                      <a:xfrm>
                        <a:off x="14911916" y="626533"/>
                        <a:ext cx="799155" cy="109414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a:t>
                        </a:r>
                        <a:r>
                          <a:rPr lang="en-GB" sz="1600" baseline="0"/>
                          <a:t> Use</a:t>
                        </a:r>
                      </a:p>
                      <a:p>
                        <a:r>
                          <a:rPr lang="en-GB" sz="1600" baseline="0"/>
                          <a:t>63.56 TJ</a:t>
                        </a:r>
                        <a:endParaRPr lang="en-GB" sz="1600"/>
                      </a:p>
                    </xdr:txBody>
                  </xdr:sp>
                  <xdr:cxnSp macro="">
                    <xdr:nvCxnSpPr>
                      <xdr:cNvPr id="26" name="Elbow Connector 25"/>
                      <xdr:cNvCxnSpPr>
                        <a:stCxn id="25" idx="2"/>
                      </xdr:cNvCxnSpPr>
                    </xdr:nvCxnSpPr>
                    <xdr:spPr>
                      <a:xfrm rot="16200000" flipH="1">
                        <a:off x="15537600" y="1494572"/>
                        <a:ext cx="553675" cy="1005887"/>
                      </a:xfrm>
                      <a:prstGeom prst="bentConnector2">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TextBox 12"/>
                      <xdr:cNvSpPr txBox="1"/>
                    </xdr:nvSpPr>
                    <xdr:spPr>
                      <a:xfrm>
                        <a:off x="27836169" y="525629"/>
                        <a:ext cx="809739"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28" name="TextBox 18"/>
                      <xdr:cNvSpPr txBox="1"/>
                    </xdr:nvSpPr>
                    <xdr:spPr>
                      <a:xfrm>
                        <a:off x="28775205" y="229809"/>
                        <a:ext cx="808748" cy="749821"/>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a:p>
                        <a:r>
                          <a:rPr lang="en-GB" sz="1400"/>
                          <a:t>13 TL</a:t>
                        </a:r>
                      </a:p>
                    </xdr:txBody>
                  </xdr:sp>
                  <xdr:sp macro="" textlink="">
                    <xdr:nvSpPr>
                      <xdr:cNvPr id="29" name="TextBox 40"/>
                      <xdr:cNvSpPr txBox="1"/>
                    </xdr:nvSpPr>
                    <xdr:spPr>
                      <a:xfrm>
                        <a:off x="29622291" y="519641"/>
                        <a:ext cx="1191123"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30" name="Shape 8"/>
                      <xdr:cNvSpPr/>
                    </xdr:nvSpPr>
                    <xdr:spPr>
                      <a:xfrm rot="5400000">
                        <a:off x="27615620" y="1413404"/>
                        <a:ext cx="1238250" cy="28892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31" name="Shape 8"/>
                      <xdr:cNvSpPr/>
                    </xdr:nvSpPr>
                    <xdr:spPr>
                      <a:xfrm rot="5400000">
                        <a:off x="28525257" y="1443566"/>
                        <a:ext cx="1190625" cy="29527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32" name="Shape 8"/>
                      <xdr:cNvSpPr/>
                    </xdr:nvSpPr>
                    <xdr:spPr>
                      <a:xfrm rot="5400000">
                        <a:off x="29482520" y="1413404"/>
                        <a:ext cx="1314450" cy="28892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33" name="TextBox 12"/>
                      <xdr:cNvSpPr txBox="1"/>
                    </xdr:nvSpPr>
                    <xdr:spPr>
                      <a:xfrm>
                        <a:off x="26617083" y="605366"/>
                        <a:ext cx="809739" cy="109414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 Use</a:t>
                        </a:r>
                      </a:p>
                      <a:p>
                        <a:r>
                          <a:rPr lang="en-GB" sz="1600"/>
                          <a:t>87.64 TJ</a:t>
                        </a:r>
                      </a:p>
                    </xdr:txBody>
                  </xdr:sp>
                  <xdr:cxnSp macro="">
                    <xdr:nvCxnSpPr>
                      <xdr:cNvPr id="34" name="Elbow Connector 33"/>
                      <xdr:cNvCxnSpPr>
                        <a:stCxn id="33" idx="2"/>
                      </xdr:cNvCxnSpPr>
                    </xdr:nvCxnSpPr>
                    <xdr:spPr>
                      <a:xfrm rot="16200000" flipH="1">
                        <a:off x="27250705" y="1470759"/>
                        <a:ext cx="553675" cy="1011180"/>
                      </a:xfrm>
                      <a:prstGeom prst="bentConnector2">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xdr:cNvSpPr txBox="1"/>
                    </xdr:nvSpPr>
                    <xdr:spPr>
                      <a:xfrm>
                        <a:off x="30876931" y="73631"/>
                        <a:ext cx="849028" cy="925284"/>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a:p>
                        <a:r>
                          <a:rPr lang="en-GB" sz="1600"/>
                          <a:t>116 Ghours</a:t>
                        </a:r>
                      </a:p>
                    </xdr:txBody>
                  </xdr:sp>
                  <xdr:sp macro="" textlink="">
                    <xdr:nvSpPr>
                      <xdr:cNvPr id="36" name="TextBox 35"/>
                      <xdr:cNvSpPr txBox="1"/>
                    </xdr:nvSpPr>
                    <xdr:spPr>
                      <a:xfrm>
                        <a:off x="31808368" y="81944"/>
                        <a:ext cx="931332" cy="895951"/>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 Fund</a:t>
                        </a:r>
                        <a:r>
                          <a:rPr lang="en-GB" sz="1600" baseline="0"/>
                          <a:t> </a:t>
                        </a:r>
                      </a:p>
                      <a:p>
                        <a:r>
                          <a:rPr lang="en-GB" sz="1600" baseline="0"/>
                          <a:t>629 Gg</a:t>
                        </a:r>
                        <a:endParaRPr lang="en-GB" sz="1600"/>
                      </a:p>
                    </xdr:txBody>
                  </xdr:sp>
                  <xdr:sp macro="" textlink="">
                    <xdr:nvSpPr>
                      <xdr:cNvPr id="37" name="TextBox 36"/>
                      <xdr:cNvSpPr txBox="1"/>
                    </xdr:nvSpPr>
                    <xdr:spPr>
                      <a:xfrm>
                        <a:off x="32944400" y="155272"/>
                        <a:ext cx="1157695" cy="870857"/>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p>
                      <a:p>
                        <a:r>
                          <a:rPr lang="en-GB" sz="1600" baseline="0"/>
                          <a:t>45008 km2</a:t>
                        </a:r>
                        <a:endParaRPr lang="en-GB" sz="1600"/>
                      </a:p>
                    </xdr:txBody>
                  </xdr:sp>
                  <xdr:sp macro="" textlink="">
                    <xdr:nvSpPr>
                      <xdr:cNvPr id="38" name="Shape 9"/>
                      <xdr:cNvSpPr/>
                    </xdr:nvSpPr>
                    <xdr:spPr>
                      <a:xfrm rot="5400000">
                        <a:off x="30601704" y="1497544"/>
                        <a:ext cx="1195919"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39" name="Shape 9"/>
                      <xdr:cNvSpPr/>
                    </xdr:nvSpPr>
                    <xdr:spPr>
                      <a:xfrm rot="5400000">
                        <a:off x="31527746" y="1566335"/>
                        <a:ext cx="1111250" cy="298449"/>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40" name="Shape 9"/>
                      <xdr:cNvSpPr/>
                    </xdr:nvSpPr>
                    <xdr:spPr>
                      <a:xfrm rot="5400000">
                        <a:off x="32501414" y="1566335"/>
                        <a:ext cx="1111250" cy="298450"/>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41" name="TextBox 40"/>
                      <xdr:cNvSpPr txBox="1"/>
                    </xdr:nvSpPr>
                    <xdr:spPr>
                      <a:xfrm>
                        <a:off x="16255999" y="5792258"/>
                        <a:ext cx="1500717" cy="3905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Green water </a:t>
                        </a:r>
                      </a:p>
                    </xdr:txBody>
                  </xdr:sp>
                  <xdr:sp macro="" textlink="">
                    <xdr:nvSpPr>
                      <xdr:cNvPr id="42" name="Shape 10"/>
                      <xdr:cNvSpPr/>
                    </xdr:nvSpPr>
                    <xdr:spPr>
                      <a:xfrm rot="-5400000">
                        <a:off x="16349133" y="5035550"/>
                        <a:ext cx="1076325" cy="360892"/>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43" name="Shape 11"/>
                      <xdr:cNvSpPr/>
                    </xdr:nvSpPr>
                    <xdr:spPr>
                      <a:xfrm rot="5400000">
                        <a:off x="18619818" y="4888442"/>
                        <a:ext cx="1076325" cy="29527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44" name="Shape 11"/>
                      <xdr:cNvSpPr/>
                    </xdr:nvSpPr>
                    <xdr:spPr>
                      <a:xfrm rot="5400000">
                        <a:off x="19671801" y="4886325"/>
                        <a:ext cx="1076325" cy="299509"/>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45" name="TextBox 44"/>
                      <xdr:cNvSpPr txBox="1"/>
                    </xdr:nvSpPr>
                    <xdr:spPr>
                      <a:xfrm>
                        <a:off x="18510250" y="5700541"/>
                        <a:ext cx="1177924" cy="83820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GHG</a:t>
                        </a:r>
                        <a:endParaRPr lang="en-GB" sz="1600" baseline="0"/>
                      </a:p>
                      <a:p>
                        <a:r>
                          <a:rPr lang="en-GB" sz="1600" baseline="0"/>
                          <a:t>(N2O, CH4, CO2)</a:t>
                        </a:r>
                        <a:endParaRPr lang="en-GB" sz="1600"/>
                      </a:p>
                    </xdr:txBody>
                  </xdr:sp>
                  <xdr:sp macro="" textlink="">
                    <xdr:nvSpPr>
                      <xdr:cNvPr id="46" name="TextBox 45"/>
                      <xdr:cNvSpPr txBox="1"/>
                    </xdr:nvSpPr>
                    <xdr:spPr>
                      <a:xfrm>
                        <a:off x="19792950" y="5729116"/>
                        <a:ext cx="1139826"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Antibiotics</a:t>
                        </a:r>
                      </a:p>
                    </xdr:txBody>
                  </xdr:sp>
                  <xdr:sp macro="" textlink="">
                    <xdr:nvSpPr>
                      <xdr:cNvPr id="47" name="Shape 11"/>
                      <xdr:cNvSpPr/>
                    </xdr:nvSpPr>
                    <xdr:spPr>
                      <a:xfrm rot="5400000">
                        <a:off x="20065471" y="5424845"/>
                        <a:ext cx="2057400" cy="284691"/>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48" name="TextBox 47"/>
                      <xdr:cNvSpPr txBox="1"/>
                    </xdr:nvSpPr>
                    <xdr:spPr>
                      <a:xfrm>
                        <a:off x="20576118" y="6624466"/>
                        <a:ext cx="1150407"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Manure</a:t>
                        </a:r>
                      </a:p>
                      <a:p>
                        <a:r>
                          <a:rPr lang="en-GB" sz="1600"/>
                          <a:t>8 TG</a:t>
                        </a:r>
                      </a:p>
                      <a:p>
                        <a:endParaRPr lang="en-GB" sz="1600"/>
                      </a:p>
                    </xdr:txBody>
                  </xdr:sp>
                  <xdr:sp macro="" textlink="">
                    <xdr:nvSpPr>
                      <xdr:cNvPr id="49" name="TextBox 48"/>
                      <xdr:cNvSpPr txBox="1"/>
                    </xdr:nvSpPr>
                    <xdr:spPr>
                      <a:xfrm>
                        <a:off x="27929417" y="5845174"/>
                        <a:ext cx="1511300" cy="390525"/>
                      </a:xfrm>
                      <a:prstGeom prst="rect">
                        <a:avLst/>
                      </a:prstGeom>
                      <a:solidFill>
                        <a:sysClr val="window" lastClr="FFFFFF"/>
                      </a:solidFill>
                      <a:ln w="9525" cmpd="sng">
                        <a:solidFill>
                          <a:srgbClr val="70AD47">
                            <a:lumMod val="75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Green water </a:t>
                        </a:r>
                      </a:p>
                    </xdr:txBody>
                  </xdr:sp>
                  <xdr:sp macro="" textlink="">
                    <xdr:nvSpPr>
                      <xdr:cNvPr id="50" name="Shape 10"/>
                      <xdr:cNvSpPr/>
                    </xdr:nvSpPr>
                    <xdr:spPr>
                      <a:xfrm rot="-5400000">
                        <a:off x="28027842" y="5083174"/>
                        <a:ext cx="1076325" cy="371475"/>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1" name="Shape 11"/>
                      <xdr:cNvSpPr/>
                    </xdr:nvSpPr>
                    <xdr:spPr>
                      <a:xfrm rot="5400000">
                        <a:off x="30298526" y="4946650"/>
                        <a:ext cx="1076325" cy="284692"/>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2" name="Shape 11"/>
                      <xdr:cNvSpPr/>
                    </xdr:nvSpPr>
                    <xdr:spPr>
                      <a:xfrm rot="5400000">
                        <a:off x="31350510" y="4944533"/>
                        <a:ext cx="1076325" cy="28892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3" name="TextBox 52"/>
                      <xdr:cNvSpPr txBox="1"/>
                    </xdr:nvSpPr>
                    <xdr:spPr>
                      <a:xfrm>
                        <a:off x="30183667" y="5753457"/>
                        <a:ext cx="1188508" cy="838200"/>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GHG</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(N2O, CH4, CO2)</a:t>
                        </a:r>
                      </a:p>
                    </xdr:txBody>
                  </xdr:sp>
                  <xdr:sp macro="" textlink="">
                    <xdr:nvSpPr>
                      <xdr:cNvPr id="54" name="TextBox 53"/>
                      <xdr:cNvSpPr txBox="1"/>
                    </xdr:nvSpPr>
                    <xdr:spPr>
                      <a:xfrm>
                        <a:off x="31466368" y="5782032"/>
                        <a:ext cx="1139825" cy="600075"/>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Antibiotics</a:t>
                        </a:r>
                      </a:p>
                    </xdr:txBody>
                  </xdr:sp>
                  <xdr:sp macro="" textlink="">
                    <xdr:nvSpPr>
                      <xdr:cNvPr id="55" name="Shape 11"/>
                      <xdr:cNvSpPr/>
                    </xdr:nvSpPr>
                    <xdr:spPr>
                      <a:xfrm rot="5400000">
                        <a:off x="31744180" y="5472469"/>
                        <a:ext cx="2057400" cy="29527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6" name="TextBox 55"/>
                      <xdr:cNvSpPr txBox="1"/>
                    </xdr:nvSpPr>
                    <xdr:spPr>
                      <a:xfrm>
                        <a:off x="32260118" y="6677382"/>
                        <a:ext cx="1139825" cy="600075"/>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Manure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10 TG</a:t>
                        </a:r>
                      </a:p>
                    </xdr:txBody>
                  </xdr:sp>
                  <xdr:sp macro="" textlink="">
                    <xdr:nvSpPr>
                      <xdr:cNvPr id="57" name="Right Arrow Callout 56"/>
                      <xdr:cNvSpPr/>
                    </xdr:nvSpPr>
                    <xdr:spPr>
                      <a:xfrm>
                        <a:off x="13942124" y="3181349"/>
                        <a:ext cx="1783655" cy="879034"/>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8" name="TextBox 57"/>
                      <xdr:cNvSpPr txBox="1"/>
                    </xdr:nvSpPr>
                    <xdr:spPr>
                      <a:xfrm>
                        <a:off x="13994850" y="3244851"/>
                        <a:ext cx="921808" cy="634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Imports calves</a:t>
                        </a:r>
                      </a:p>
                      <a:p>
                        <a:endParaRPr lang="en-GB" sz="1600"/>
                      </a:p>
                    </xdr:txBody>
                  </xdr:sp>
                  <xdr:sp macro="" textlink="">
                    <xdr:nvSpPr>
                      <xdr:cNvPr id="59" name="Right Arrow Callout 58"/>
                      <xdr:cNvSpPr/>
                    </xdr:nvSpPr>
                    <xdr:spPr>
                      <a:xfrm>
                        <a:off x="21616988" y="3000375"/>
                        <a:ext cx="2677043" cy="1059147"/>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0" name="TextBox 27"/>
                      <xdr:cNvSpPr txBox="1"/>
                    </xdr:nvSpPr>
                    <xdr:spPr>
                      <a:xfrm>
                        <a:off x="21795128" y="2990850"/>
                        <a:ext cx="1462020" cy="16264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Slaughtered calves</a:t>
                        </a:r>
                        <a:endParaRPr lang="en-GB" sz="1800" b="0" i="0" u="none" strike="noStrike" kern="1200">
                          <a:solidFill>
                            <a:schemeClr val="tx1"/>
                          </a:solidFill>
                          <a:effectLst/>
                          <a:latin typeface="+mn-lt"/>
                          <a:ea typeface="+mn-ea"/>
                          <a:cs typeface="+mn-cs"/>
                        </a:endParaRPr>
                      </a:p>
                      <a:p>
                        <a:r>
                          <a:rPr lang="en-GB" sz="1800" b="0" i="0" u="none" strike="noStrike" kern="1200">
                            <a:solidFill>
                              <a:schemeClr val="tx1"/>
                            </a:solidFill>
                            <a:effectLst/>
                            <a:latin typeface="+mn-lt"/>
                            <a:ea typeface="+mn-ea"/>
                            <a:cs typeface="+mn-cs"/>
                          </a:rPr>
                          <a:t>2.27</a:t>
                        </a:r>
                        <a:r>
                          <a:rPr lang="en-GB" sz="1800" b="0" i="0" u="none" strike="noStrike" kern="1200" baseline="0">
                            <a:solidFill>
                              <a:schemeClr val="tx1"/>
                            </a:solidFill>
                            <a:effectLst/>
                            <a:latin typeface="+mn-lt"/>
                            <a:ea typeface="+mn-ea"/>
                            <a:cs typeface="+mn-cs"/>
                          </a:rPr>
                          <a:t> Gg</a:t>
                        </a:r>
                        <a:endParaRPr lang="en-GB" sz="1600"/>
                      </a:p>
                      <a:p>
                        <a:endParaRPr lang="en-GB" sz="1600"/>
                      </a:p>
                      <a:p>
                        <a:endParaRPr lang="en-GB" sz="1600"/>
                      </a:p>
                      <a:p>
                        <a:endParaRPr lang="en-GB" sz="1600"/>
                      </a:p>
                    </xdr:txBody>
                  </xdr:sp>
                  <xdr:sp macro="" textlink="">
                    <xdr:nvSpPr>
                      <xdr:cNvPr id="61" name="Right Arrow Callout 60"/>
                      <xdr:cNvSpPr/>
                    </xdr:nvSpPr>
                    <xdr:spPr>
                      <a:xfrm>
                        <a:off x="21716999" y="4381500"/>
                        <a:ext cx="2273318" cy="862844"/>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2" name="TextBox 27"/>
                      <xdr:cNvSpPr txBox="1"/>
                    </xdr:nvSpPr>
                    <xdr:spPr>
                      <a:xfrm>
                        <a:off x="21798993" y="4346272"/>
                        <a:ext cx="1280474" cy="109414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Exports</a:t>
                        </a:r>
                        <a:r>
                          <a:rPr lang="en-GB" sz="1600" baseline="0"/>
                          <a:t> Calves</a:t>
                        </a:r>
                      </a:p>
                      <a:p>
                        <a:r>
                          <a:rPr lang="en-GB" sz="1600" baseline="0"/>
                          <a:t>0Gg</a:t>
                        </a:r>
                      </a:p>
                      <a:p>
                        <a:endParaRPr lang="en-GB" sz="1600"/>
                      </a:p>
                    </xdr:txBody>
                  </xdr:sp>
                  <xdr:sp macro="" textlink="">
                    <xdr:nvSpPr>
                      <xdr:cNvPr id="63" name="Right Arrow Callout 62"/>
                      <xdr:cNvSpPr/>
                    </xdr:nvSpPr>
                    <xdr:spPr>
                      <a:xfrm>
                        <a:off x="33137782" y="3196167"/>
                        <a:ext cx="2350392" cy="877962"/>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4" name="TextBox 27"/>
                      <xdr:cNvSpPr txBox="1"/>
                    </xdr:nvSpPr>
                    <xdr:spPr>
                      <a:xfrm>
                        <a:off x="33228234" y="3229108"/>
                        <a:ext cx="1300711" cy="8436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Exports</a:t>
                        </a:r>
                        <a:r>
                          <a:rPr lang="en-GB" sz="1600" baseline="0"/>
                          <a:t> Young Cattle</a:t>
                        </a:r>
                      </a:p>
                      <a:p>
                        <a:r>
                          <a:rPr lang="en-GB" sz="1600" baseline="0"/>
                          <a:t>0 Gg</a:t>
                        </a:r>
                        <a:endParaRPr lang="en-GB" sz="1600"/>
                      </a:p>
                    </xdr:txBody>
                  </xdr:sp>
                  <xdr:sp macro="" textlink="">
                    <xdr:nvSpPr>
                      <xdr:cNvPr id="65" name="Right Arrow Callout 64"/>
                      <xdr:cNvSpPr/>
                    </xdr:nvSpPr>
                    <xdr:spPr>
                      <a:xfrm>
                        <a:off x="25791583" y="2990850"/>
                        <a:ext cx="2222500" cy="8980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6" name="TextBox 20"/>
                      <xdr:cNvSpPr txBox="1"/>
                    </xdr:nvSpPr>
                    <xdr:spPr>
                      <a:xfrm>
                        <a:off x="25881541" y="3034844"/>
                        <a:ext cx="1281642" cy="8436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aseline="0"/>
                          <a:t>Imports Young Cattle</a:t>
                        </a:r>
                      </a:p>
                      <a:p>
                        <a:endParaRPr lang="en-GB" sz="1600" baseline="0"/>
                      </a:p>
                    </xdr:txBody>
                  </xdr:sp>
                </xdr:grpSp>
                <xdr:grpSp>
                  <xdr:nvGrpSpPr>
                    <xdr:cNvPr id="67" name="Group 66"/>
                    <xdr:cNvGrpSpPr/>
                  </xdr:nvGrpSpPr>
                  <xdr:grpSpPr>
                    <a:xfrm>
                      <a:off x="5963708" y="6252483"/>
                      <a:ext cx="7573358" cy="7261377"/>
                      <a:chOff x="2445544" y="2177898"/>
                      <a:chExt cx="7314822" cy="7261377"/>
                    </a:xfrm>
                  </xdr:grpSpPr>
                  <xdr:cxnSp macro="">
                    <xdr:nvCxnSpPr>
                      <xdr:cNvPr id="68" name="Elbow Connector 67"/>
                      <xdr:cNvCxnSpPr>
                        <a:stCxn id="86" idx="2"/>
                      </xdr:cNvCxnSpPr>
                    </xdr:nvCxnSpPr>
                    <xdr:spPr>
                      <a:xfrm rot="16200000" flipH="1">
                        <a:off x="3135526" y="3873769"/>
                        <a:ext cx="565826" cy="929652"/>
                      </a:xfrm>
                      <a:prstGeom prst="bentConnector2">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69" name="Group 68"/>
                      <xdr:cNvGrpSpPr/>
                    </xdr:nvGrpSpPr>
                    <xdr:grpSpPr>
                      <a:xfrm>
                        <a:off x="2445544" y="2177898"/>
                        <a:ext cx="7314822" cy="7261377"/>
                        <a:chOff x="2278856" y="2273148"/>
                        <a:chExt cx="7314822" cy="7261377"/>
                      </a:xfrm>
                    </xdr:grpSpPr>
                    <xdr:sp macro="" textlink="">
                      <xdr:nvSpPr>
                        <xdr:cNvPr id="70" name="Rectangle 69"/>
                        <xdr:cNvSpPr/>
                      </xdr:nvSpPr>
                      <xdr:spPr>
                        <a:xfrm>
                          <a:off x="3770408" y="4751136"/>
                          <a:ext cx="2352596" cy="1214755"/>
                        </a:xfrm>
                        <a:prstGeom prst="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71" name="Rectangle 70"/>
                        <xdr:cNvSpPr/>
                      </xdr:nvSpPr>
                      <xdr:spPr>
                        <a:xfrm>
                          <a:off x="6390251" y="6188776"/>
                          <a:ext cx="2352595" cy="121475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72" name="Rectangle 71"/>
                        <xdr:cNvSpPr/>
                      </xdr:nvSpPr>
                      <xdr:spPr>
                        <a:xfrm>
                          <a:off x="3796270" y="6201476"/>
                          <a:ext cx="2352596" cy="1214755"/>
                        </a:xfrm>
                        <a:prstGeom prst="rect">
                          <a:avLst/>
                        </a:prstGeom>
                        <a:solidFill>
                          <a:schemeClr val="bg1"/>
                        </a:solid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73" name="Rectangle 72"/>
                        <xdr:cNvSpPr/>
                      </xdr:nvSpPr>
                      <xdr:spPr>
                        <a:xfrm>
                          <a:off x="6399713" y="4757486"/>
                          <a:ext cx="2352595" cy="1214755"/>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74" name="Rectangle 73"/>
                        <xdr:cNvSpPr/>
                      </xdr:nvSpPr>
                      <xdr:spPr>
                        <a:xfrm>
                          <a:off x="4419114" y="5497261"/>
                          <a:ext cx="3706148" cy="1002030"/>
                        </a:xfrm>
                        <a:prstGeom prst="rect">
                          <a:avLst/>
                        </a:prstGeom>
                        <a:solidFill>
                          <a:schemeClr val="bg1"/>
                        </a:solid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75" name="TextBox 4"/>
                        <xdr:cNvSpPr txBox="1">
                          <a:spLocks noChangeArrowheads="1"/>
                        </xdr:cNvSpPr>
                      </xdr:nvSpPr>
                      <xdr:spPr bwMode="auto">
                        <a:xfrm>
                          <a:off x="5145510" y="5688839"/>
                          <a:ext cx="2508403" cy="3693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800" b="0" i="0" u="none" strike="noStrike" cap="none" normalizeH="0" baseline="0">
                              <a:ln>
                                <a:noFill/>
                              </a:ln>
                              <a:solidFill>
                                <a:srgbClr val="000000"/>
                              </a:solidFill>
                              <a:effectLst/>
                              <a:latin typeface="Calibri" panose="020F0502020204030204" pitchFamily="34" charset="0"/>
                              <a:ea typeface="Times New Roman" panose="02020603050405020304" pitchFamily="18" charset="0"/>
                              <a:cs typeface="Times New Roman" panose="02020603050405020304" pitchFamily="18" charset="0"/>
                            </a:rPr>
                            <a:t>Adult Animals</a:t>
                          </a:r>
                          <a:r>
                            <a:rPr kumimoji="0" lang="en-US" altLang="en-US" sz="1800" b="0" i="0" u="none" strike="noStrike" cap="none" normalizeH="0">
                              <a:ln>
                                <a:noFill/>
                              </a:ln>
                              <a:solidFill>
                                <a:srgbClr val="000000"/>
                              </a:solidFill>
                              <a:effectLst/>
                              <a:latin typeface="Calibri" panose="020F0502020204030204" pitchFamily="34" charset="0"/>
                              <a:ea typeface="Times New Roman" panose="02020603050405020304" pitchFamily="18" charset="0"/>
                              <a:cs typeface="Times New Roman" panose="02020603050405020304" pitchFamily="18" charset="0"/>
                            </a:rPr>
                            <a:t> &gt;= 2yrs</a:t>
                          </a:r>
                          <a:endParaRPr kumimoji="0" lang="en-US" altLang="en-US" sz="1800" b="0" i="0" u="none" strike="noStrike" cap="none" normalizeH="0" baseline="0">
                            <a:ln>
                              <a:noFill/>
                            </a:ln>
                            <a:solidFill>
                              <a:schemeClr val="tx1"/>
                            </a:solidFill>
                            <a:effectLst/>
                            <a:latin typeface="Arial" panose="020B0604020202020204" pitchFamily="34" charset="0"/>
                          </a:endParaRPr>
                        </a:p>
                      </xdr:txBody>
                    </xdr:sp>
                    <xdr:sp macro="" textlink="">
                      <xdr:nvSpPr>
                        <xdr:cNvPr id="76" name="TextBox 12"/>
                        <xdr:cNvSpPr txBox="1"/>
                      </xdr:nvSpPr>
                      <xdr:spPr>
                        <a:xfrm>
                          <a:off x="3506135" y="3006363"/>
                          <a:ext cx="810129"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77" name="TextBox 18"/>
                        <xdr:cNvSpPr txBox="1"/>
                      </xdr:nvSpPr>
                      <xdr:spPr>
                        <a:xfrm>
                          <a:off x="4405363" y="2694969"/>
                          <a:ext cx="949325" cy="7503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a:p>
                          <a:r>
                            <a:rPr lang="en-GB" sz="1400"/>
                            <a:t>17 TL</a:t>
                          </a:r>
                        </a:p>
                      </xdr:txBody>
                    </xdr:sp>
                    <xdr:sp macro="" textlink="">
                      <xdr:nvSpPr>
                        <xdr:cNvPr id="78" name="TextBox 40"/>
                        <xdr:cNvSpPr txBox="1"/>
                      </xdr:nvSpPr>
                      <xdr:spPr>
                        <a:xfrm>
                          <a:off x="5464289" y="2871861"/>
                          <a:ext cx="1046489" cy="476250"/>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79" name="TextBox 78"/>
                        <xdr:cNvSpPr txBox="1"/>
                      </xdr:nvSpPr>
                      <xdr:spPr>
                        <a:xfrm>
                          <a:off x="8609998" y="2463647"/>
                          <a:ext cx="983680" cy="878947"/>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p>
                        <a:p>
                          <a:r>
                            <a:rPr lang="en-GB" sz="1600" baseline="0"/>
                            <a:t>89920</a:t>
                          </a:r>
                        </a:p>
                        <a:p>
                          <a:r>
                            <a:rPr lang="en-GB" sz="1600" baseline="0"/>
                            <a:t>km2</a:t>
                          </a:r>
                          <a:endParaRPr lang="en-GB" sz="1600"/>
                        </a:p>
                      </xdr:txBody>
                    </xdr:sp>
                    <xdr:sp macro="" textlink="">
                      <xdr:nvSpPr>
                        <xdr:cNvPr id="80" name="TextBox 79"/>
                        <xdr:cNvSpPr txBox="1"/>
                      </xdr:nvSpPr>
                      <xdr:spPr>
                        <a:xfrm>
                          <a:off x="6606268" y="2273148"/>
                          <a:ext cx="808117" cy="1039172"/>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a:p>
                          <a:r>
                            <a:rPr lang="en-GB" sz="1600"/>
                            <a:t>232</a:t>
                          </a:r>
                        </a:p>
                        <a:p>
                          <a:r>
                            <a:rPr lang="en-GB" sz="1600"/>
                            <a:t>Ghours</a:t>
                          </a:r>
                        </a:p>
                      </xdr:txBody>
                    </xdr:sp>
                    <xdr:sp macro="" textlink="">
                      <xdr:nvSpPr>
                        <xdr:cNvPr id="81" name="TextBox 80"/>
                        <xdr:cNvSpPr txBox="1"/>
                      </xdr:nvSpPr>
                      <xdr:spPr>
                        <a:xfrm>
                          <a:off x="7548068" y="2370666"/>
                          <a:ext cx="952037" cy="857248"/>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a:t>
                          </a:r>
                          <a:r>
                            <a:rPr lang="en-GB" sz="1600" baseline="0"/>
                            <a:t> Fund </a:t>
                          </a:r>
                        </a:p>
                        <a:p>
                          <a:r>
                            <a:rPr lang="en-GB" sz="1600" b="0" i="0" u="none" strike="noStrike" baseline="0">
                              <a:solidFill>
                                <a:schemeClr val="dk1"/>
                              </a:solidFill>
                              <a:effectLst/>
                              <a:latin typeface="+mn-lt"/>
                              <a:ea typeface="+mn-ea"/>
                              <a:cs typeface="+mn-cs"/>
                            </a:rPr>
                            <a:t>1.26 Tg</a:t>
                          </a:r>
                        </a:p>
                        <a:p>
                          <a:endParaRPr lang="en-GB" sz="1100" b="0" i="0" u="none" strike="noStrike" baseline="0">
                            <a:solidFill>
                              <a:schemeClr val="dk1"/>
                            </a:solidFill>
                            <a:effectLst/>
                            <a:latin typeface="+mn-lt"/>
                            <a:ea typeface="+mn-ea"/>
                            <a:cs typeface="+mn-cs"/>
                          </a:endParaRPr>
                        </a:p>
                        <a:p>
                          <a:endParaRPr lang="en-GB" sz="1600"/>
                        </a:p>
                      </xdr:txBody>
                    </xdr:sp>
                    <xdr:sp macro="" textlink="">
                      <xdr:nvSpPr>
                        <xdr:cNvPr id="82" name="TextBox 81"/>
                        <xdr:cNvSpPr txBox="1"/>
                      </xdr:nvSpPr>
                      <xdr:spPr>
                        <a:xfrm>
                          <a:off x="3512556" y="7915275"/>
                          <a:ext cx="1515177" cy="3905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Green water </a:t>
                          </a:r>
                        </a:p>
                      </xdr:txBody>
                    </xdr:sp>
                    <xdr:sp macro="" textlink="">
                      <xdr:nvSpPr>
                        <xdr:cNvPr id="83" name="TextBox 82"/>
                        <xdr:cNvSpPr txBox="1"/>
                      </xdr:nvSpPr>
                      <xdr:spPr>
                        <a:xfrm>
                          <a:off x="5932647" y="8010525"/>
                          <a:ext cx="1186389" cy="83820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GHG</a:t>
                          </a:r>
                          <a:endParaRPr lang="en-GB" sz="1600" baseline="0"/>
                        </a:p>
                        <a:p>
                          <a:r>
                            <a:rPr lang="en-GB" sz="1600" baseline="0"/>
                            <a:t>(N2O, CH4, CO2)</a:t>
                          </a:r>
                          <a:endParaRPr lang="en-GB" sz="1600"/>
                        </a:p>
                      </xdr:txBody>
                    </xdr:sp>
                    <xdr:sp macro="" textlink="">
                      <xdr:nvSpPr>
                        <xdr:cNvPr id="84" name="TextBox 83"/>
                        <xdr:cNvSpPr txBox="1"/>
                      </xdr:nvSpPr>
                      <xdr:spPr>
                        <a:xfrm>
                          <a:off x="7223118" y="8039100"/>
                          <a:ext cx="1148544"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Antibiotics</a:t>
                          </a:r>
                        </a:p>
                      </xdr:txBody>
                    </xdr:sp>
                    <xdr:sp macro="" textlink="">
                      <xdr:nvSpPr>
                        <xdr:cNvPr id="85" name="TextBox 84"/>
                        <xdr:cNvSpPr txBox="1"/>
                      </xdr:nvSpPr>
                      <xdr:spPr>
                        <a:xfrm>
                          <a:off x="8017365" y="8934450"/>
                          <a:ext cx="1148542"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Manure</a:t>
                          </a:r>
                        </a:p>
                        <a:p>
                          <a:r>
                            <a:rPr lang="en-GB" sz="1600"/>
                            <a:t>20 Tg</a:t>
                          </a:r>
                        </a:p>
                      </xdr:txBody>
                    </xdr:sp>
                    <xdr:sp macro="" textlink="">
                      <xdr:nvSpPr>
                        <xdr:cNvPr id="86" name="TextBox 12"/>
                        <xdr:cNvSpPr txBox="1"/>
                      </xdr:nvSpPr>
                      <xdr:spPr>
                        <a:xfrm>
                          <a:off x="2278856" y="3086099"/>
                          <a:ext cx="1016137" cy="1064833"/>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 Use</a:t>
                          </a:r>
                        </a:p>
                        <a:p>
                          <a:r>
                            <a:rPr lang="en-GB" sz="1800" b="0" i="0" u="none" strike="noStrike" kern="1200">
                              <a:solidFill>
                                <a:schemeClr val="dk1"/>
                              </a:solidFill>
                              <a:effectLst/>
                              <a:latin typeface="+mn-lt"/>
                              <a:ea typeface="+mn-ea"/>
                              <a:cs typeface="+mn-cs"/>
                            </a:rPr>
                            <a:t>24579</a:t>
                          </a:r>
                          <a:r>
                            <a:rPr lang="en-GB" sz="1800" b="0" i="0" u="none" strike="noStrike" kern="1200" baseline="0">
                              <a:solidFill>
                                <a:schemeClr val="dk1"/>
                              </a:solidFill>
                              <a:effectLst/>
                              <a:latin typeface="+mn-lt"/>
                              <a:ea typeface="+mn-ea"/>
                              <a:cs typeface="+mn-cs"/>
                            </a:rPr>
                            <a:t> TJ</a:t>
                          </a:r>
                          <a:r>
                            <a:rPr lang="en-GB" sz="1600"/>
                            <a:t> </a:t>
                          </a:r>
                        </a:p>
                        <a:p>
                          <a:endParaRPr lang="en-GB" sz="1600"/>
                        </a:p>
                      </xdr:txBody>
                    </xdr:sp>
                    <xdr:sp macro="" textlink="">
                      <xdr:nvSpPr>
                        <xdr:cNvPr id="87" name="Shape 8"/>
                        <xdr:cNvSpPr/>
                      </xdr:nvSpPr>
                      <xdr:spPr>
                        <a:xfrm rot="5400000">
                          <a:off x="3377333" y="3897386"/>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88" name="Shape 8"/>
                        <xdr:cNvSpPr/>
                      </xdr:nvSpPr>
                      <xdr:spPr>
                        <a:xfrm rot="5400000">
                          <a:off x="4115520" y="3933104"/>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89" name="Shape 8"/>
                        <xdr:cNvSpPr/>
                      </xdr:nvSpPr>
                      <xdr:spPr>
                        <a:xfrm rot="5400000">
                          <a:off x="5139457" y="3885480"/>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90" name="Shape 8"/>
                        <xdr:cNvSpPr/>
                      </xdr:nvSpPr>
                      <xdr:spPr>
                        <a:xfrm rot="5400000">
                          <a:off x="6330083" y="3968823"/>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91" name="Shape 8"/>
                        <xdr:cNvSpPr/>
                      </xdr:nvSpPr>
                      <xdr:spPr>
                        <a:xfrm rot="5400000">
                          <a:off x="7214443" y="3905891"/>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92" name="Shape 8"/>
                        <xdr:cNvSpPr/>
                      </xdr:nvSpPr>
                      <xdr:spPr>
                        <a:xfrm rot="5400000">
                          <a:off x="8008864" y="3980730"/>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93" name="Shape 10"/>
                        <xdr:cNvSpPr/>
                      </xdr:nvSpPr>
                      <xdr:spPr>
                        <a:xfrm rot="16200000">
                          <a:off x="3655876" y="7178812"/>
                          <a:ext cx="1076325" cy="363265"/>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lvl="0" indent="0" algn="l">
                            <a:spcBef>
                              <a:spcPts val="0"/>
                            </a:spcBef>
                            <a:buNone/>
                          </a:pPr>
                          <a:endParaRPr sz="1100"/>
                        </a:p>
                      </xdr:txBody>
                    </xdr:sp>
                    <xdr:pic>
                      <xdr:nvPicPr>
                        <xdr:cNvPr id="94" name="Picture 93"/>
                        <xdr:cNvPicPr>
                          <a:picLocks noChangeAspect="1"/>
                        </xdr:cNvPicPr>
                      </xdr:nvPicPr>
                      <xdr:blipFill>
                        <a:blip xmlns:r="http://schemas.openxmlformats.org/officeDocument/2006/relationships" r:embed="rId1"/>
                        <a:stretch>
                          <a:fillRect/>
                        </a:stretch>
                      </xdr:blipFill>
                      <xdr:spPr>
                        <a:xfrm>
                          <a:off x="6512719" y="6881812"/>
                          <a:ext cx="298730" cy="1079086"/>
                        </a:xfrm>
                        <a:prstGeom prst="rect">
                          <a:avLst/>
                        </a:prstGeom>
                      </xdr:spPr>
                    </xdr:pic>
                    <xdr:pic>
                      <xdr:nvPicPr>
                        <xdr:cNvPr id="95" name="Picture 94"/>
                        <xdr:cNvPicPr>
                          <a:picLocks noChangeAspect="1"/>
                        </xdr:cNvPicPr>
                      </xdr:nvPicPr>
                      <xdr:blipFill>
                        <a:blip xmlns:r="http://schemas.openxmlformats.org/officeDocument/2006/relationships" r:embed="rId1"/>
                        <a:stretch>
                          <a:fillRect/>
                        </a:stretch>
                      </xdr:blipFill>
                      <xdr:spPr>
                        <a:xfrm>
                          <a:off x="8498682" y="7141367"/>
                          <a:ext cx="298730" cy="1764507"/>
                        </a:xfrm>
                        <a:prstGeom prst="rect">
                          <a:avLst/>
                        </a:prstGeom>
                      </xdr:spPr>
                    </xdr:pic>
                    <xdr:pic>
                      <xdr:nvPicPr>
                        <xdr:cNvPr id="96" name="Picture 95"/>
                        <xdr:cNvPicPr>
                          <a:picLocks noChangeAspect="1"/>
                        </xdr:cNvPicPr>
                      </xdr:nvPicPr>
                      <xdr:blipFill>
                        <a:blip xmlns:r="http://schemas.openxmlformats.org/officeDocument/2006/relationships" r:embed="rId1"/>
                        <a:stretch>
                          <a:fillRect/>
                        </a:stretch>
                      </xdr:blipFill>
                      <xdr:spPr>
                        <a:xfrm>
                          <a:off x="7686675" y="6972299"/>
                          <a:ext cx="298730" cy="1079086"/>
                        </a:xfrm>
                        <a:prstGeom prst="rect">
                          <a:avLst/>
                        </a:prstGeom>
                      </xdr:spPr>
                    </xdr:pic>
                  </xdr:grpSp>
                </xdr:grpSp>
                <xdr:sp macro="" textlink="">
                  <xdr:nvSpPr>
                    <xdr:cNvPr id="103" name="TextBox 12"/>
                    <xdr:cNvSpPr txBox="1"/>
                  </xdr:nvSpPr>
                  <xdr:spPr>
                    <a:xfrm>
                      <a:off x="3702050" y="9221107"/>
                      <a:ext cx="1296457" cy="63500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Import</a:t>
                      </a:r>
                      <a:r>
                        <a:rPr lang="en-GB" sz="1600" baseline="0"/>
                        <a:t>s Adult Animals</a:t>
                      </a:r>
                    </a:p>
                    <a:p>
                      <a:r>
                        <a:rPr lang="en-GB" sz="1600" baseline="0"/>
                        <a:t>21.3 Gg</a:t>
                      </a:r>
                    </a:p>
                    <a:p>
                      <a:endParaRPr lang="en-GB" sz="1600"/>
                    </a:p>
                  </xdr:txBody>
                </xdr:sp>
                <xdr:sp macro="" textlink="">
                  <xdr:nvSpPr>
                    <xdr:cNvPr id="107" name="TextBox 12"/>
                    <xdr:cNvSpPr txBox="1"/>
                  </xdr:nvSpPr>
                  <xdr:spPr>
                    <a:xfrm>
                      <a:off x="13133916" y="9567333"/>
                      <a:ext cx="1333500" cy="85725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Exports Adult Animals</a:t>
                      </a:r>
                    </a:p>
                    <a:p>
                      <a:r>
                        <a:rPr lang="en-GB" sz="1600"/>
                        <a:t>0 Gg</a:t>
                      </a:r>
                    </a:p>
                    <a:p>
                      <a:endParaRPr lang="en-GB" sz="1600"/>
                    </a:p>
                  </xdr:txBody>
                </xdr:sp>
                <xdr:sp macro="" textlink="">
                  <xdr:nvSpPr>
                    <xdr:cNvPr id="113" name="Right Arrow Callout 112"/>
                    <xdr:cNvSpPr/>
                  </xdr:nvSpPr>
                  <xdr:spPr>
                    <a:xfrm>
                      <a:off x="12906375" y="10747375"/>
                      <a:ext cx="2254249"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solidFill>
                            <a:sysClr val="windowText" lastClr="000000"/>
                          </a:solidFill>
                        </a:rPr>
                        <a:t>Slaughtered</a:t>
                      </a:r>
                      <a:r>
                        <a:rPr lang="en-GB" sz="1600" baseline="0">
                          <a:solidFill>
                            <a:sysClr val="windowText" lastClr="000000"/>
                          </a:solidFill>
                        </a:rPr>
                        <a:t>  Adult Animals</a:t>
                      </a:r>
                    </a:p>
                    <a:p>
                      <a:pPr algn="ctr"/>
                      <a:r>
                        <a:rPr lang="en-GB" sz="1600">
                          <a:solidFill>
                            <a:sysClr val="windowText" lastClr="000000"/>
                          </a:solidFill>
                        </a:rPr>
                        <a:t>877.81 Gg</a:t>
                      </a:r>
                    </a:p>
                  </xdr:txBody>
                </xdr:sp>
                <xdr:sp macro="" textlink="">
                  <xdr:nvSpPr>
                    <xdr:cNvPr id="110" name="Rectángulo 762"/>
                    <xdr:cNvSpPr/>
                  </xdr:nvSpPr>
                  <xdr:spPr>
                    <a:xfrm>
                      <a:off x="7782377" y="5619750"/>
                      <a:ext cx="930260"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a:p>
                      <a:pPr algn="ctr"/>
                      <a:r>
                        <a:rPr lang="en-GB" sz="1100"/>
                        <a:t>13.5 TG</a:t>
                      </a:r>
                    </a:p>
                    <a:p>
                      <a:pPr algn="ctr"/>
                      <a:endParaRPr lang="en-GB" sz="1100"/>
                    </a:p>
                  </xdr:txBody>
                </xdr:sp>
                <xdr:sp macro="" textlink="">
                  <xdr:nvSpPr>
                    <xdr:cNvPr id="112" name="Rectángulo 762"/>
                    <xdr:cNvSpPr/>
                  </xdr:nvSpPr>
                  <xdr:spPr>
                    <a:xfrm>
                      <a:off x="6468987" y="5604955"/>
                      <a:ext cx="1145028"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a:p>
                      <a:pPr algn="ctr"/>
                      <a:r>
                        <a:rPr lang="en-GB" sz="1100"/>
                        <a:t>0 Tg</a:t>
                      </a:r>
                    </a:p>
                  </xdr:txBody>
                </xdr:sp>
                <xdr:cxnSp macro="">
                  <xdr:nvCxnSpPr>
                    <xdr:cNvPr id="117" name="Straight Arrow Connector 91"/>
                    <xdr:cNvCxnSpPr>
                      <a:stCxn id="110" idx="2"/>
                    </xdr:cNvCxnSpPr>
                  </xdr:nvCxnSpPr>
                  <xdr:spPr>
                    <a:xfrm flipH="1">
                      <a:off x="7754857" y="6063732"/>
                      <a:ext cx="493400"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Rectángulo 762"/>
                    <xdr:cNvSpPr/>
                  </xdr:nvSpPr>
                  <xdr:spPr>
                    <a:xfrm>
                      <a:off x="5791201" y="6226058"/>
                      <a:ext cx="1252075" cy="761210"/>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a:p>
                      <a:pPr algn="ctr"/>
                      <a:r>
                        <a:rPr lang="en-GB" sz="1100"/>
                        <a:t>0.56 Tg</a:t>
                      </a:r>
                    </a:p>
                  </xdr:txBody>
                </xdr:sp>
                <xdr:cxnSp macro="">
                  <xdr:nvCxnSpPr>
                    <xdr:cNvPr id="119" name="Rechte verbindingslijn met pijl 70"/>
                    <xdr:cNvCxnSpPr>
                      <a:stCxn id="118" idx="3"/>
                    </xdr:cNvCxnSpPr>
                  </xdr:nvCxnSpPr>
                  <xdr:spPr>
                    <a:xfrm>
                      <a:off x="7043276" y="6606663"/>
                      <a:ext cx="234601" cy="2914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1" name="Straight Arrow Connector 90"/>
                    <xdr:cNvCxnSpPr/>
                  </xdr:nvCxnSpPr>
                  <xdr:spPr>
                    <a:xfrm>
                      <a:off x="7254875" y="6127750"/>
                      <a:ext cx="334049"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xnSp macro="">
              <xdr:nvCxnSpPr>
                <xdr:cNvPr id="132" name="Straight Arrow Connector 90"/>
                <xdr:cNvCxnSpPr/>
              </xdr:nvCxnSpPr>
              <xdr:spPr>
                <a:xfrm>
                  <a:off x="30241976" y="6004435"/>
                  <a:ext cx="334049"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3" name="Rectángulo 762"/>
                <xdr:cNvSpPr/>
              </xdr:nvSpPr>
              <xdr:spPr>
                <a:xfrm>
                  <a:off x="30817002" y="5523420"/>
                  <a:ext cx="930260"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a:p>
                  <a:pPr algn="ctr"/>
                  <a:r>
                    <a:rPr lang="en-GB" sz="1100"/>
                    <a:t>3.77 Tg</a:t>
                  </a:r>
                </a:p>
              </xdr:txBody>
            </xdr:sp>
            <xdr:sp macro="" textlink="">
              <xdr:nvSpPr>
                <xdr:cNvPr id="134" name="Rectángulo 762"/>
                <xdr:cNvSpPr/>
              </xdr:nvSpPr>
              <xdr:spPr>
                <a:xfrm>
                  <a:off x="29503612" y="5508625"/>
                  <a:ext cx="1145028"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a:p>
                  <a:pPr algn="ctr"/>
                  <a:r>
                    <a:rPr lang="en-GB" sz="1100"/>
                    <a:t>0Tg</a:t>
                  </a:r>
                </a:p>
              </xdr:txBody>
            </xdr:sp>
            <xdr:cxnSp macro="">
              <xdr:nvCxnSpPr>
                <xdr:cNvPr id="135" name="Straight Arrow Connector 91"/>
                <xdr:cNvCxnSpPr>
                  <a:stCxn id="133" idx="2"/>
                </xdr:cNvCxnSpPr>
              </xdr:nvCxnSpPr>
              <xdr:spPr>
                <a:xfrm flipH="1">
                  <a:off x="30789482" y="5967402"/>
                  <a:ext cx="493400"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Rectángulo 762"/>
                <xdr:cNvSpPr/>
              </xdr:nvSpPr>
              <xdr:spPr>
                <a:xfrm>
                  <a:off x="28619456" y="6129727"/>
                  <a:ext cx="1138328" cy="653434"/>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a:p>
                  <a:pPr algn="ctr"/>
                  <a:r>
                    <a:rPr lang="en-GB" sz="1100"/>
                    <a:t>0.16 Tg</a:t>
                  </a:r>
                </a:p>
              </xdr:txBody>
            </xdr:sp>
            <xdr:cxnSp macro="">
              <xdr:nvCxnSpPr>
                <xdr:cNvPr id="137" name="Rechte verbindingslijn met pijl 70"/>
                <xdr:cNvCxnSpPr/>
              </xdr:nvCxnSpPr>
              <xdr:spPr>
                <a:xfrm>
                  <a:off x="29840333" y="6538232"/>
                  <a:ext cx="488046" cy="317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8" name="Rectángulo 762"/>
          <xdr:cNvSpPr/>
        </xdr:nvSpPr>
        <xdr:spPr>
          <a:xfrm>
            <a:off x="19607893" y="5660571"/>
            <a:ext cx="904357"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Milk</a:t>
            </a:r>
            <a:r>
              <a:rPr lang="en-GB" sz="1100" baseline="0"/>
              <a:t> Powder</a:t>
            </a:r>
          </a:p>
          <a:p>
            <a:pPr algn="ctr"/>
            <a:r>
              <a:rPr lang="en-GB" sz="1100" baseline="0"/>
              <a:t>1.52 Tg</a:t>
            </a:r>
            <a:endParaRPr lang="en-GB" sz="1100"/>
          </a:p>
        </xdr:txBody>
      </xdr:sp>
      <xdr:cxnSp macro="">
        <xdr:nvCxnSpPr>
          <xdr:cNvPr id="139" name="Straight Arrow Connector 91"/>
          <xdr:cNvCxnSpPr/>
        </xdr:nvCxnSpPr>
        <xdr:spPr>
          <a:xfrm flipH="1">
            <a:off x="18845892" y="6177643"/>
            <a:ext cx="925286" cy="813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188233</xdr:colOff>
      <xdr:row>86</xdr:row>
      <xdr:rowOff>176892</xdr:rowOff>
    </xdr:from>
    <xdr:to>
      <xdr:col>42</xdr:col>
      <xdr:colOff>598713</xdr:colOff>
      <xdr:row>90</xdr:row>
      <xdr:rowOff>163286</xdr:rowOff>
    </xdr:to>
    <xdr:sp macro="" textlink="">
      <xdr:nvSpPr>
        <xdr:cNvPr id="115" name="TextBox 114"/>
        <xdr:cNvSpPr txBox="1"/>
      </xdr:nvSpPr>
      <xdr:spPr>
        <a:xfrm>
          <a:off x="16108590" y="16559892"/>
          <a:ext cx="10207623" cy="7483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a:t>Replacement Animals</a:t>
          </a:r>
        </a:p>
        <a:p>
          <a:pPr algn="ctr"/>
          <a:r>
            <a:rPr lang="en-GB" sz="1800"/>
            <a:t>101Gg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222250</xdr:colOff>
      <xdr:row>19</xdr:row>
      <xdr:rowOff>95250</xdr:rowOff>
    </xdr:from>
    <xdr:to>
      <xdr:col>64</xdr:col>
      <xdr:colOff>221191</xdr:colOff>
      <xdr:row>80</xdr:row>
      <xdr:rowOff>63500</xdr:rowOff>
    </xdr:to>
    <xdr:grpSp>
      <xdr:nvGrpSpPr>
        <xdr:cNvPr id="133" name="Group 132"/>
        <xdr:cNvGrpSpPr/>
      </xdr:nvGrpSpPr>
      <xdr:grpSpPr>
        <a:xfrm>
          <a:off x="4445000" y="3714750"/>
          <a:ext cx="34384191" cy="11588750"/>
          <a:chOff x="4445000" y="3714750"/>
          <a:chExt cx="34384191" cy="11588750"/>
        </a:xfrm>
      </xdr:grpSpPr>
      <xdr:grpSp>
        <xdr:nvGrpSpPr>
          <xdr:cNvPr id="2" name="Group 1"/>
          <xdr:cNvGrpSpPr/>
        </xdr:nvGrpSpPr>
        <xdr:grpSpPr>
          <a:xfrm>
            <a:off x="4445000" y="3714750"/>
            <a:ext cx="34384191" cy="11588750"/>
            <a:chOff x="3391958" y="5365750"/>
            <a:chExt cx="34739791" cy="11588750"/>
          </a:xfrm>
        </xdr:grpSpPr>
        <xdr:sp macro="" textlink="">
          <xdr:nvSpPr>
            <xdr:cNvPr id="3" name="U-Turn Arrow 15"/>
            <xdr:cNvSpPr/>
          </xdr:nvSpPr>
          <xdr:spPr>
            <a:xfrm rot="10800000">
              <a:off x="9207500" y="14128750"/>
              <a:ext cx="26060065" cy="2825750"/>
            </a:xfrm>
            <a:prstGeom prst="uturnArrow">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chemeClr val="tx1"/>
                </a:solidFill>
              </a:endParaRPr>
            </a:p>
          </xdr:txBody>
        </xdr:sp>
        <xdr:grpSp>
          <xdr:nvGrpSpPr>
            <xdr:cNvPr id="4" name="Group 3"/>
            <xdr:cNvGrpSpPr/>
          </xdr:nvGrpSpPr>
          <xdr:grpSpPr>
            <a:xfrm>
              <a:off x="3391958" y="5365750"/>
              <a:ext cx="34739791" cy="8165399"/>
              <a:chOff x="3391958" y="5365750"/>
              <a:chExt cx="34739791" cy="8165399"/>
            </a:xfrm>
          </xdr:grpSpPr>
          <xdr:sp macro="" textlink="">
            <xdr:nvSpPr>
              <xdr:cNvPr id="5" name="Right Arrow Callout 4"/>
              <xdr:cNvSpPr/>
            </xdr:nvSpPr>
            <xdr:spPr>
              <a:xfrm>
                <a:off x="35877500" y="10445750"/>
                <a:ext cx="2254249"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solidFill>
                      <a:sysClr val="windowText" lastClr="000000"/>
                    </a:solidFill>
                  </a:rPr>
                  <a:t>Slaughtered</a:t>
                </a:r>
                <a:r>
                  <a:rPr lang="en-GB" sz="1600" baseline="0">
                    <a:solidFill>
                      <a:sysClr val="windowText" lastClr="000000"/>
                    </a:solidFill>
                  </a:rPr>
                  <a:t>  Young Cattle</a:t>
                </a:r>
                <a:r>
                  <a:rPr lang="en-GB" sz="1800" b="0" i="0" u="none" strike="noStrike" kern="1200" baseline="0">
                    <a:solidFill>
                      <a:schemeClr val="lt1"/>
                    </a:solidFill>
                    <a:effectLst/>
                    <a:latin typeface="+mn-lt"/>
                    <a:ea typeface="+mn-ea"/>
                    <a:cs typeface="+mn-cs"/>
                  </a:rPr>
                  <a:t> </a:t>
                </a:r>
                <a:endParaRPr lang="en-GB" sz="1600">
                  <a:solidFill>
                    <a:sysClr val="windowText" lastClr="000000"/>
                  </a:solidFill>
                </a:endParaRPr>
              </a:p>
            </xdr:txBody>
          </xdr:sp>
          <xdr:grpSp>
            <xdr:nvGrpSpPr>
              <xdr:cNvPr id="6" name="Group 5"/>
              <xdr:cNvGrpSpPr/>
            </xdr:nvGrpSpPr>
            <xdr:grpSpPr>
              <a:xfrm>
                <a:off x="3391958" y="5365750"/>
                <a:ext cx="34640852" cy="8165399"/>
                <a:chOff x="3487208" y="5508625"/>
                <a:chExt cx="34640852" cy="8165399"/>
              </a:xfrm>
            </xdr:grpSpPr>
            <xdr:grpSp>
              <xdr:nvGrpSpPr>
                <xdr:cNvPr id="7" name="Group 6"/>
                <xdr:cNvGrpSpPr/>
              </xdr:nvGrpSpPr>
              <xdr:grpSpPr>
                <a:xfrm>
                  <a:off x="3487208" y="5582730"/>
                  <a:ext cx="34640852" cy="8091294"/>
                  <a:chOff x="3487208" y="5582730"/>
                  <a:chExt cx="34640852" cy="8091294"/>
                </a:xfrm>
              </xdr:grpSpPr>
              <xdr:cxnSp macro="">
                <xdr:nvCxnSpPr>
                  <xdr:cNvPr id="14" name="Straight Arrow Connector 90"/>
                  <xdr:cNvCxnSpPr/>
                </xdr:nvCxnSpPr>
                <xdr:spPr>
                  <a:xfrm>
                    <a:off x="18107126" y="6078540"/>
                    <a:ext cx="318174"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ángulo 762"/>
                  <xdr:cNvSpPr/>
                </xdr:nvSpPr>
                <xdr:spPr>
                  <a:xfrm>
                    <a:off x="18682152" y="5597525"/>
                    <a:ext cx="914385"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sp macro="" textlink="">
                <xdr:nvSpPr>
                  <xdr:cNvPr id="16" name="Rectángulo 762"/>
                  <xdr:cNvSpPr/>
                </xdr:nvSpPr>
                <xdr:spPr>
                  <a:xfrm>
                    <a:off x="17368762" y="5582730"/>
                    <a:ext cx="1129153"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xdr:txBody>
              </xdr:sp>
              <xdr:cxnSp macro="">
                <xdr:nvCxnSpPr>
                  <xdr:cNvPr id="17" name="Straight Arrow Connector 91"/>
                  <xdr:cNvCxnSpPr>
                    <a:stCxn id="15" idx="2"/>
                  </xdr:cNvCxnSpPr>
                </xdr:nvCxnSpPr>
                <xdr:spPr>
                  <a:xfrm flipH="1">
                    <a:off x="18654632" y="6041507"/>
                    <a:ext cx="477525"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Rectángulo 762"/>
                  <xdr:cNvSpPr/>
                </xdr:nvSpPr>
                <xdr:spPr>
                  <a:xfrm>
                    <a:off x="16773525" y="6231047"/>
                    <a:ext cx="1054074" cy="505811"/>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xdr:txBody>
              </xdr:sp>
              <xdr:cxnSp macro="">
                <xdr:nvCxnSpPr>
                  <xdr:cNvPr id="19" name="Rechte verbindingslijn met pijl 70"/>
                  <xdr:cNvCxnSpPr>
                    <a:stCxn id="18" idx="3"/>
                  </xdr:cNvCxnSpPr>
                </xdr:nvCxnSpPr>
                <xdr:spPr>
                  <a:xfrm>
                    <a:off x="17827599" y="6481764"/>
                    <a:ext cx="432601" cy="421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20" name="Group 19"/>
                  <xdr:cNvGrpSpPr/>
                </xdr:nvGrpSpPr>
                <xdr:grpSpPr>
                  <a:xfrm>
                    <a:off x="3487208" y="5604955"/>
                    <a:ext cx="34640852" cy="8069069"/>
                    <a:chOff x="3487208" y="5604955"/>
                    <a:chExt cx="34640852" cy="8069069"/>
                  </a:xfrm>
                </xdr:grpSpPr>
                <xdr:sp macro="" textlink="">
                  <xdr:nvSpPr>
                    <xdr:cNvPr id="21" name="Right Arrow Callout 20"/>
                    <xdr:cNvSpPr/>
                  </xdr:nvSpPr>
                  <xdr:spPr>
                    <a:xfrm>
                      <a:off x="13012208" y="9461500"/>
                      <a:ext cx="2238374"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2" name="Right Arrow Callout 21"/>
                    <xdr:cNvSpPr/>
                  </xdr:nvSpPr>
                  <xdr:spPr>
                    <a:xfrm>
                      <a:off x="3487208" y="9271000"/>
                      <a:ext cx="2410150" cy="1004974"/>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23" name="Group 22"/>
                    <xdr:cNvGrpSpPr/>
                  </xdr:nvGrpSpPr>
                  <xdr:grpSpPr>
                    <a:xfrm>
                      <a:off x="15804619" y="6614583"/>
                      <a:ext cx="22323441" cy="7059441"/>
                      <a:chOff x="13942124" y="218016"/>
                      <a:chExt cx="21419217" cy="7059441"/>
                    </a:xfrm>
                  </xdr:grpSpPr>
                  <xdr:sp macro="" textlink="">
                    <xdr:nvSpPr>
                      <xdr:cNvPr id="63" name="Rectangle 62"/>
                      <xdr:cNvSpPr/>
                    </xdr:nvSpPr>
                    <xdr:spPr>
                      <a:xfrm>
                        <a:off x="28025725" y="2314504"/>
                        <a:ext cx="2335530" cy="1214755"/>
                      </a:xfrm>
                      <a:prstGeom prst="rect">
                        <a:avLst/>
                      </a:prstGeom>
                      <a:solidFill>
                        <a:sysClr val="window" lastClr="FFFFFF"/>
                      </a:solidFill>
                      <a:ln w="381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4" name="Rectangle 63"/>
                      <xdr:cNvSpPr/>
                    </xdr:nvSpPr>
                    <xdr:spPr>
                      <a:xfrm>
                        <a:off x="30635575" y="3790244"/>
                        <a:ext cx="2335530" cy="1214755"/>
                      </a:xfrm>
                      <a:prstGeom prst="rect">
                        <a:avLst/>
                      </a:prstGeom>
                      <a:solidFill>
                        <a:sysClr val="window" lastClr="FFFFFF"/>
                      </a:solidFill>
                      <a:ln w="38100" cap="flat" cmpd="sng" algn="ctr">
                        <a:solidFill>
                          <a:srgbClr val="FFC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5" name="Rectangle 64"/>
                      <xdr:cNvSpPr/>
                    </xdr:nvSpPr>
                    <xdr:spPr>
                      <a:xfrm>
                        <a:off x="28051760" y="3793419"/>
                        <a:ext cx="2335530" cy="1214755"/>
                      </a:xfrm>
                      <a:prstGeom prst="rect">
                        <a:avLst/>
                      </a:prstGeom>
                      <a:solidFill>
                        <a:sysClr val="window" lastClr="FFFFFF"/>
                      </a:solidFill>
                      <a:ln w="38100" cap="flat" cmpd="sng" algn="ctr">
                        <a:solidFill>
                          <a:srgbClr val="00B05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6" name="Rectangle 65"/>
                      <xdr:cNvSpPr/>
                    </xdr:nvSpPr>
                    <xdr:spPr>
                      <a:xfrm>
                        <a:off x="30635575" y="2320854"/>
                        <a:ext cx="2335530" cy="1214755"/>
                      </a:xfrm>
                      <a:prstGeom prst="rect">
                        <a:avLst/>
                      </a:prstGeom>
                      <a:solidFill>
                        <a:sysClr val="window" lastClr="FFFFFF"/>
                      </a:solidFill>
                      <a:ln w="38100" cap="flat" cmpd="sng" algn="ctr">
                        <a:solidFill>
                          <a:srgbClr val="C0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7" name="Rectangle 66"/>
                      <xdr:cNvSpPr>
                        <a:spLocks noChangeArrowheads="1"/>
                      </xdr:cNvSpPr>
                    </xdr:nvSpPr>
                    <xdr:spPr bwMode="auto">
                      <a:xfrm>
                        <a:off x="28794075" y="3001890"/>
                        <a:ext cx="3683000" cy="1001713"/>
                      </a:xfrm>
                      <a:prstGeom prst="rect">
                        <a:avLst/>
                      </a:prstGeom>
                      <a:solidFill>
                        <a:srgbClr val="FFFFFF"/>
                      </a:solidFill>
                      <a:ln w="3175">
                        <a:solidFill>
                          <a:srgbClr val="00B050"/>
                        </a:solidFill>
                        <a:miter lim="800000"/>
                        <a:headEnd/>
                        <a:tailEnd/>
                      </a:ln>
                    </xdr:spPr>
                    <xdr:txBody>
                      <a:bodyPr vert="horz" wrap="square" lIns="91440" tIns="45720" rIns="91440" bIns="45720" numCol="1" anchor="ctr"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chemeClr val="tx1"/>
                            </a:solidFill>
                            <a:effectLst/>
                            <a:latin typeface="Calibri" panose="020F0502020204030204" pitchFamily="34" charset="0"/>
                            <a:cs typeface="Times New Roman" panose="02020603050405020304" pitchFamily="18" charset="0"/>
                          </a:rPr>
                          <a:t> Young Cattle</a:t>
                        </a:r>
                      </a:p>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chemeClr val="tx1"/>
                            </a:solidFill>
                            <a:effectLst/>
                            <a:latin typeface="Calibri" panose="020F0502020204030204" pitchFamily="34" charset="0"/>
                            <a:cs typeface="Times New Roman" panose="02020603050405020304" pitchFamily="18" charset="0"/>
                          </a:rPr>
                          <a:t>1-2yrs</a:t>
                        </a:r>
                        <a:endParaRPr kumimoji="0" lang="en-GB" altLang="en-US" sz="1800" b="0" i="0" u="none" strike="noStrike" cap="none" normalizeH="0" baseline="0">
                          <a:ln>
                            <a:noFill/>
                          </a:ln>
                          <a:solidFill>
                            <a:schemeClr val="tx1"/>
                          </a:solidFill>
                          <a:effectLst/>
                          <a:latin typeface="Arial" panose="020B0604020202020204" pitchFamily="34" charset="0"/>
                        </a:endParaRPr>
                      </a:p>
                    </xdr:txBody>
                  </xdr:sp>
                  <xdr:sp macro="" textlink="">
                    <xdr:nvSpPr>
                      <xdr:cNvPr id="68" name="TextBox 67"/>
                      <xdr:cNvSpPr txBox="1"/>
                    </xdr:nvSpPr>
                    <xdr:spPr>
                      <a:xfrm>
                        <a:off x="19174734" y="513965"/>
                        <a:ext cx="764388" cy="529552"/>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a:p>
                        <a:r>
                          <a:rPr lang="en-GB" sz="1300" b="1" i="0" u="none" strike="noStrike">
                            <a:solidFill>
                              <a:schemeClr val="dk1"/>
                            </a:solidFill>
                            <a:effectLst/>
                            <a:latin typeface="+mn-lt"/>
                            <a:ea typeface="+mn-ea"/>
                            <a:cs typeface="+mn-cs"/>
                          </a:rPr>
                          <a:t> </a:t>
                        </a:r>
                        <a:r>
                          <a:rPr lang="en-GB" sz="1300"/>
                          <a:t> </a:t>
                        </a:r>
                      </a:p>
                    </xdr:txBody>
                  </xdr:sp>
                  <xdr:sp macro="" textlink="">
                    <xdr:nvSpPr>
                      <xdr:cNvPr id="69" name="TextBox 68"/>
                      <xdr:cNvSpPr txBox="1"/>
                    </xdr:nvSpPr>
                    <xdr:spPr>
                      <a:xfrm>
                        <a:off x="20008954" y="281518"/>
                        <a:ext cx="920750" cy="889598"/>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 Fund</a:t>
                        </a:r>
                        <a:r>
                          <a:rPr lang="en-GB" sz="1100" b="0" i="0" u="none" strike="noStrike" baseline="0">
                            <a:solidFill>
                              <a:schemeClr val="dk1"/>
                            </a:solidFill>
                            <a:effectLst/>
                            <a:latin typeface="+mn-lt"/>
                            <a:ea typeface="+mn-ea"/>
                            <a:cs typeface="+mn-cs"/>
                          </a:rPr>
                          <a:t> </a:t>
                        </a:r>
                      </a:p>
                    </xdr:txBody>
                  </xdr:sp>
                  <xdr:sp macro="" textlink="">
                    <xdr:nvSpPr>
                      <xdr:cNvPr id="70" name="TextBox 69"/>
                      <xdr:cNvSpPr txBox="1"/>
                    </xdr:nvSpPr>
                    <xdr:spPr>
                      <a:xfrm>
                        <a:off x="21013208" y="534458"/>
                        <a:ext cx="716492" cy="619546"/>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endParaRPr lang="en-GB" sz="1600"/>
                      </a:p>
                    </xdr:txBody>
                  </xdr:sp>
                  <xdr:sp macro="" textlink="">
                    <xdr:nvSpPr>
                      <xdr:cNvPr id="71" name="Shape 9"/>
                      <xdr:cNvSpPr/>
                    </xdr:nvSpPr>
                    <xdr:spPr>
                      <a:xfrm rot="5400000">
                        <a:off x="18871139" y="1565275"/>
                        <a:ext cx="1195919"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72" name="Shape 9"/>
                      <xdr:cNvSpPr/>
                    </xdr:nvSpPr>
                    <xdr:spPr>
                      <a:xfrm rot="5400000">
                        <a:off x="19802473" y="1628774"/>
                        <a:ext cx="1111250"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73" name="Rectangle 72"/>
                      <xdr:cNvSpPr/>
                    </xdr:nvSpPr>
                    <xdr:spPr>
                      <a:xfrm>
                        <a:off x="16357600" y="2337200"/>
                        <a:ext cx="2346113" cy="1214755"/>
                      </a:xfrm>
                      <a:prstGeom prst="rect">
                        <a:avLst/>
                      </a:prstGeom>
                      <a:solidFill>
                        <a:sysClr val="window" lastClr="FFFFFF"/>
                      </a:solidFill>
                      <a:ln w="381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74" name="Rectangle 73"/>
                      <xdr:cNvSpPr/>
                    </xdr:nvSpPr>
                    <xdr:spPr>
                      <a:xfrm>
                        <a:off x="18967450" y="3812940"/>
                        <a:ext cx="2335530" cy="1214755"/>
                      </a:xfrm>
                      <a:prstGeom prst="rect">
                        <a:avLst/>
                      </a:prstGeom>
                      <a:solidFill>
                        <a:sysClr val="window" lastClr="FFFFFF"/>
                      </a:solidFill>
                      <a:ln w="38100" cap="flat" cmpd="sng" algn="ctr">
                        <a:solidFill>
                          <a:srgbClr val="FFC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75" name="Rectangle 74"/>
                      <xdr:cNvSpPr/>
                    </xdr:nvSpPr>
                    <xdr:spPr>
                      <a:xfrm>
                        <a:off x="16383635" y="3816115"/>
                        <a:ext cx="2335530" cy="1214755"/>
                      </a:xfrm>
                      <a:prstGeom prst="rect">
                        <a:avLst/>
                      </a:prstGeom>
                      <a:solidFill>
                        <a:sysClr val="window" lastClr="FFFFFF"/>
                      </a:solidFill>
                      <a:ln w="38100" cap="flat" cmpd="sng" algn="ctr">
                        <a:solidFill>
                          <a:srgbClr val="00B05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76" name="Rectangle 75"/>
                      <xdr:cNvSpPr/>
                    </xdr:nvSpPr>
                    <xdr:spPr>
                      <a:xfrm>
                        <a:off x="18967450" y="2343550"/>
                        <a:ext cx="2335530" cy="1214755"/>
                      </a:xfrm>
                      <a:prstGeom prst="rect">
                        <a:avLst/>
                      </a:prstGeom>
                      <a:solidFill>
                        <a:sysClr val="window" lastClr="FFFFFF"/>
                      </a:solidFill>
                      <a:ln w="38100" cap="flat" cmpd="sng" algn="ctr">
                        <a:solidFill>
                          <a:srgbClr val="C0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endParaRPr lang="en-GB"/>
                      </a:p>
                    </xdr:txBody>
                  </xdr:sp>
                  <xdr:sp macro="" textlink="">
                    <xdr:nvSpPr>
                      <xdr:cNvPr id="77" name="Rectangle 76"/>
                      <xdr:cNvSpPr>
                        <a:spLocks noChangeArrowheads="1"/>
                      </xdr:cNvSpPr>
                    </xdr:nvSpPr>
                    <xdr:spPr bwMode="auto">
                      <a:xfrm>
                        <a:off x="17059275" y="3072211"/>
                        <a:ext cx="3683000" cy="1001713"/>
                      </a:xfrm>
                      <a:prstGeom prst="rect">
                        <a:avLst/>
                      </a:prstGeom>
                      <a:solidFill>
                        <a:srgbClr val="FFFFFF"/>
                      </a:solidFill>
                      <a:ln w="3175">
                        <a:solidFill>
                          <a:srgbClr val="00B050"/>
                        </a:solidFill>
                        <a:miter lim="800000"/>
                        <a:headEnd/>
                        <a:tailEnd/>
                      </a:ln>
                    </xdr:spPr>
                    <xdr:txBody>
                      <a:bodyPr vert="horz" wrap="square" lIns="91440" tIns="45720" rIns="91440" bIns="45720" numCol="1"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ctr" defTabSz="914400" rtl="0" eaLnBrk="0" fontAlgn="base" latinLnBrk="0" hangingPunct="0">
                          <a:lnSpc>
                            <a:spcPct val="100000"/>
                          </a:lnSpc>
                          <a:spcBef>
                            <a:spcPct val="0"/>
                          </a:spcBef>
                          <a:spcAft>
                            <a:spcPct val="0"/>
                          </a:spcAft>
                          <a:buClrTx/>
                          <a:buSzTx/>
                          <a:buFontTx/>
                          <a:buNone/>
                          <a:tabLst/>
                        </a:pPr>
                        <a:r>
                          <a:rPr kumimoji="0" lang="en-GB" altLang="en-US" sz="1800" b="0" i="0" u="none" strike="noStrike" cap="none" normalizeH="0" baseline="0">
                            <a:ln>
                              <a:noFill/>
                            </a:ln>
                            <a:solidFill>
                              <a:sysClr val="windowText" lastClr="000000"/>
                            </a:solidFill>
                            <a:effectLst/>
                            <a:latin typeface="Calibri" panose="020F0502020204030204" pitchFamily="34" charset="0"/>
                            <a:ea typeface="Times New Roman" panose="02020603050405020304" pitchFamily="18" charset="0"/>
                            <a:cs typeface="Times New Roman" panose="02020603050405020304" pitchFamily="18" charset="0"/>
                          </a:rPr>
                          <a:t>Calves &lt; 1yrs</a:t>
                        </a:r>
                      </a:p>
                      <a:p>
                        <a:pPr marL="0" marR="0" lvl="0" indent="0" algn="ctr" defTabSz="914400" rtl="0" eaLnBrk="0" fontAlgn="base" latinLnBrk="0" hangingPunct="0">
                          <a:lnSpc>
                            <a:spcPct val="100000"/>
                          </a:lnSpc>
                          <a:spcBef>
                            <a:spcPct val="0"/>
                          </a:spcBef>
                          <a:spcAft>
                            <a:spcPct val="0"/>
                          </a:spcAft>
                          <a:buClrTx/>
                          <a:buSzTx/>
                          <a:buFontTx/>
                          <a:buNone/>
                          <a:tabLst/>
                        </a:pPr>
                        <a:endParaRPr kumimoji="0" lang="en-GB" altLang="en-US" sz="1800" b="0" i="0" u="none" strike="noStrike" cap="none" normalizeH="0" baseline="0">
                          <a:ln>
                            <a:noFill/>
                          </a:ln>
                          <a:solidFill>
                            <a:sysClr val="windowText" lastClr="000000"/>
                          </a:solidFill>
                          <a:effectLst/>
                          <a:latin typeface="Arial" panose="020B0604020202020204" pitchFamily="34" charset="0"/>
                        </a:endParaRPr>
                      </a:p>
                    </xdr:txBody>
                  </xdr:sp>
                  <xdr:sp macro="" textlink="">
                    <xdr:nvSpPr>
                      <xdr:cNvPr id="78" name="Shape 9"/>
                      <xdr:cNvSpPr/>
                    </xdr:nvSpPr>
                    <xdr:spPr>
                      <a:xfrm rot="5400000">
                        <a:off x="20776141" y="1628774"/>
                        <a:ext cx="1111250"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79" name="TextBox 12"/>
                      <xdr:cNvSpPr txBox="1"/>
                    </xdr:nvSpPr>
                    <xdr:spPr>
                      <a:xfrm>
                        <a:off x="16131001" y="546796"/>
                        <a:ext cx="799157"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80" name="TextBox 18"/>
                      <xdr:cNvSpPr txBox="1"/>
                    </xdr:nvSpPr>
                    <xdr:spPr>
                      <a:xfrm>
                        <a:off x="17019852" y="455083"/>
                        <a:ext cx="808747" cy="530658"/>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xdr:txBody>
                  </xdr:sp>
                  <xdr:sp macro="" textlink="">
                    <xdr:nvSpPr>
                      <xdr:cNvPr id="81" name="TextBox 40"/>
                      <xdr:cNvSpPr txBox="1"/>
                    </xdr:nvSpPr>
                    <xdr:spPr>
                      <a:xfrm>
                        <a:off x="17917123" y="540808"/>
                        <a:ext cx="1191124"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82" name="Shape 8"/>
                      <xdr:cNvSpPr/>
                    </xdr:nvSpPr>
                    <xdr:spPr>
                      <a:xfrm rot="5400000">
                        <a:off x="15905161" y="1429279"/>
                        <a:ext cx="1238250" cy="299509"/>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83" name="Shape 8"/>
                      <xdr:cNvSpPr/>
                    </xdr:nvSpPr>
                    <xdr:spPr>
                      <a:xfrm rot="5400000">
                        <a:off x="16814798" y="1470025"/>
                        <a:ext cx="1190625" cy="284691"/>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84" name="Shape 8"/>
                      <xdr:cNvSpPr/>
                    </xdr:nvSpPr>
                    <xdr:spPr>
                      <a:xfrm rot="5400000">
                        <a:off x="17772061" y="1429279"/>
                        <a:ext cx="1314450" cy="299509"/>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85" name="TextBox 12"/>
                      <xdr:cNvSpPr txBox="1"/>
                    </xdr:nvSpPr>
                    <xdr:spPr>
                      <a:xfrm>
                        <a:off x="14911916" y="626533"/>
                        <a:ext cx="799155" cy="5932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a:t>
                        </a:r>
                        <a:r>
                          <a:rPr lang="en-GB" sz="1600" baseline="0"/>
                          <a:t> Use</a:t>
                        </a:r>
                        <a:endParaRPr lang="en-GB" sz="1600"/>
                      </a:p>
                    </xdr:txBody>
                  </xdr:sp>
                  <xdr:cxnSp macro="">
                    <xdr:nvCxnSpPr>
                      <xdr:cNvPr id="86" name="Elbow Connector 85"/>
                      <xdr:cNvCxnSpPr>
                        <a:stCxn id="85" idx="2"/>
                      </xdr:cNvCxnSpPr>
                    </xdr:nvCxnSpPr>
                    <xdr:spPr>
                      <a:xfrm rot="16200000" flipH="1">
                        <a:off x="15287146" y="1244118"/>
                        <a:ext cx="1054583" cy="1005888"/>
                      </a:xfrm>
                      <a:prstGeom prst="bentConnector3">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 name="TextBox 12"/>
                      <xdr:cNvSpPr txBox="1"/>
                    </xdr:nvSpPr>
                    <xdr:spPr>
                      <a:xfrm>
                        <a:off x="27836169" y="525629"/>
                        <a:ext cx="809739"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88" name="TextBox 18"/>
                      <xdr:cNvSpPr txBox="1"/>
                    </xdr:nvSpPr>
                    <xdr:spPr>
                      <a:xfrm>
                        <a:off x="28735602" y="433916"/>
                        <a:ext cx="808748" cy="530658"/>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xdr:txBody>
                  </xdr:sp>
                  <xdr:sp macro="" textlink="">
                    <xdr:nvSpPr>
                      <xdr:cNvPr id="89" name="TextBox 40"/>
                      <xdr:cNvSpPr txBox="1"/>
                    </xdr:nvSpPr>
                    <xdr:spPr>
                      <a:xfrm>
                        <a:off x="29622291" y="519641"/>
                        <a:ext cx="1191123"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90" name="Shape 8"/>
                      <xdr:cNvSpPr/>
                    </xdr:nvSpPr>
                    <xdr:spPr>
                      <a:xfrm rot="5400000">
                        <a:off x="27615620" y="1413404"/>
                        <a:ext cx="1238250" cy="28892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91" name="Shape 8"/>
                      <xdr:cNvSpPr/>
                    </xdr:nvSpPr>
                    <xdr:spPr>
                      <a:xfrm rot="5400000">
                        <a:off x="28525257" y="1443566"/>
                        <a:ext cx="1190625" cy="29527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92" name="Shape 8"/>
                      <xdr:cNvSpPr/>
                    </xdr:nvSpPr>
                    <xdr:spPr>
                      <a:xfrm rot="5400000">
                        <a:off x="29482520" y="1413404"/>
                        <a:ext cx="1314450" cy="288925"/>
                      </a:xfrm>
                      <a:prstGeom prst="stripedRightArrow">
                        <a:avLst>
                          <a:gd name="adj1" fmla="val 32857"/>
                          <a:gd name="adj2" fmla="val 64286"/>
                        </a:avLst>
                      </a:prstGeom>
                      <a:solidFill>
                        <a:schemeClr val="accent5">
                          <a:lumMod val="75000"/>
                        </a:schemeClr>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93" name="TextBox 12"/>
                      <xdr:cNvSpPr txBox="1"/>
                    </xdr:nvSpPr>
                    <xdr:spPr>
                      <a:xfrm>
                        <a:off x="26617083" y="605366"/>
                        <a:ext cx="809739" cy="5932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 Use</a:t>
                        </a:r>
                      </a:p>
                    </xdr:txBody>
                  </xdr:sp>
                  <xdr:cxnSp macro="">
                    <xdr:nvCxnSpPr>
                      <xdr:cNvPr id="94" name="Elbow Connector 93"/>
                      <xdr:cNvCxnSpPr>
                        <a:stCxn id="93" idx="2"/>
                      </xdr:cNvCxnSpPr>
                    </xdr:nvCxnSpPr>
                    <xdr:spPr>
                      <a:xfrm rot="16200000" flipH="1">
                        <a:off x="27000250" y="1220307"/>
                        <a:ext cx="1054585" cy="1011180"/>
                      </a:xfrm>
                      <a:prstGeom prst="bentConnector3">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TextBox 94"/>
                      <xdr:cNvSpPr txBox="1"/>
                    </xdr:nvSpPr>
                    <xdr:spPr>
                      <a:xfrm>
                        <a:off x="30903333" y="558801"/>
                        <a:ext cx="641351" cy="442533"/>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xdr:txBody>
                  </xdr:sp>
                  <xdr:sp macro="" textlink="">
                    <xdr:nvSpPr>
                      <xdr:cNvPr id="96" name="TextBox 95"/>
                      <xdr:cNvSpPr txBox="1"/>
                    </xdr:nvSpPr>
                    <xdr:spPr>
                      <a:xfrm>
                        <a:off x="31636758" y="218016"/>
                        <a:ext cx="931332" cy="895951"/>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 Fund</a:t>
                        </a:r>
                        <a:r>
                          <a:rPr lang="en-GB" sz="1600" baseline="0"/>
                          <a:t> </a:t>
                        </a:r>
                      </a:p>
                    </xdr:txBody>
                  </xdr:sp>
                  <xdr:sp macro="" textlink="">
                    <xdr:nvSpPr>
                      <xdr:cNvPr id="97" name="TextBox 96"/>
                      <xdr:cNvSpPr txBox="1"/>
                    </xdr:nvSpPr>
                    <xdr:spPr>
                      <a:xfrm>
                        <a:off x="32733189" y="466727"/>
                        <a:ext cx="727076" cy="619546"/>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endParaRPr lang="en-GB" sz="1600"/>
                      </a:p>
                    </xdr:txBody>
                  </xdr:sp>
                  <xdr:sp macro="" textlink="">
                    <xdr:nvSpPr>
                      <xdr:cNvPr id="98" name="Shape 9"/>
                      <xdr:cNvSpPr/>
                    </xdr:nvSpPr>
                    <xdr:spPr>
                      <a:xfrm rot="5400000">
                        <a:off x="30601704" y="1497544"/>
                        <a:ext cx="1195919" cy="309033"/>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99" name="Shape 9"/>
                      <xdr:cNvSpPr/>
                    </xdr:nvSpPr>
                    <xdr:spPr>
                      <a:xfrm rot="5400000">
                        <a:off x="31527746" y="1566335"/>
                        <a:ext cx="1111250" cy="298449"/>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00" name="Shape 9"/>
                      <xdr:cNvSpPr/>
                    </xdr:nvSpPr>
                    <xdr:spPr>
                      <a:xfrm rot="5400000">
                        <a:off x="32501414" y="1566335"/>
                        <a:ext cx="1111250" cy="298450"/>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01" name="TextBox 100"/>
                      <xdr:cNvSpPr txBox="1"/>
                    </xdr:nvSpPr>
                    <xdr:spPr>
                      <a:xfrm>
                        <a:off x="16255999" y="5792258"/>
                        <a:ext cx="1500717" cy="3905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Green water </a:t>
                        </a:r>
                      </a:p>
                    </xdr:txBody>
                  </xdr:sp>
                  <xdr:sp macro="" textlink="">
                    <xdr:nvSpPr>
                      <xdr:cNvPr id="102" name="Shape 10"/>
                      <xdr:cNvSpPr/>
                    </xdr:nvSpPr>
                    <xdr:spPr>
                      <a:xfrm rot="-5400000">
                        <a:off x="16349133" y="5035550"/>
                        <a:ext cx="1076325" cy="360892"/>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03" name="Shape 11"/>
                      <xdr:cNvSpPr/>
                    </xdr:nvSpPr>
                    <xdr:spPr>
                      <a:xfrm rot="5400000">
                        <a:off x="18619818" y="4888442"/>
                        <a:ext cx="1076325" cy="29527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04" name="Shape 11"/>
                      <xdr:cNvSpPr/>
                    </xdr:nvSpPr>
                    <xdr:spPr>
                      <a:xfrm rot="5400000">
                        <a:off x="19671801" y="4886325"/>
                        <a:ext cx="1076325" cy="299509"/>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05" name="TextBox 104"/>
                      <xdr:cNvSpPr txBox="1"/>
                    </xdr:nvSpPr>
                    <xdr:spPr>
                      <a:xfrm>
                        <a:off x="18510250" y="5700541"/>
                        <a:ext cx="1177924" cy="83820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GHG</a:t>
                        </a:r>
                        <a:endParaRPr lang="en-GB" sz="1600" baseline="0"/>
                      </a:p>
                      <a:p>
                        <a:r>
                          <a:rPr lang="en-GB" sz="1600" baseline="0"/>
                          <a:t>(N2O, CH4, CO2)</a:t>
                        </a:r>
                        <a:endParaRPr lang="en-GB" sz="1600"/>
                      </a:p>
                    </xdr:txBody>
                  </xdr:sp>
                  <xdr:sp macro="" textlink="">
                    <xdr:nvSpPr>
                      <xdr:cNvPr id="106" name="TextBox 105"/>
                      <xdr:cNvSpPr txBox="1"/>
                    </xdr:nvSpPr>
                    <xdr:spPr>
                      <a:xfrm>
                        <a:off x="19792950" y="5729116"/>
                        <a:ext cx="1139826"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Antibiotics</a:t>
                        </a:r>
                      </a:p>
                    </xdr:txBody>
                  </xdr:sp>
                  <xdr:sp macro="" textlink="">
                    <xdr:nvSpPr>
                      <xdr:cNvPr id="107" name="Shape 11"/>
                      <xdr:cNvSpPr/>
                    </xdr:nvSpPr>
                    <xdr:spPr>
                      <a:xfrm rot="5400000">
                        <a:off x="20065471" y="5424845"/>
                        <a:ext cx="2057400" cy="284691"/>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lvl="0" indent="0" algn="l">
                          <a:spcBef>
                            <a:spcPts val="0"/>
                          </a:spcBef>
                          <a:buNone/>
                        </a:pPr>
                        <a:endParaRPr sz="1100"/>
                      </a:p>
                    </xdr:txBody>
                  </xdr:sp>
                  <xdr:sp macro="" textlink="">
                    <xdr:nvSpPr>
                      <xdr:cNvPr id="108" name="TextBox 107"/>
                      <xdr:cNvSpPr txBox="1"/>
                    </xdr:nvSpPr>
                    <xdr:spPr>
                      <a:xfrm>
                        <a:off x="20576118" y="6624466"/>
                        <a:ext cx="1150407"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Manure</a:t>
                        </a:r>
                      </a:p>
                    </xdr:txBody>
                  </xdr:sp>
                  <xdr:sp macro="" textlink="">
                    <xdr:nvSpPr>
                      <xdr:cNvPr id="109" name="TextBox 108"/>
                      <xdr:cNvSpPr txBox="1"/>
                    </xdr:nvSpPr>
                    <xdr:spPr>
                      <a:xfrm>
                        <a:off x="27929417" y="5845174"/>
                        <a:ext cx="1511300" cy="390525"/>
                      </a:xfrm>
                      <a:prstGeom prst="rect">
                        <a:avLst/>
                      </a:prstGeom>
                      <a:solidFill>
                        <a:sysClr val="window" lastClr="FFFFFF"/>
                      </a:solidFill>
                      <a:ln w="9525" cmpd="sng">
                        <a:solidFill>
                          <a:srgbClr val="70AD47">
                            <a:lumMod val="75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Green water </a:t>
                        </a:r>
                      </a:p>
                    </xdr:txBody>
                  </xdr:sp>
                  <xdr:sp macro="" textlink="">
                    <xdr:nvSpPr>
                      <xdr:cNvPr id="110" name="Shape 10"/>
                      <xdr:cNvSpPr/>
                    </xdr:nvSpPr>
                    <xdr:spPr>
                      <a:xfrm rot="-5400000">
                        <a:off x="28027842" y="5083174"/>
                        <a:ext cx="1076325" cy="371475"/>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11" name="Shape 11"/>
                      <xdr:cNvSpPr/>
                    </xdr:nvSpPr>
                    <xdr:spPr>
                      <a:xfrm rot="5400000">
                        <a:off x="30298526" y="4946650"/>
                        <a:ext cx="1076325" cy="284692"/>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12" name="Shape 11"/>
                      <xdr:cNvSpPr/>
                    </xdr:nvSpPr>
                    <xdr:spPr>
                      <a:xfrm rot="5400000">
                        <a:off x="31350510" y="4944533"/>
                        <a:ext cx="1076325" cy="28892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13" name="TextBox 112"/>
                      <xdr:cNvSpPr txBox="1"/>
                    </xdr:nvSpPr>
                    <xdr:spPr>
                      <a:xfrm>
                        <a:off x="30183667" y="5753457"/>
                        <a:ext cx="1188508" cy="838200"/>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GHG</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(N2O, CH4, CO2)</a:t>
                        </a:r>
                      </a:p>
                    </xdr:txBody>
                  </xdr:sp>
                  <xdr:sp macro="" textlink="">
                    <xdr:nvSpPr>
                      <xdr:cNvPr id="114" name="TextBox 113"/>
                      <xdr:cNvSpPr txBox="1"/>
                    </xdr:nvSpPr>
                    <xdr:spPr>
                      <a:xfrm>
                        <a:off x="31466368" y="5782032"/>
                        <a:ext cx="1139825" cy="600075"/>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Antibiotics</a:t>
                        </a:r>
                      </a:p>
                    </xdr:txBody>
                  </xdr:sp>
                  <xdr:sp macro="" textlink="">
                    <xdr:nvSpPr>
                      <xdr:cNvPr id="115" name="Shape 11"/>
                      <xdr:cNvSpPr/>
                    </xdr:nvSpPr>
                    <xdr:spPr>
                      <a:xfrm rot="5400000">
                        <a:off x="31744180" y="5472469"/>
                        <a:ext cx="2057400" cy="295275"/>
                      </a:xfrm>
                      <a:prstGeom prst="stripedRightArrow">
                        <a:avLst>
                          <a:gd name="adj1" fmla="val 32857"/>
                          <a:gd name="adj2" fmla="val 64286"/>
                        </a:avLst>
                      </a:prstGeom>
                      <a:solidFill>
                        <a:srgbClr val="FFC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116" name="TextBox 115"/>
                      <xdr:cNvSpPr txBox="1"/>
                    </xdr:nvSpPr>
                    <xdr:spPr>
                      <a:xfrm>
                        <a:off x="32260118" y="6677382"/>
                        <a:ext cx="1139825" cy="600075"/>
                      </a:xfrm>
                      <a:prstGeom prst="rect">
                        <a:avLst/>
                      </a:prstGeom>
                      <a:solidFill>
                        <a:sysClr val="window" lastClr="FFFFFF"/>
                      </a:solidFill>
                      <a:ln w="9525" cmpd="sng">
                        <a:solidFill>
                          <a:srgbClr val="FFC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Manure</a:t>
                        </a:r>
                      </a:p>
                    </xdr:txBody>
                  </xdr:sp>
                  <xdr:sp macro="" textlink="">
                    <xdr:nvSpPr>
                      <xdr:cNvPr id="117" name="Right Arrow Callout 116"/>
                      <xdr:cNvSpPr/>
                    </xdr:nvSpPr>
                    <xdr:spPr>
                      <a:xfrm>
                        <a:off x="13942124" y="3181349"/>
                        <a:ext cx="1783655" cy="879034"/>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18" name="TextBox 117"/>
                      <xdr:cNvSpPr txBox="1"/>
                    </xdr:nvSpPr>
                    <xdr:spPr>
                      <a:xfrm>
                        <a:off x="13994850" y="3244851"/>
                        <a:ext cx="921808" cy="634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Imports calves</a:t>
                        </a:r>
                      </a:p>
                      <a:p>
                        <a:endParaRPr lang="en-GB" sz="1600"/>
                      </a:p>
                    </xdr:txBody>
                  </xdr:sp>
                  <xdr:sp macro="" textlink="">
                    <xdr:nvSpPr>
                      <xdr:cNvPr id="119" name="Right Arrow Callout 118"/>
                      <xdr:cNvSpPr/>
                    </xdr:nvSpPr>
                    <xdr:spPr>
                      <a:xfrm>
                        <a:off x="21616988" y="3000375"/>
                        <a:ext cx="2677043" cy="1059147"/>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0" name="TextBox 27"/>
                      <xdr:cNvSpPr txBox="1"/>
                    </xdr:nvSpPr>
                    <xdr:spPr>
                      <a:xfrm>
                        <a:off x="21795128" y="2990850"/>
                        <a:ext cx="1462020" cy="13445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Slaughtered calves</a:t>
                        </a:r>
                        <a:endParaRPr lang="en-GB" sz="1800" b="0" i="0" u="none" strike="noStrike" kern="1200">
                          <a:solidFill>
                            <a:schemeClr val="tx1"/>
                          </a:solidFill>
                          <a:effectLst/>
                          <a:latin typeface="+mn-lt"/>
                          <a:ea typeface="+mn-ea"/>
                          <a:cs typeface="+mn-cs"/>
                        </a:endParaRPr>
                      </a:p>
                      <a:p>
                        <a:endParaRPr lang="en-GB" sz="1600"/>
                      </a:p>
                      <a:p>
                        <a:endParaRPr lang="en-GB" sz="1600"/>
                      </a:p>
                      <a:p>
                        <a:endParaRPr lang="en-GB" sz="1600"/>
                      </a:p>
                    </xdr:txBody>
                  </xdr:sp>
                  <xdr:sp macro="" textlink="">
                    <xdr:nvSpPr>
                      <xdr:cNvPr id="121" name="Right Arrow Callout 120"/>
                      <xdr:cNvSpPr/>
                    </xdr:nvSpPr>
                    <xdr:spPr>
                      <a:xfrm>
                        <a:off x="21717000" y="4381500"/>
                        <a:ext cx="2223559" cy="630521"/>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2" name="TextBox 27"/>
                      <xdr:cNvSpPr txBox="1"/>
                    </xdr:nvSpPr>
                    <xdr:spPr>
                      <a:xfrm>
                        <a:off x="21875884" y="4408091"/>
                        <a:ext cx="1300711"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Exports</a:t>
                        </a:r>
                        <a:r>
                          <a:rPr lang="en-GB" sz="1600" baseline="0"/>
                          <a:t> Calves</a:t>
                        </a:r>
                        <a:endParaRPr lang="en-GB" sz="1600"/>
                      </a:p>
                    </xdr:txBody>
                  </xdr:sp>
                  <xdr:sp macro="" textlink="">
                    <xdr:nvSpPr>
                      <xdr:cNvPr id="123" name="Right Arrow Callout 122"/>
                      <xdr:cNvSpPr/>
                    </xdr:nvSpPr>
                    <xdr:spPr>
                      <a:xfrm>
                        <a:off x="33137782" y="3196167"/>
                        <a:ext cx="2223559" cy="630521"/>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4" name="TextBox 27"/>
                      <xdr:cNvSpPr txBox="1"/>
                    </xdr:nvSpPr>
                    <xdr:spPr>
                      <a:xfrm>
                        <a:off x="33228234" y="3229108"/>
                        <a:ext cx="1300711"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Exports</a:t>
                        </a:r>
                        <a:r>
                          <a:rPr lang="en-GB" sz="1600" baseline="0"/>
                          <a:t> Young Cattle</a:t>
                        </a:r>
                        <a:endParaRPr lang="en-GB" sz="1600"/>
                      </a:p>
                    </xdr:txBody>
                  </xdr:sp>
                  <xdr:sp macro="" textlink="">
                    <xdr:nvSpPr>
                      <xdr:cNvPr id="125" name="Right Arrow Callout 124"/>
                      <xdr:cNvSpPr/>
                    </xdr:nvSpPr>
                    <xdr:spPr>
                      <a:xfrm>
                        <a:off x="25791583" y="2990850"/>
                        <a:ext cx="2222500" cy="8980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6" name="TextBox 20"/>
                      <xdr:cNvSpPr txBox="1"/>
                    </xdr:nvSpPr>
                    <xdr:spPr>
                      <a:xfrm>
                        <a:off x="25881541" y="3034844"/>
                        <a:ext cx="1281642" cy="5932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baseline="0"/>
                          <a:t>Imports Young Cattle</a:t>
                        </a:r>
                      </a:p>
                    </xdr:txBody>
                  </xdr:sp>
                </xdr:grpSp>
                <xdr:grpSp>
                  <xdr:nvGrpSpPr>
                    <xdr:cNvPr id="24" name="Group 23"/>
                    <xdr:cNvGrpSpPr/>
                  </xdr:nvGrpSpPr>
                  <xdr:grpSpPr>
                    <a:xfrm>
                      <a:off x="5963708" y="6635751"/>
                      <a:ext cx="7130468" cy="6878109"/>
                      <a:chOff x="2445544" y="2561166"/>
                      <a:chExt cx="6887051" cy="6878109"/>
                    </a:xfrm>
                  </xdr:grpSpPr>
                  <xdr:cxnSp macro="">
                    <xdr:nvCxnSpPr>
                      <xdr:cNvPr id="34" name="Elbow Connector 33"/>
                      <xdr:cNvCxnSpPr>
                        <a:stCxn id="52" idx="2"/>
                      </xdr:cNvCxnSpPr>
                    </xdr:nvCxnSpPr>
                    <xdr:spPr>
                      <a:xfrm rot="16200000" flipH="1">
                        <a:off x="2848228" y="3586469"/>
                        <a:ext cx="1020255" cy="1049823"/>
                      </a:xfrm>
                      <a:prstGeom prst="bentConnector3">
                        <a:avLst/>
                      </a:prstGeom>
                      <a:ln w="31750" cmpd="sng">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35" name="Group 34"/>
                      <xdr:cNvGrpSpPr/>
                    </xdr:nvGrpSpPr>
                    <xdr:grpSpPr>
                      <a:xfrm>
                        <a:off x="2445544" y="2561166"/>
                        <a:ext cx="6887051" cy="6878109"/>
                        <a:chOff x="2278856" y="2656416"/>
                        <a:chExt cx="6887051" cy="6878109"/>
                      </a:xfrm>
                    </xdr:grpSpPr>
                    <xdr:sp macro="" textlink="">
                      <xdr:nvSpPr>
                        <xdr:cNvPr id="36" name="Rectangle 35"/>
                        <xdr:cNvSpPr/>
                      </xdr:nvSpPr>
                      <xdr:spPr>
                        <a:xfrm>
                          <a:off x="3770408" y="4751136"/>
                          <a:ext cx="2352596" cy="1214755"/>
                        </a:xfrm>
                        <a:prstGeom prst="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37" name="Rectangle 36"/>
                        <xdr:cNvSpPr/>
                      </xdr:nvSpPr>
                      <xdr:spPr>
                        <a:xfrm>
                          <a:off x="6390251" y="6188776"/>
                          <a:ext cx="2352595" cy="121475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38" name="Rectangle 37"/>
                        <xdr:cNvSpPr/>
                      </xdr:nvSpPr>
                      <xdr:spPr>
                        <a:xfrm>
                          <a:off x="3796270" y="6201476"/>
                          <a:ext cx="2352596" cy="1214755"/>
                        </a:xfrm>
                        <a:prstGeom prst="rect">
                          <a:avLst/>
                        </a:prstGeom>
                        <a:solidFill>
                          <a:schemeClr val="bg1"/>
                        </a:solid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39" name="Rectangle 38"/>
                        <xdr:cNvSpPr/>
                      </xdr:nvSpPr>
                      <xdr:spPr>
                        <a:xfrm>
                          <a:off x="6399713" y="4757486"/>
                          <a:ext cx="2352595" cy="1214755"/>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40" name="Rectangle 39"/>
                        <xdr:cNvSpPr/>
                      </xdr:nvSpPr>
                      <xdr:spPr>
                        <a:xfrm>
                          <a:off x="4419114" y="5497261"/>
                          <a:ext cx="3706148" cy="1002030"/>
                        </a:xfrm>
                        <a:prstGeom prst="rect">
                          <a:avLst/>
                        </a:prstGeom>
                        <a:solidFill>
                          <a:schemeClr val="bg1"/>
                        </a:solid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GB"/>
                        </a:p>
                      </xdr:txBody>
                    </xdr:sp>
                    <xdr:sp macro="" textlink="">
                      <xdr:nvSpPr>
                        <xdr:cNvPr id="41" name="TextBox 4"/>
                        <xdr:cNvSpPr txBox="1">
                          <a:spLocks noChangeArrowheads="1"/>
                        </xdr:cNvSpPr>
                      </xdr:nvSpPr>
                      <xdr:spPr bwMode="auto">
                        <a:xfrm>
                          <a:off x="5145510" y="5688839"/>
                          <a:ext cx="2508403" cy="3693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800" b="0" i="0" u="none" strike="noStrike" cap="none" normalizeH="0" baseline="0">
                              <a:ln>
                                <a:noFill/>
                              </a:ln>
                              <a:solidFill>
                                <a:srgbClr val="000000"/>
                              </a:solidFill>
                              <a:effectLst/>
                              <a:latin typeface="Calibri" panose="020F0502020204030204" pitchFamily="34" charset="0"/>
                              <a:ea typeface="Times New Roman" panose="02020603050405020304" pitchFamily="18" charset="0"/>
                              <a:cs typeface="Times New Roman" panose="02020603050405020304" pitchFamily="18" charset="0"/>
                            </a:rPr>
                            <a:t>Adult Animals</a:t>
                          </a:r>
                          <a:r>
                            <a:rPr kumimoji="0" lang="en-US" altLang="en-US" sz="1800" b="0" i="0" u="none" strike="noStrike" cap="none" normalizeH="0">
                              <a:ln>
                                <a:noFill/>
                              </a:ln>
                              <a:solidFill>
                                <a:srgbClr val="000000"/>
                              </a:solidFill>
                              <a:effectLst/>
                              <a:latin typeface="Calibri" panose="020F0502020204030204" pitchFamily="34" charset="0"/>
                              <a:ea typeface="Times New Roman" panose="02020603050405020304" pitchFamily="18" charset="0"/>
                              <a:cs typeface="Times New Roman" panose="02020603050405020304" pitchFamily="18" charset="0"/>
                            </a:rPr>
                            <a:t> &gt;= 2yrs</a:t>
                          </a:r>
                          <a:endParaRPr kumimoji="0" lang="en-US" altLang="en-US" sz="1800" b="0" i="0" u="none" strike="noStrike" cap="none" normalizeH="0" baseline="0">
                            <a:ln>
                              <a:noFill/>
                            </a:ln>
                            <a:solidFill>
                              <a:schemeClr val="tx1"/>
                            </a:solidFill>
                            <a:effectLst/>
                            <a:latin typeface="Arial" panose="020B0604020202020204" pitchFamily="34" charset="0"/>
                          </a:endParaRPr>
                        </a:p>
                      </xdr:txBody>
                    </xdr:sp>
                    <xdr:sp macro="" textlink="">
                      <xdr:nvSpPr>
                        <xdr:cNvPr id="42" name="TextBox 12"/>
                        <xdr:cNvSpPr txBox="1"/>
                      </xdr:nvSpPr>
                      <xdr:spPr>
                        <a:xfrm>
                          <a:off x="3506135" y="3006363"/>
                          <a:ext cx="810129" cy="342786"/>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Feed </a:t>
                          </a:r>
                        </a:p>
                      </xdr:txBody>
                    </xdr:sp>
                    <xdr:sp macro="" textlink="">
                      <xdr:nvSpPr>
                        <xdr:cNvPr id="43" name="TextBox 18"/>
                        <xdr:cNvSpPr txBox="1"/>
                      </xdr:nvSpPr>
                      <xdr:spPr>
                        <a:xfrm>
                          <a:off x="4405364" y="2914650"/>
                          <a:ext cx="811526" cy="530658"/>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400"/>
                            <a:t>Blue Water</a:t>
                          </a:r>
                        </a:p>
                      </xdr:txBody>
                    </xdr:sp>
                    <xdr:sp macro="" textlink="">
                      <xdr:nvSpPr>
                        <xdr:cNvPr id="44" name="TextBox 40"/>
                        <xdr:cNvSpPr txBox="1"/>
                      </xdr:nvSpPr>
                      <xdr:spPr>
                        <a:xfrm>
                          <a:off x="5304828" y="3000375"/>
                          <a:ext cx="1199502" cy="334068"/>
                        </a:xfrm>
                        <a:prstGeom prst="rect">
                          <a:avLst/>
                        </a:prstGeom>
                        <a:solidFill>
                          <a:sysClr val="window" lastClr="FFFFFF"/>
                        </a:solidFill>
                        <a:ln w="0" cmpd="sng">
                          <a:solidFill>
                            <a:srgbClr val="0070C0"/>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600"/>
                            <a:t>Antibiotics</a:t>
                          </a:r>
                        </a:p>
                      </xdr:txBody>
                    </xdr:sp>
                    <xdr:sp macro="" textlink="">
                      <xdr:nvSpPr>
                        <xdr:cNvPr id="45" name="TextBox 44"/>
                        <xdr:cNvSpPr txBox="1"/>
                      </xdr:nvSpPr>
                      <xdr:spPr>
                        <a:xfrm>
                          <a:off x="8291077" y="2824162"/>
                          <a:ext cx="730393" cy="600075"/>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Land Use</a:t>
                          </a:r>
                          <a:r>
                            <a:rPr lang="en-GB" sz="1600" baseline="0"/>
                            <a:t> </a:t>
                          </a:r>
                          <a:endParaRPr lang="en-GB" sz="1600"/>
                        </a:p>
                      </xdr:txBody>
                    </xdr:sp>
                    <xdr:sp macro="" textlink="">
                      <xdr:nvSpPr>
                        <xdr:cNvPr id="46" name="TextBox 45"/>
                        <xdr:cNvSpPr txBox="1"/>
                      </xdr:nvSpPr>
                      <xdr:spPr>
                        <a:xfrm>
                          <a:off x="6606269" y="2855119"/>
                          <a:ext cx="645235" cy="457200"/>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HA</a:t>
                          </a:r>
                        </a:p>
                      </xdr:txBody>
                    </xdr:sp>
                    <xdr:sp macro="" textlink="">
                      <xdr:nvSpPr>
                        <xdr:cNvPr id="47" name="TextBox 46"/>
                        <xdr:cNvSpPr txBox="1"/>
                      </xdr:nvSpPr>
                      <xdr:spPr>
                        <a:xfrm>
                          <a:off x="7308877" y="2656416"/>
                          <a:ext cx="952037" cy="857248"/>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Animal</a:t>
                          </a:r>
                          <a:r>
                            <a:rPr lang="en-GB" sz="1600" baseline="0"/>
                            <a:t> Fund </a:t>
                          </a:r>
                          <a:endParaRPr lang="en-GB" sz="1600"/>
                        </a:p>
                      </xdr:txBody>
                    </xdr:sp>
                    <xdr:sp macro="" textlink="">
                      <xdr:nvSpPr>
                        <xdr:cNvPr id="48" name="TextBox 47"/>
                        <xdr:cNvSpPr txBox="1"/>
                      </xdr:nvSpPr>
                      <xdr:spPr>
                        <a:xfrm>
                          <a:off x="3512556" y="7915275"/>
                          <a:ext cx="1515177" cy="3905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Green water </a:t>
                          </a:r>
                        </a:p>
                      </xdr:txBody>
                    </xdr:sp>
                    <xdr:sp macro="" textlink="">
                      <xdr:nvSpPr>
                        <xdr:cNvPr id="49" name="TextBox 48"/>
                        <xdr:cNvSpPr txBox="1"/>
                      </xdr:nvSpPr>
                      <xdr:spPr>
                        <a:xfrm>
                          <a:off x="5932647" y="8010525"/>
                          <a:ext cx="1186389" cy="838200"/>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GHG</a:t>
                          </a:r>
                          <a:endParaRPr lang="en-GB" sz="1600" baseline="0"/>
                        </a:p>
                        <a:p>
                          <a:r>
                            <a:rPr lang="en-GB" sz="1600" baseline="0"/>
                            <a:t>(N2O, CH4, CO2)</a:t>
                          </a:r>
                          <a:endParaRPr lang="en-GB" sz="1600"/>
                        </a:p>
                      </xdr:txBody>
                    </xdr:sp>
                    <xdr:sp macro="" textlink="">
                      <xdr:nvSpPr>
                        <xdr:cNvPr id="50" name="TextBox 49"/>
                        <xdr:cNvSpPr txBox="1"/>
                      </xdr:nvSpPr>
                      <xdr:spPr>
                        <a:xfrm>
                          <a:off x="7223118" y="8039100"/>
                          <a:ext cx="1148544"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Antibiotics</a:t>
                          </a:r>
                        </a:p>
                      </xdr:txBody>
                    </xdr:sp>
                    <xdr:sp macro="" textlink="">
                      <xdr:nvSpPr>
                        <xdr:cNvPr id="51" name="TextBox 50"/>
                        <xdr:cNvSpPr txBox="1"/>
                      </xdr:nvSpPr>
                      <xdr:spPr>
                        <a:xfrm>
                          <a:off x="8017365" y="8934450"/>
                          <a:ext cx="1148542" cy="600075"/>
                        </a:xfrm>
                        <a:prstGeom prst="rect">
                          <a:avLst/>
                        </a:prstGeom>
                        <a:solidFill>
                          <a:schemeClr val="lt1"/>
                        </a:solid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Manure</a:t>
                          </a:r>
                        </a:p>
                        <a:p>
                          <a:endParaRPr lang="en-GB" sz="1600"/>
                        </a:p>
                      </xdr:txBody>
                    </xdr:sp>
                    <xdr:sp macro="" textlink="">
                      <xdr:nvSpPr>
                        <xdr:cNvPr id="52" name="TextBox 12"/>
                        <xdr:cNvSpPr txBox="1"/>
                      </xdr:nvSpPr>
                      <xdr:spPr>
                        <a:xfrm>
                          <a:off x="2278856" y="3086100"/>
                          <a:ext cx="810129" cy="593239"/>
                        </a:xfrm>
                        <a:prstGeom prst="rect">
                          <a:avLst/>
                        </a:prstGeom>
                        <a:ln>
                          <a:solidFill>
                            <a:srgbClr val="0070C0"/>
                          </a:solid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Energy Use</a:t>
                          </a:r>
                        </a:p>
                      </xdr:txBody>
                    </xdr:sp>
                    <xdr:sp macro="" textlink="">
                      <xdr:nvSpPr>
                        <xdr:cNvPr id="53" name="Shape 8"/>
                        <xdr:cNvSpPr/>
                      </xdr:nvSpPr>
                      <xdr:spPr>
                        <a:xfrm rot="5400000">
                          <a:off x="3377333" y="3897386"/>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4" name="Shape 8"/>
                        <xdr:cNvSpPr/>
                      </xdr:nvSpPr>
                      <xdr:spPr>
                        <a:xfrm rot="5400000">
                          <a:off x="4115520" y="3933104"/>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5" name="Shape 8"/>
                        <xdr:cNvSpPr/>
                      </xdr:nvSpPr>
                      <xdr:spPr>
                        <a:xfrm rot="5400000">
                          <a:off x="5139457" y="3885480"/>
                          <a:ext cx="1238250" cy="301478"/>
                        </a:xfrm>
                        <a:prstGeom prst="stripedRightArrow">
                          <a:avLst>
                            <a:gd name="adj1" fmla="val 32857"/>
                            <a:gd name="adj2" fmla="val 64286"/>
                          </a:avLst>
                        </a:prstGeom>
                        <a:solidFill>
                          <a:srgbClr val="4472C4">
                            <a:lumMod val="75000"/>
                          </a:srgbClr>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6" name="Shape 8"/>
                        <xdr:cNvSpPr/>
                      </xdr:nvSpPr>
                      <xdr:spPr>
                        <a:xfrm rot="5400000">
                          <a:off x="6330083" y="3968823"/>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7" name="Shape 8"/>
                        <xdr:cNvSpPr/>
                      </xdr:nvSpPr>
                      <xdr:spPr>
                        <a:xfrm rot="5400000">
                          <a:off x="7068271" y="4028355"/>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8" name="Shape 8"/>
                        <xdr:cNvSpPr/>
                      </xdr:nvSpPr>
                      <xdr:spPr>
                        <a:xfrm rot="5400000">
                          <a:off x="8008864" y="3980730"/>
                          <a:ext cx="1238250" cy="301478"/>
                        </a:xfrm>
                        <a:prstGeom prst="stripedRightArrow">
                          <a:avLst>
                            <a:gd name="adj1" fmla="val 32857"/>
                            <a:gd name="adj2" fmla="val 64286"/>
                          </a:avLst>
                        </a:prstGeom>
                        <a:solidFill>
                          <a:srgbClr val="C00000"/>
                        </a:solidFill>
                        <a:ln>
                          <a:noFill/>
                        </a:ln>
                      </xdr:spPr>
                      <xdr:txBody>
                        <a:bodyPr wrap="square" lIns="91425" tIns="45700" rIns="91425" bIns="4570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sz="1100" b="0" i="0" u="none" strike="noStrike" kern="0" cap="none" spc="0" normalizeH="0" baseline="0" noProof="0">
                            <a:ln>
                              <a:noFill/>
                            </a:ln>
                            <a:solidFill>
                              <a:sysClr val="windowText" lastClr="000000"/>
                            </a:solidFill>
                            <a:effectLst/>
                            <a:uLnTx/>
                            <a:uFillTx/>
                          </a:endParaRPr>
                        </a:p>
                      </xdr:txBody>
                    </xdr:sp>
                    <xdr:sp macro="" textlink="">
                      <xdr:nvSpPr>
                        <xdr:cNvPr id="59" name="Shape 10"/>
                        <xdr:cNvSpPr/>
                      </xdr:nvSpPr>
                      <xdr:spPr>
                        <a:xfrm rot="16200000">
                          <a:off x="3655876" y="7178812"/>
                          <a:ext cx="1076325" cy="363265"/>
                        </a:xfrm>
                        <a:prstGeom prst="stripedRightArrow">
                          <a:avLst>
                            <a:gd name="adj1" fmla="val 32857"/>
                            <a:gd name="adj2" fmla="val 64286"/>
                          </a:avLst>
                        </a:prstGeom>
                        <a:solidFill>
                          <a:srgbClr val="548135"/>
                        </a:solidFill>
                        <a:ln>
                          <a:noFill/>
                        </a:ln>
                      </xdr:spPr>
                      <xdr:txBody>
                        <a:bodyPr wrap="square" lIns="91425" tIns="45700" rIns="91425" bIns="45700" anchor="t" anchorCtr="0">
                          <a:noAutofit/>
                        </a:bodyPr>
                        <a:lstStyle/>
                        <a:p>
                          <a:pPr lvl="0" indent="0" algn="l">
                            <a:spcBef>
                              <a:spcPts val="0"/>
                            </a:spcBef>
                            <a:buNone/>
                          </a:pPr>
                          <a:endParaRPr sz="1100"/>
                        </a:p>
                      </xdr:txBody>
                    </xdr:sp>
                    <xdr:pic>
                      <xdr:nvPicPr>
                        <xdr:cNvPr id="60" name="Picture 59"/>
                        <xdr:cNvPicPr>
                          <a:picLocks noChangeAspect="1"/>
                        </xdr:cNvPicPr>
                      </xdr:nvPicPr>
                      <xdr:blipFill>
                        <a:blip xmlns:r="http://schemas.openxmlformats.org/officeDocument/2006/relationships" r:embed="rId1"/>
                        <a:stretch>
                          <a:fillRect/>
                        </a:stretch>
                      </xdr:blipFill>
                      <xdr:spPr>
                        <a:xfrm>
                          <a:off x="6512719" y="6881812"/>
                          <a:ext cx="298730" cy="1079086"/>
                        </a:xfrm>
                        <a:prstGeom prst="rect">
                          <a:avLst/>
                        </a:prstGeom>
                      </xdr:spPr>
                    </xdr:pic>
                    <xdr:pic>
                      <xdr:nvPicPr>
                        <xdr:cNvPr id="61" name="Picture 60"/>
                        <xdr:cNvPicPr>
                          <a:picLocks noChangeAspect="1"/>
                        </xdr:cNvPicPr>
                      </xdr:nvPicPr>
                      <xdr:blipFill>
                        <a:blip xmlns:r="http://schemas.openxmlformats.org/officeDocument/2006/relationships" r:embed="rId1"/>
                        <a:stretch>
                          <a:fillRect/>
                        </a:stretch>
                      </xdr:blipFill>
                      <xdr:spPr>
                        <a:xfrm>
                          <a:off x="8498682" y="7141367"/>
                          <a:ext cx="298730" cy="1764507"/>
                        </a:xfrm>
                        <a:prstGeom prst="rect">
                          <a:avLst/>
                        </a:prstGeom>
                      </xdr:spPr>
                    </xdr:pic>
                    <xdr:pic>
                      <xdr:nvPicPr>
                        <xdr:cNvPr id="62" name="Picture 61"/>
                        <xdr:cNvPicPr>
                          <a:picLocks noChangeAspect="1"/>
                        </xdr:cNvPicPr>
                      </xdr:nvPicPr>
                      <xdr:blipFill>
                        <a:blip xmlns:r="http://schemas.openxmlformats.org/officeDocument/2006/relationships" r:embed="rId1"/>
                        <a:stretch>
                          <a:fillRect/>
                        </a:stretch>
                      </xdr:blipFill>
                      <xdr:spPr>
                        <a:xfrm>
                          <a:off x="7686675" y="6972299"/>
                          <a:ext cx="298730" cy="1079086"/>
                        </a:xfrm>
                        <a:prstGeom prst="rect">
                          <a:avLst/>
                        </a:prstGeom>
                      </xdr:spPr>
                    </xdr:pic>
                  </xdr:grpSp>
                </xdr:grpSp>
                <xdr:sp macro="" textlink="">
                  <xdr:nvSpPr>
                    <xdr:cNvPr id="25" name="TextBox 12"/>
                    <xdr:cNvSpPr txBox="1"/>
                  </xdr:nvSpPr>
                  <xdr:spPr>
                    <a:xfrm>
                      <a:off x="3688292" y="9398000"/>
                      <a:ext cx="1296457" cy="63500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Import</a:t>
                      </a:r>
                      <a:r>
                        <a:rPr lang="en-GB" sz="1600" baseline="0"/>
                        <a:t>s Adult Animals</a:t>
                      </a:r>
                      <a:endParaRPr lang="en-GB" sz="1600"/>
                    </a:p>
                  </xdr:txBody>
                </xdr:sp>
                <xdr:sp macro="" textlink="">
                  <xdr:nvSpPr>
                    <xdr:cNvPr id="26" name="TextBox 12"/>
                    <xdr:cNvSpPr txBox="1"/>
                  </xdr:nvSpPr>
                  <xdr:spPr>
                    <a:xfrm>
                      <a:off x="13133916" y="9567333"/>
                      <a:ext cx="1333500" cy="85725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GB" sz="1600"/>
                        <a:t>Exports Adult Animals</a:t>
                      </a:r>
                    </a:p>
                  </xdr:txBody>
                </xdr:sp>
                <xdr:sp macro="" textlink="">
                  <xdr:nvSpPr>
                    <xdr:cNvPr id="27" name="Right Arrow Callout 26"/>
                    <xdr:cNvSpPr/>
                  </xdr:nvSpPr>
                  <xdr:spPr>
                    <a:xfrm>
                      <a:off x="12906375" y="10747375"/>
                      <a:ext cx="2254249" cy="1026583"/>
                    </a:xfrm>
                    <a:prstGeom prst="rightArrowCallo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solidFill>
                            <a:sysClr val="windowText" lastClr="000000"/>
                          </a:solidFill>
                        </a:rPr>
                        <a:t>Slaughtered</a:t>
                      </a:r>
                      <a:r>
                        <a:rPr lang="en-GB" sz="1600" baseline="0">
                          <a:solidFill>
                            <a:sysClr val="windowText" lastClr="000000"/>
                          </a:solidFill>
                        </a:rPr>
                        <a:t>  Adult Animals</a:t>
                      </a:r>
                    </a:p>
                  </xdr:txBody>
                </xdr:sp>
                <xdr:sp macro="" textlink="">
                  <xdr:nvSpPr>
                    <xdr:cNvPr id="28" name="Rectángulo 762"/>
                    <xdr:cNvSpPr/>
                  </xdr:nvSpPr>
                  <xdr:spPr>
                    <a:xfrm>
                      <a:off x="7782377" y="5619750"/>
                      <a:ext cx="930260"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sp macro="" textlink="">
                  <xdr:nvSpPr>
                    <xdr:cNvPr id="29" name="Rectángulo 762"/>
                    <xdr:cNvSpPr/>
                  </xdr:nvSpPr>
                  <xdr:spPr>
                    <a:xfrm>
                      <a:off x="6468987" y="5604955"/>
                      <a:ext cx="1145028"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xdr:txBody>
                </xdr:sp>
                <xdr:cxnSp macro="">
                  <xdr:nvCxnSpPr>
                    <xdr:cNvPr id="30" name="Straight Arrow Connector 91"/>
                    <xdr:cNvCxnSpPr>
                      <a:stCxn id="28" idx="2"/>
                    </xdr:cNvCxnSpPr>
                  </xdr:nvCxnSpPr>
                  <xdr:spPr>
                    <a:xfrm flipH="1">
                      <a:off x="7754857" y="6063732"/>
                      <a:ext cx="493400"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Rectángulo 762"/>
                    <xdr:cNvSpPr/>
                  </xdr:nvSpPr>
                  <xdr:spPr>
                    <a:xfrm>
                      <a:off x="5873750" y="6253272"/>
                      <a:ext cx="1069949" cy="505811"/>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xdr:txBody>
                </xdr:sp>
                <xdr:cxnSp macro="">
                  <xdr:nvCxnSpPr>
                    <xdr:cNvPr id="32" name="Rechte verbindingslijn met pijl 70"/>
                    <xdr:cNvCxnSpPr>
                      <a:stCxn id="31" idx="3"/>
                    </xdr:cNvCxnSpPr>
                  </xdr:nvCxnSpPr>
                  <xdr:spPr>
                    <a:xfrm>
                      <a:off x="6943699" y="6503989"/>
                      <a:ext cx="416726" cy="421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90"/>
                    <xdr:cNvCxnSpPr/>
                  </xdr:nvCxnSpPr>
                  <xdr:spPr>
                    <a:xfrm>
                      <a:off x="7254875" y="6127750"/>
                      <a:ext cx="334049"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xnSp macro="">
              <xdr:nvCxnSpPr>
                <xdr:cNvPr id="8" name="Straight Arrow Connector 90"/>
                <xdr:cNvCxnSpPr/>
              </xdr:nvCxnSpPr>
              <xdr:spPr>
                <a:xfrm>
                  <a:off x="30241976" y="6004435"/>
                  <a:ext cx="334049" cy="846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ctángulo 762"/>
                <xdr:cNvSpPr/>
              </xdr:nvSpPr>
              <xdr:spPr>
                <a:xfrm>
                  <a:off x="30817002" y="5523420"/>
                  <a:ext cx="930260"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sp macro="" textlink="">
              <xdr:nvSpPr>
                <xdr:cNvPr id="10" name="Rectángulo 762"/>
                <xdr:cNvSpPr/>
              </xdr:nvSpPr>
              <xdr:spPr>
                <a:xfrm>
                  <a:off x="29503612" y="5508625"/>
                  <a:ext cx="1145028" cy="47358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Grains</a:t>
                  </a:r>
                </a:p>
              </xdr:txBody>
            </xdr:sp>
            <xdr:cxnSp macro="">
              <xdr:nvCxnSpPr>
                <xdr:cNvPr id="11" name="Straight Arrow Connector 91"/>
                <xdr:cNvCxnSpPr>
                  <a:stCxn id="9" idx="2"/>
                </xdr:cNvCxnSpPr>
              </xdr:nvCxnSpPr>
              <xdr:spPr>
                <a:xfrm flipH="1">
                  <a:off x="30789482" y="5967402"/>
                  <a:ext cx="493400" cy="8541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Rectángulo 762"/>
                <xdr:cNvSpPr/>
              </xdr:nvSpPr>
              <xdr:spPr>
                <a:xfrm>
                  <a:off x="28908375" y="6156942"/>
                  <a:ext cx="1069949" cy="505811"/>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Industrial By-products</a:t>
                  </a:r>
                </a:p>
              </xdr:txBody>
            </xdr:sp>
            <xdr:cxnSp macro="">
              <xdr:nvCxnSpPr>
                <xdr:cNvPr id="13" name="Rechte verbindingslijn met pijl 70"/>
                <xdr:cNvCxnSpPr>
                  <a:stCxn id="12" idx="3"/>
                </xdr:cNvCxnSpPr>
              </xdr:nvCxnSpPr>
              <xdr:spPr>
                <a:xfrm>
                  <a:off x="29978324" y="6407659"/>
                  <a:ext cx="432601" cy="421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29" name="Rectángulo 762"/>
          <xdr:cNvSpPr/>
        </xdr:nvSpPr>
        <xdr:spPr>
          <a:xfrm>
            <a:off x="20383500" y="4235450"/>
            <a:ext cx="898007" cy="44398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Milk</a:t>
            </a:r>
            <a:r>
              <a:rPr lang="en-GB" sz="1100" baseline="0"/>
              <a:t> Powder</a:t>
            </a:r>
          </a:p>
        </xdr:txBody>
      </xdr:sp>
      <xdr:cxnSp macro="">
        <xdr:nvCxnSpPr>
          <xdr:cNvPr id="130" name="Straight Arrow Connector 91"/>
          <xdr:cNvCxnSpPr>
            <a:stCxn id="129" idx="2"/>
          </xdr:cNvCxnSpPr>
        </xdr:nvCxnSpPr>
        <xdr:spPr>
          <a:xfrm flipH="1">
            <a:off x="19532602" y="4679432"/>
            <a:ext cx="1296727" cy="4672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42</xdr:col>
      <xdr:colOff>370569</xdr:colOff>
      <xdr:row>75</xdr:row>
      <xdr:rowOff>102281</xdr:rowOff>
    </xdr:from>
    <xdr:to>
      <xdr:col>46</xdr:col>
      <xdr:colOff>203256</xdr:colOff>
      <xdr:row>82</xdr:row>
      <xdr:rowOff>104306</xdr:rowOff>
    </xdr:to>
    <xdr:sp macro="" textlink="">
      <xdr:nvSpPr>
        <xdr:cNvPr id="195" name="Rectángulo 747"/>
        <xdr:cNvSpPr/>
      </xdr:nvSpPr>
      <xdr:spPr>
        <a:xfrm>
          <a:off x="25707069" y="14389781"/>
          <a:ext cx="2245687" cy="133552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427719</xdr:colOff>
      <xdr:row>75</xdr:row>
      <xdr:rowOff>102281</xdr:rowOff>
    </xdr:from>
    <xdr:to>
      <xdr:col>42</xdr:col>
      <xdr:colOff>346250</xdr:colOff>
      <xdr:row>82</xdr:row>
      <xdr:rowOff>100542</xdr:rowOff>
    </xdr:to>
    <xdr:sp macro="" textlink="">
      <xdr:nvSpPr>
        <xdr:cNvPr id="196" name="Rectángulo 748"/>
        <xdr:cNvSpPr/>
      </xdr:nvSpPr>
      <xdr:spPr>
        <a:xfrm>
          <a:off x="23351219" y="14389781"/>
          <a:ext cx="2331531" cy="1331761"/>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427718</xdr:colOff>
      <xdr:row>68</xdr:row>
      <xdr:rowOff>73706</xdr:rowOff>
    </xdr:from>
    <xdr:to>
      <xdr:col>42</xdr:col>
      <xdr:colOff>341993</xdr:colOff>
      <xdr:row>75</xdr:row>
      <xdr:rowOff>75578</xdr:rowOff>
    </xdr:to>
    <xdr:sp macro="" textlink="">
      <xdr:nvSpPr>
        <xdr:cNvPr id="197" name="Rectángulo 749"/>
        <xdr:cNvSpPr/>
      </xdr:nvSpPr>
      <xdr:spPr>
        <a:xfrm>
          <a:off x="23351218" y="13027706"/>
          <a:ext cx="2327275" cy="133537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42</xdr:col>
      <xdr:colOff>370569</xdr:colOff>
      <xdr:row>68</xdr:row>
      <xdr:rowOff>73706</xdr:rowOff>
    </xdr:from>
    <xdr:to>
      <xdr:col>46</xdr:col>
      <xdr:colOff>203257</xdr:colOff>
      <xdr:row>75</xdr:row>
      <xdr:rowOff>77259</xdr:rowOff>
    </xdr:to>
    <xdr:sp macro="" textlink="">
      <xdr:nvSpPr>
        <xdr:cNvPr id="198" name="Rectángulo 746"/>
        <xdr:cNvSpPr/>
      </xdr:nvSpPr>
      <xdr:spPr>
        <a:xfrm>
          <a:off x="25707069" y="13027706"/>
          <a:ext cx="2245688" cy="1337053"/>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262619</xdr:colOff>
      <xdr:row>72</xdr:row>
      <xdr:rowOff>113393</xdr:rowOff>
    </xdr:from>
    <xdr:to>
      <xdr:col>44</xdr:col>
      <xdr:colOff>396077</xdr:colOff>
      <xdr:row>77</xdr:row>
      <xdr:rowOff>159700</xdr:rowOff>
    </xdr:to>
    <xdr:sp macro="" textlink="">
      <xdr:nvSpPr>
        <xdr:cNvPr id="199" name="Rectángulo 759"/>
        <xdr:cNvSpPr/>
      </xdr:nvSpPr>
      <xdr:spPr>
        <a:xfrm>
          <a:off x="24392619" y="13829393"/>
          <a:ext cx="2546458" cy="99880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nchorCtr="0"/>
        <a:lstStyle/>
        <a:p>
          <a:pPr algn="ctr"/>
          <a:r>
            <a:rPr lang="en-GB" sz="1800" baseline="0"/>
            <a:t>Beef sector UK</a:t>
          </a:r>
        </a:p>
        <a:p>
          <a:pPr algn="ctr"/>
          <a:r>
            <a:rPr lang="en-GB" sz="1800" baseline="0"/>
            <a:t> (1 year)</a:t>
          </a:r>
        </a:p>
      </xdr:txBody>
    </xdr:sp>
    <xdr:clientData/>
  </xdr:twoCellAnchor>
  <xdr:twoCellAnchor>
    <xdr:from>
      <xdr:col>38</xdr:col>
      <xdr:colOff>503920</xdr:colOff>
      <xdr:row>62</xdr:row>
      <xdr:rowOff>135618</xdr:rowOff>
    </xdr:from>
    <xdr:to>
      <xdr:col>39</xdr:col>
      <xdr:colOff>190561</xdr:colOff>
      <xdr:row>68</xdr:row>
      <xdr:rowOff>63881</xdr:rowOff>
    </xdr:to>
    <xdr:sp macro="" textlink="">
      <xdr:nvSpPr>
        <xdr:cNvPr id="200" name="Flecha a la derecha con bandas 737"/>
        <xdr:cNvSpPr/>
      </xdr:nvSpPr>
      <xdr:spPr>
        <a:xfrm rot="5400000">
          <a:off x="23036734" y="12337304"/>
          <a:ext cx="1071263"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319768</xdr:colOff>
      <xdr:row>60</xdr:row>
      <xdr:rowOff>97517</xdr:rowOff>
    </xdr:from>
    <xdr:to>
      <xdr:col>39</xdr:col>
      <xdr:colOff>290008</xdr:colOff>
      <xdr:row>62</xdr:row>
      <xdr:rowOff>113392</xdr:rowOff>
    </xdr:to>
    <xdr:sp macro="" textlink="">
      <xdr:nvSpPr>
        <xdr:cNvPr id="201" name="Rectángulo 762"/>
        <xdr:cNvSpPr/>
      </xdr:nvSpPr>
      <xdr:spPr>
        <a:xfrm>
          <a:off x="23243268" y="11527517"/>
          <a:ext cx="573490" cy="3968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Feed</a:t>
          </a:r>
        </a:p>
      </xdr:txBody>
    </xdr:sp>
    <xdr:clientData/>
  </xdr:twoCellAnchor>
  <xdr:twoCellAnchor>
    <xdr:from>
      <xdr:col>39</xdr:col>
      <xdr:colOff>456295</xdr:colOff>
      <xdr:row>60</xdr:row>
      <xdr:rowOff>183243</xdr:rowOff>
    </xdr:from>
    <xdr:to>
      <xdr:col>41</xdr:col>
      <xdr:colOff>303893</xdr:colOff>
      <xdr:row>63</xdr:row>
      <xdr:rowOff>97518</xdr:rowOff>
    </xdr:to>
    <xdr:sp macro="" textlink="">
      <xdr:nvSpPr>
        <xdr:cNvPr id="202" name="Rectángulo 762"/>
        <xdr:cNvSpPr/>
      </xdr:nvSpPr>
      <xdr:spPr>
        <a:xfrm>
          <a:off x="23983045" y="11613243"/>
          <a:ext cx="1054098"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Drinking water </a:t>
          </a:r>
        </a:p>
      </xdr:txBody>
    </xdr:sp>
    <xdr:clientData/>
  </xdr:twoCellAnchor>
  <xdr:twoCellAnchor>
    <xdr:from>
      <xdr:col>40</xdr:col>
      <xdr:colOff>5444</xdr:colOff>
      <xdr:row>63</xdr:row>
      <xdr:rowOff>126097</xdr:rowOff>
    </xdr:from>
    <xdr:to>
      <xdr:col>40</xdr:col>
      <xdr:colOff>295335</xdr:colOff>
      <xdr:row>68</xdr:row>
      <xdr:rowOff>73407</xdr:rowOff>
    </xdr:to>
    <xdr:sp macro="" textlink="">
      <xdr:nvSpPr>
        <xdr:cNvPr id="203" name="Flecha a la derecha con bandas 737"/>
        <xdr:cNvSpPr/>
      </xdr:nvSpPr>
      <xdr:spPr>
        <a:xfrm rot="5400000">
          <a:off x="23830485" y="12432556"/>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41</xdr:col>
      <xdr:colOff>361045</xdr:colOff>
      <xdr:row>60</xdr:row>
      <xdr:rowOff>173718</xdr:rowOff>
    </xdr:from>
    <xdr:to>
      <xdr:col>42</xdr:col>
      <xdr:colOff>389620</xdr:colOff>
      <xdr:row>63</xdr:row>
      <xdr:rowOff>87993</xdr:rowOff>
    </xdr:to>
    <xdr:sp macro="" textlink="">
      <xdr:nvSpPr>
        <xdr:cNvPr id="204" name="Rectángulo 762"/>
        <xdr:cNvSpPr/>
      </xdr:nvSpPr>
      <xdr:spPr>
        <a:xfrm>
          <a:off x="25094295" y="11603718"/>
          <a:ext cx="631825"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Energy use</a:t>
          </a:r>
        </a:p>
      </xdr:txBody>
    </xdr:sp>
    <xdr:clientData/>
  </xdr:twoCellAnchor>
  <xdr:twoCellAnchor>
    <xdr:from>
      <xdr:col>41</xdr:col>
      <xdr:colOff>513445</xdr:colOff>
      <xdr:row>63</xdr:row>
      <xdr:rowOff>135619</xdr:rowOff>
    </xdr:from>
    <xdr:to>
      <xdr:col>42</xdr:col>
      <xdr:colOff>200086</xdr:colOff>
      <xdr:row>68</xdr:row>
      <xdr:rowOff>82929</xdr:rowOff>
    </xdr:to>
    <xdr:sp macro="" textlink="">
      <xdr:nvSpPr>
        <xdr:cNvPr id="205" name="Flecha a la derecha con bandas 737"/>
        <xdr:cNvSpPr/>
      </xdr:nvSpPr>
      <xdr:spPr>
        <a:xfrm rot="5400000">
          <a:off x="24941736" y="12442078"/>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484870</xdr:colOff>
      <xdr:row>62</xdr:row>
      <xdr:rowOff>143558</xdr:rowOff>
    </xdr:from>
    <xdr:to>
      <xdr:col>46</xdr:col>
      <xdr:colOff>181036</xdr:colOff>
      <xdr:row>68</xdr:row>
      <xdr:rowOff>68593</xdr:rowOff>
    </xdr:to>
    <xdr:sp macro="" textlink="">
      <xdr:nvSpPr>
        <xdr:cNvPr id="210" name="Flecha a la derecha con bandas 740"/>
        <xdr:cNvSpPr/>
      </xdr:nvSpPr>
      <xdr:spPr>
        <a:xfrm rot="5400000">
          <a:off x="27246810" y="12338868"/>
          <a:ext cx="1068035" cy="299416"/>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105455</xdr:colOff>
      <xdr:row>80</xdr:row>
      <xdr:rowOff>44338</xdr:rowOff>
    </xdr:from>
    <xdr:to>
      <xdr:col>45</xdr:col>
      <xdr:colOff>392965</xdr:colOff>
      <xdr:row>85</xdr:row>
      <xdr:rowOff>159873</xdr:rowOff>
    </xdr:to>
    <xdr:sp macro="" textlink="">
      <xdr:nvSpPr>
        <xdr:cNvPr id="211" name="Flecha a la derecha con bandas 743"/>
        <xdr:cNvSpPr/>
      </xdr:nvSpPr>
      <xdr:spPr>
        <a:xfrm rot="5400000">
          <a:off x="26861442" y="15674601"/>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408667</xdr:colOff>
      <xdr:row>85</xdr:row>
      <xdr:rowOff>188004</xdr:rowOff>
    </xdr:from>
    <xdr:to>
      <xdr:col>46</xdr:col>
      <xdr:colOff>53068</xdr:colOff>
      <xdr:row>88</xdr:row>
      <xdr:rowOff>161018</xdr:rowOff>
    </xdr:to>
    <xdr:sp macro="" textlink="">
      <xdr:nvSpPr>
        <xdr:cNvPr id="212" name="Rectángulo 756"/>
        <xdr:cNvSpPr/>
      </xdr:nvSpPr>
      <xdr:spPr>
        <a:xfrm>
          <a:off x="26951667" y="16380504"/>
          <a:ext cx="850901" cy="544514"/>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baseline="-25000">
              <a:solidFill>
                <a:sysClr val="windowText" lastClr="000000"/>
              </a:solidFill>
            </a:rPr>
            <a:t>Manue</a:t>
          </a:r>
        </a:p>
      </xdr:txBody>
    </xdr:sp>
    <xdr:clientData/>
  </xdr:twoCellAnchor>
  <xdr:twoCellAnchor>
    <xdr:from>
      <xdr:col>45</xdr:col>
      <xdr:colOff>549956</xdr:colOff>
      <xdr:row>60</xdr:row>
      <xdr:rowOff>34017</xdr:rowOff>
    </xdr:from>
    <xdr:to>
      <xdr:col>47</xdr:col>
      <xdr:colOff>446768</xdr:colOff>
      <xdr:row>62</xdr:row>
      <xdr:rowOff>96092</xdr:rowOff>
    </xdr:to>
    <xdr:sp macro="" textlink="">
      <xdr:nvSpPr>
        <xdr:cNvPr id="213" name="Rectángulo 750"/>
        <xdr:cNvSpPr/>
      </xdr:nvSpPr>
      <xdr:spPr>
        <a:xfrm>
          <a:off x="27696206" y="11464017"/>
          <a:ext cx="1103312" cy="443075"/>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Human labour</a:t>
          </a:r>
        </a:p>
      </xdr:txBody>
    </xdr:sp>
    <xdr:clientData/>
  </xdr:twoCellAnchor>
  <xdr:twoCellAnchor>
    <xdr:from>
      <xdr:col>46</xdr:col>
      <xdr:colOff>267609</xdr:colOff>
      <xdr:row>74</xdr:row>
      <xdr:rowOff>7939</xdr:rowOff>
    </xdr:from>
    <xdr:to>
      <xdr:col>49</xdr:col>
      <xdr:colOff>29484</xdr:colOff>
      <xdr:row>76</xdr:row>
      <xdr:rowOff>111127</xdr:rowOff>
    </xdr:to>
    <xdr:sp macro="" textlink="">
      <xdr:nvSpPr>
        <xdr:cNvPr id="214" name="Llamada de flecha a la derecha 221"/>
        <xdr:cNvSpPr/>
      </xdr:nvSpPr>
      <xdr:spPr>
        <a:xfrm>
          <a:off x="28017109" y="14104939"/>
          <a:ext cx="1571625" cy="484188"/>
        </a:xfrm>
        <a:prstGeom prst="rightArrowCallou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Export </a:t>
          </a:r>
        </a:p>
        <a:p>
          <a:pPr algn="ctr"/>
          <a:r>
            <a:rPr lang="en-GB" sz="1100">
              <a:solidFill>
                <a:sysClr val="windowText" lastClr="000000"/>
              </a:solidFill>
            </a:rPr>
            <a:t>48 Gg</a:t>
          </a:r>
        </a:p>
      </xdr:txBody>
    </xdr:sp>
    <xdr:clientData/>
  </xdr:twoCellAnchor>
  <xdr:twoCellAnchor>
    <xdr:from>
      <xdr:col>35</xdr:col>
      <xdr:colOff>518531</xdr:colOff>
      <xdr:row>54</xdr:row>
      <xdr:rowOff>133182</xdr:rowOff>
    </xdr:from>
    <xdr:to>
      <xdr:col>37</xdr:col>
      <xdr:colOff>407101</xdr:colOff>
      <xdr:row>57</xdr:row>
      <xdr:rowOff>30887</xdr:rowOff>
    </xdr:to>
    <xdr:sp macro="" textlink="">
      <xdr:nvSpPr>
        <xdr:cNvPr id="217" name="Rectángulo 762"/>
        <xdr:cNvSpPr/>
      </xdr:nvSpPr>
      <xdr:spPr>
        <a:xfrm>
          <a:off x="21632281" y="10420182"/>
          <a:ext cx="1095070" cy="46920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Roughages</a:t>
          </a:r>
        </a:p>
      </xdr:txBody>
    </xdr:sp>
    <xdr:clientData/>
  </xdr:twoCellAnchor>
  <xdr:twoCellAnchor>
    <xdr:from>
      <xdr:col>36</xdr:col>
      <xdr:colOff>462816</xdr:colOff>
      <xdr:row>57</xdr:row>
      <xdr:rowOff>30887</xdr:rowOff>
    </xdr:from>
    <xdr:to>
      <xdr:col>38</xdr:col>
      <xdr:colOff>319768</xdr:colOff>
      <xdr:row>61</xdr:row>
      <xdr:rowOff>105455</xdr:rowOff>
    </xdr:to>
    <xdr:cxnSp macro="">
      <xdr:nvCxnSpPr>
        <xdr:cNvPr id="218" name="Straight Arrow Connector 90"/>
        <xdr:cNvCxnSpPr>
          <a:stCxn id="217" idx="2"/>
          <a:endCxn id="201" idx="1"/>
        </xdr:cNvCxnSpPr>
      </xdr:nvCxnSpPr>
      <xdr:spPr>
        <a:xfrm>
          <a:off x="22179816" y="10889387"/>
          <a:ext cx="1063452" cy="8365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330858</xdr:colOff>
      <xdr:row>85</xdr:row>
      <xdr:rowOff>97518</xdr:rowOff>
    </xdr:from>
    <xdr:to>
      <xdr:col>40</xdr:col>
      <xdr:colOff>224539</xdr:colOff>
      <xdr:row>87</xdr:row>
      <xdr:rowOff>149949</xdr:rowOff>
    </xdr:to>
    <xdr:sp macro="" textlink="">
      <xdr:nvSpPr>
        <xdr:cNvPr id="219" name="Rectángulo 762"/>
        <xdr:cNvSpPr/>
      </xdr:nvSpPr>
      <xdr:spPr>
        <a:xfrm>
          <a:off x="23254358" y="16290018"/>
          <a:ext cx="1100181" cy="433431"/>
        </a:xfrm>
        <a:prstGeom prst="rect">
          <a:avLst/>
        </a:prstGeom>
        <a:noFill/>
        <a:ln w="28575">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Fresh grass</a:t>
          </a:r>
        </a:p>
        <a:p>
          <a:pPr algn="ctr"/>
          <a:r>
            <a:rPr lang="en-GB" sz="1100"/>
            <a:t>2,5 Tg DMI</a:t>
          </a:r>
        </a:p>
      </xdr:txBody>
    </xdr:sp>
    <xdr:clientData/>
  </xdr:twoCellAnchor>
  <xdr:twoCellAnchor>
    <xdr:from>
      <xdr:col>35</xdr:col>
      <xdr:colOff>256268</xdr:colOff>
      <xdr:row>58</xdr:row>
      <xdr:rowOff>134867</xdr:rowOff>
    </xdr:from>
    <xdr:to>
      <xdr:col>37</xdr:col>
      <xdr:colOff>69757</xdr:colOff>
      <xdr:row>61</xdr:row>
      <xdr:rowOff>5553</xdr:rowOff>
    </xdr:to>
    <xdr:sp macro="" textlink="">
      <xdr:nvSpPr>
        <xdr:cNvPr id="220" name="Rectángulo 762"/>
        <xdr:cNvSpPr/>
      </xdr:nvSpPr>
      <xdr:spPr>
        <a:xfrm>
          <a:off x="21370018" y="11183867"/>
          <a:ext cx="1019989" cy="442186"/>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By-products</a:t>
          </a:r>
        </a:p>
      </xdr:txBody>
    </xdr:sp>
    <xdr:clientData/>
  </xdr:twoCellAnchor>
  <xdr:twoCellAnchor>
    <xdr:from>
      <xdr:col>37</xdr:col>
      <xdr:colOff>69757</xdr:colOff>
      <xdr:row>59</xdr:row>
      <xdr:rowOff>165460</xdr:rowOff>
    </xdr:from>
    <xdr:to>
      <xdr:col>38</xdr:col>
      <xdr:colOff>319768</xdr:colOff>
      <xdr:row>61</xdr:row>
      <xdr:rowOff>107645</xdr:rowOff>
    </xdr:to>
    <xdr:cxnSp macro="">
      <xdr:nvCxnSpPr>
        <xdr:cNvPr id="221" name="Rechte verbindingslijn met pijl 29"/>
        <xdr:cNvCxnSpPr>
          <a:stCxn id="220" idx="3"/>
          <a:endCxn id="201" idx="1"/>
        </xdr:cNvCxnSpPr>
      </xdr:nvCxnSpPr>
      <xdr:spPr>
        <a:xfrm>
          <a:off x="22390007" y="11404960"/>
          <a:ext cx="853261" cy="3231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335643</xdr:colOff>
      <xdr:row>61</xdr:row>
      <xdr:rowOff>97518</xdr:rowOff>
    </xdr:from>
    <xdr:to>
      <xdr:col>37</xdr:col>
      <xdr:colOff>149132</xdr:colOff>
      <xdr:row>63</xdr:row>
      <xdr:rowOff>174156</xdr:rowOff>
    </xdr:to>
    <xdr:sp macro="" textlink="">
      <xdr:nvSpPr>
        <xdr:cNvPr id="222" name="Rectángulo 762"/>
        <xdr:cNvSpPr/>
      </xdr:nvSpPr>
      <xdr:spPr>
        <a:xfrm>
          <a:off x="21449393" y="11718018"/>
          <a:ext cx="1019989" cy="457638"/>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nchorCtr="0"/>
        <a:lstStyle/>
        <a:p>
          <a:pPr algn="ctr"/>
          <a:r>
            <a:rPr lang="en-GB" sz="1100"/>
            <a:t>Artificial milk</a:t>
          </a:r>
        </a:p>
      </xdr:txBody>
    </xdr:sp>
    <xdr:clientData/>
  </xdr:twoCellAnchor>
  <xdr:twoCellAnchor>
    <xdr:from>
      <xdr:col>37</xdr:col>
      <xdr:colOff>149132</xdr:colOff>
      <xdr:row>61</xdr:row>
      <xdr:rowOff>107645</xdr:rowOff>
    </xdr:from>
    <xdr:to>
      <xdr:col>38</xdr:col>
      <xdr:colOff>319768</xdr:colOff>
      <xdr:row>62</xdr:row>
      <xdr:rowOff>135837</xdr:rowOff>
    </xdr:to>
    <xdr:cxnSp macro="">
      <xdr:nvCxnSpPr>
        <xdr:cNvPr id="223" name="Rechte verbindingslijn met pijl 31"/>
        <xdr:cNvCxnSpPr>
          <a:stCxn id="222" idx="3"/>
          <a:endCxn id="201" idx="1"/>
        </xdr:cNvCxnSpPr>
      </xdr:nvCxnSpPr>
      <xdr:spPr>
        <a:xfrm flipV="1">
          <a:off x="22469382" y="11728145"/>
          <a:ext cx="773886" cy="2186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269875</xdr:colOff>
      <xdr:row>76</xdr:row>
      <xdr:rowOff>174624</xdr:rowOff>
    </xdr:from>
    <xdr:to>
      <xdr:col>49</xdr:col>
      <xdr:colOff>79375</xdr:colOff>
      <xdr:row>79</xdr:row>
      <xdr:rowOff>79375</xdr:rowOff>
    </xdr:to>
    <xdr:sp macro="" textlink="">
      <xdr:nvSpPr>
        <xdr:cNvPr id="225" name="Llamada de flecha a la derecha 221"/>
        <xdr:cNvSpPr/>
      </xdr:nvSpPr>
      <xdr:spPr>
        <a:xfrm>
          <a:off x="28019375" y="14652624"/>
          <a:ext cx="1619250" cy="476251"/>
        </a:xfrm>
        <a:prstGeom prst="rightArrowCallou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Manure</a:t>
          </a:r>
        </a:p>
        <a:p>
          <a:pPr algn="ctr"/>
          <a:r>
            <a:rPr lang="en-GB" sz="1100" baseline="0">
              <a:solidFill>
                <a:sysClr val="windowText" lastClr="000000"/>
              </a:solidFill>
            </a:rPr>
            <a:t>55 Tg </a:t>
          </a:r>
          <a:endParaRPr lang="en-GB" sz="1100">
            <a:solidFill>
              <a:sysClr val="windowText" lastClr="000000"/>
            </a:solidFill>
          </a:endParaRPr>
        </a:p>
      </xdr:txBody>
    </xdr:sp>
    <xdr:clientData/>
  </xdr:twoCellAnchor>
  <xdr:twoCellAnchor>
    <xdr:from>
      <xdr:col>46</xdr:col>
      <xdr:colOff>269583</xdr:colOff>
      <xdr:row>71</xdr:row>
      <xdr:rowOff>21653</xdr:rowOff>
    </xdr:from>
    <xdr:to>
      <xdr:col>50</xdr:col>
      <xdr:colOff>29483</xdr:colOff>
      <xdr:row>73</xdr:row>
      <xdr:rowOff>120817</xdr:rowOff>
    </xdr:to>
    <xdr:sp macro="" textlink="">
      <xdr:nvSpPr>
        <xdr:cNvPr id="226" name="Llamada de flecha a la derecha 221"/>
        <xdr:cNvSpPr/>
      </xdr:nvSpPr>
      <xdr:spPr>
        <a:xfrm>
          <a:off x="28019083" y="13547153"/>
          <a:ext cx="2172900" cy="480164"/>
        </a:xfrm>
        <a:prstGeom prst="rightArrowCallou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Beef sector </a:t>
          </a:r>
        </a:p>
        <a:p>
          <a:pPr algn="ctr"/>
          <a:r>
            <a:rPr lang="en-GB" sz="1100">
              <a:solidFill>
                <a:sysClr val="windowText" lastClr="000000"/>
              </a:solidFill>
            </a:rPr>
            <a:t>51 Gg</a:t>
          </a:r>
        </a:p>
      </xdr:txBody>
    </xdr:sp>
    <xdr:clientData/>
  </xdr:twoCellAnchor>
  <xdr:twoCellAnchor>
    <xdr:from>
      <xdr:col>46</xdr:col>
      <xdr:colOff>266179</xdr:colOff>
      <xdr:row>79</xdr:row>
      <xdr:rowOff>162757</xdr:rowOff>
    </xdr:from>
    <xdr:to>
      <xdr:col>49</xdr:col>
      <xdr:colOff>416992</xdr:colOff>
      <xdr:row>82</xdr:row>
      <xdr:rowOff>66529</xdr:rowOff>
    </xdr:to>
    <xdr:sp macro="" textlink="">
      <xdr:nvSpPr>
        <xdr:cNvPr id="227" name="Llamada de flecha a la derecha 221"/>
        <xdr:cNvSpPr/>
      </xdr:nvSpPr>
      <xdr:spPr>
        <a:xfrm>
          <a:off x="28015679" y="15212257"/>
          <a:ext cx="1960563" cy="475272"/>
        </a:xfrm>
        <a:prstGeom prst="rightArrowCallou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Slaughtered</a:t>
          </a:r>
          <a:r>
            <a:rPr lang="en-GB" sz="1100" baseline="0">
              <a:solidFill>
                <a:sysClr val="windowText" lastClr="000000"/>
              </a:solidFill>
            </a:rPr>
            <a:t> cows</a:t>
          </a:r>
        </a:p>
        <a:p>
          <a:pPr algn="ctr"/>
          <a:r>
            <a:rPr lang="en-GB" sz="1100" baseline="0">
              <a:solidFill>
                <a:sysClr val="windowText" lastClr="000000"/>
              </a:solidFill>
            </a:rPr>
            <a:t>141 Gg</a:t>
          </a:r>
          <a:endParaRPr lang="en-GB" sz="1100">
            <a:solidFill>
              <a:sysClr val="windowText" lastClr="000000"/>
            </a:solidFill>
          </a:endParaRPr>
        </a:p>
      </xdr:txBody>
    </xdr:sp>
    <xdr:clientData/>
  </xdr:twoCellAnchor>
  <xdr:twoCellAnchor>
    <xdr:from>
      <xdr:col>46</xdr:col>
      <xdr:colOff>290286</xdr:colOff>
      <xdr:row>68</xdr:row>
      <xdr:rowOff>56697</xdr:rowOff>
    </xdr:from>
    <xdr:to>
      <xdr:col>50</xdr:col>
      <xdr:colOff>50186</xdr:colOff>
      <xdr:row>70</xdr:row>
      <xdr:rowOff>155861</xdr:rowOff>
    </xdr:to>
    <xdr:sp macro="" textlink="">
      <xdr:nvSpPr>
        <xdr:cNvPr id="228" name="Llamada de flecha a la derecha 221"/>
        <xdr:cNvSpPr/>
      </xdr:nvSpPr>
      <xdr:spPr>
        <a:xfrm>
          <a:off x="28039786" y="13010697"/>
          <a:ext cx="2172900" cy="480164"/>
        </a:xfrm>
        <a:prstGeom prst="rightArrowCallou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Milk production</a:t>
          </a:r>
        </a:p>
        <a:p>
          <a:pPr algn="ctr"/>
          <a:r>
            <a:rPr lang="en-GB" sz="1100">
              <a:solidFill>
                <a:sysClr val="windowText" lastClr="000000"/>
              </a:solidFill>
            </a:rPr>
            <a:t>12,6 Tg</a:t>
          </a:r>
        </a:p>
      </xdr:txBody>
    </xdr:sp>
    <xdr:clientData/>
  </xdr:twoCellAnchor>
  <xdr:twoCellAnchor>
    <xdr:from>
      <xdr:col>35</xdr:col>
      <xdr:colOff>0</xdr:colOff>
      <xdr:row>68</xdr:row>
      <xdr:rowOff>138339</xdr:rowOff>
    </xdr:from>
    <xdr:to>
      <xdr:col>38</xdr:col>
      <xdr:colOff>363150</xdr:colOff>
      <xdr:row>71</xdr:row>
      <xdr:rowOff>47003</xdr:rowOff>
    </xdr:to>
    <xdr:sp macro="" textlink="">
      <xdr:nvSpPr>
        <xdr:cNvPr id="229" name="Llamada de flecha a la derecha 221"/>
        <xdr:cNvSpPr/>
      </xdr:nvSpPr>
      <xdr:spPr>
        <a:xfrm>
          <a:off x="21113750" y="13092339"/>
          <a:ext cx="2172900" cy="480164"/>
        </a:xfrm>
        <a:prstGeom prst="rightArrowCallou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Import </a:t>
          </a:r>
        </a:p>
        <a:p>
          <a:pPr algn="ctr"/>
          <a:r>
            <a:rPr lang="en-GB" sz="1100">
              <a:solidFill>
                <a:sysClr val="windowText" lastClr="000000"/>
              </a:solidFill>
            </a:rPr>
            <a:t>10 Gg</a:t>
          </a:r>
        </a:p>
      </xdr:txBody>
    </xdr:sp>
    <xdr:clientData/>
  </xdr:twoCellAnchor>
  <xdr:twoCellAnchor>
    <xdr:from>
      <xdr:col>42</xdr:col>
      <xdr:colOff>562428</xdr:colOff>
      <xdr:row>62</xdr:row>
      <xdr:rowOff>176893</xdr:rowOff>
    </xdr:from>
    <xdr:to>
      <xdr:col>44</xdr:col>
      <xdr:colOff>514570</xdr:colOff>
      <xdr:row>65</xdr:row>
      <xdr:rowOff>48707</xdr:rowOff>
    </xdr:to>
    <xdr:sp macro="" textlink="">
      <xdr:nvSpPr>
        <xdr:cNvPr id="230" name="Rectángulo 750"/>
        <xdr:cNvSpPr/>
      </xdr:nvSpPr>
      <xdr:spPr>
        <a:xfrm>
          <a:off x="25898928" y="11987893"/>
          <a:ext cx="1158642" cy="443314"/>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Land use</a:t>
          </a:r>
        </a:p>
      </xdr:txBody>
    </xdr:sp>
    <xdr:clientData/>
  </xdr:twoCellAnchor>
  <xdr:twoCellAnchor>
    <xdr:from>
      <xdr:col>39</xdr:col>
      <xdr:colOff>97517</xdr:colOff>
      <xdr:row>79</xdr:row>
      <xdr:rowOff>161018</xdr:rowOff>
    </xdr:from>
    <xdr:to>
      <xdr:col>39</xdr:col>
      <xdr:colOff>385027</xdr:colOff>
      <xdr:row>85</xdr:row>
      <xdr:rowOff>61313</xdr:rowOff>
    </xdr:to>
    <xdr:sp macro="" textlink="">
      <xdr:nvSpPr>
        <xdr:cNvPr id="231" name="Flecha a la derecha con bandas 743"/>
        <xdr:cNvSpPr/>
      </xdr:nvSpPr>
      <xdr:spPr>
        <a:xfrm rot="16200000">
          <a:off x="23246374" y="15588411"/>
          <a:ext cx="1043295" cy="287510"/>
        </a:xfrm>
        <a:prstGeom prst="stripedRightArrow">
          <a:avLst>
            <a:gd name="adj1" fmla="val 32857"/>
            <a:gd name="adj2" fmla="val 64286"/>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462643</xdr:colOff>
      <xdr:row>56</xdr:row>
      <xdr:rowOff>145143</xdr:rowOff>
    </xdr:from>
    <xdr:to>
      <xdr:col>46</xdr:col>
      <xdr:colOff>359455</xdr:colOff>
      <xdr:row>59</xdr:row>
      <xdr:rowOff>16718</xdr:rowOff>
    </xdr:to>
    <xdr:sp macro="" textlink="">
      <xdr:nvSpPr>
        <xdr:cNvPr id="232" name="Rectángulo 750"/>
        <xdr:cNvSpPr/>
      </xdr:nvSpPr>
      <xdr:spPr>
        <a:xfrm>
          <a:off x="27005643" y="10813143"/>
          <a:ext cx="1103312" cy="443075"/>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GB" sz="1100">
              <a:solidFill>
                <a:sysClr val="windowText" lastClr="000000"/>
              </a:solidFill>
            </a:rPr>
            <a:t>Animal Fund</a:t>
          </a:r>
        </a:p>
      </xdr:txBody>
    </xdr:sp>
    <xdr:clientData/>
  </xdr:twoCellAnchor>
  <xdr:twoCellAnchor>
    <xdr:from>
      <xdr:col>44</xdr:col>
      <xdr:colOff>589643</xdr:colOff>
      <xdr:row>59</xdr:row>
      <xdr:rowOff>81647</xdr:rowOff>
    </xdr:from>
    <xdr:to>
      <xdr:col>45</xdr:col>
      <xdr:colOff>256268</xdr:colOff>
      <xdr:row>68</xdr:row>
      <xdr:rowOff>38431</xdr:rowOff>
    </xdr:to>
    <xdr:sp macro="" textlink="">
      <xdr:nvSpPr>
        <xdr:cNvPr id="233" name="Flecha a la derecha con bandas 740"/>
        <xdr:cNvSpPr/>
      </xdr:nvSpPr>
      <xdr:spPr>
        <a:xfrm rot="5400000">
          <a:off x="26431939" y="12021851"/>
          <a:ext cx="1671284" cy="269875"/>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328084</xdr:colOff>
      <xdr:row>65</xdr:row>
      <xdr:rowOff>84667</xdr:rowOff>
    </xdr:from>
    <xdr:to>
      <xdr:col>43</xdr:col>
      <xdr:colOff>575731</xdr:colOff>
      <xdr:row>68</xdr:row>
      <xdr:rowOff>42622</xdr:rowOff>
    </xdr:to>
    <xdr:sp macro="" textlink="">
      <xdr:nvSpPr>
        <xdr:cNvPr id="235" name="Flecha a la derecha con bandas 740"/>
        <xdr:cNvSpPr/>
      </xdr:nvSpPr>
      <xdr:spPr>
        <a:xfrm rot="5400000">
          <a:off x="26582013" y="12608071"/>
          <a:ext cx="529455" cy="247647"/>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4" workbookViewId="0">
      <selection activeCell="D12" sqref="D12"/>
    </sheetView>
  </sheetViews>
  <sheetFormatPr defaultRowHeight="15" x14ac:dyDescent="0.25"/>
  <cols>
    <col min="1" max="1" width="35.28515625" customWidth="1"/>
    <col min="2" max="2" width="78.85546875" customWidth="1"/>
  </cols>
  <sheetData>
    <row r="1" spans="1:3" x14ac:dyDescent="0.25">
      <c r="C1" t="s">
        <v>11</v>
      </c>
    </row>
    <row r="2" spans="1:3" x14ac:dyDescent="0.25">
      <c r="A2" t="s">
        <v>158</v>
      </c>
      <c r="B2" t="s">
        <v>163</v>
      </c>
      <c r="C2" t="s">
        <v>190</v>
      </c>
    </row>
    <row r="4" spans="1:3" ht="90" x14ac:dyDescent="0.25">
      <c r="A4" t="s">
        <v>159</v>
      </c>
      <c r="B4" s="18" t="s">
        <v>160</v>
      </c>
      <c r="C4" t="s">
        <v>190</v>
      </c>
    </row>
    <row r="5" spans="1:3" ht="210" x14ac:dyDescent="0.25">
      <c r="A5" t="s">
        <v>161</v>
      </c>
      <c r="B5" s="18" t="s">
        <v>162</v>
      </c>
      <c r="C5" t="s">
        <v>190</v>
      </c>
    </row>
    <row r="6" spans="1:3" x14ac:dyDescent="0.25">
      <c r="A6" t="s">
        <v>184</v>
      </c>
      <c r="B6" t="s">
        <v>185</v>
      </c>
      <c r="C6" t="s">
        <v>190</v>
      </c>
    </row>
    <row r="7" spans="1:3" x14ac:dyDescent="0.25">
      <c r="A7" t="s">
        <v>186</v>
      </c>
      <c r="B7" t="s">
        <v>187</v>
      </c>
      <c r="C7" t="s">
        <v>190</v>
      </c>
    </row>
    <row r="8" spans="1:3" ht="30" x14ac:dyDescent="0.25">
      <c r="A8" t="s">
        <v>188</v>
      </c>
      <c r="B8" s="18" t="s">
        <v>189</v>
      </c>
      <c r="C8" t="s">
        <v>190</v>
      </c>
    </row>
    <row r="9" spans="1:3" ht="30" x14ac:dyDescent="0.25">
      <c r="A9" t="s">
        <v>88</v>
      </c>
      <c r="B9" s="18" t="s">
        <v>191</v>
      </c>
      <c r="C9" t="s">
        <v>190</v>
      </c>
    </row>
    <row r="10" spans="1:3" x14ac:dyDescent="0.25">
      <c r="A10" t="s">
        <v>192</v>
      </c>
      <c r="B10" t="s">
        <v>194</v>
      </c>
      <c r="C10" t="s">
        <v>190</v>
      </c>
    </row>
    <row r="11" spans="1:3" x14ac:dyDescent="0.25">
      <c r="A11" t="s">
        <v>193</v>
      </c>
      <c r="B11" t="s">
        <v>196</v>
      </c>
      <c r="C11" t="s">
        <v>190</v>
      </c>
    </row>
    <row r="12" spans="1:3" x14ac:dyDescent="0.25">
      <c r="A12" t="s">
        <v>3</v>
      </c>
      <c r="B12" t="s">
        <v>195</v>
      </c>
      <c r="C12" t="s">
        <v>190</v>
      </c>
    </row>
    <row r="13" spans="1:3" x14ac:dyDescent="0.25">
      <c r="A13" t="s">
        <v>240</v>
      </c>
      <c r="B13" t="s">
        <v>248</v>
      </c>
      <c r="C13" t="s">
        <v>251</v>
      </c>
    </row>
    <row r="14" spans="1:3" x14ac:dyDescent="0.25">
      <c r="A14" t="s">
        <v>241</v>
      </c>
      <c r="B14" s="24" t="s">
        <v>250</v>
      </c>
      <c r="C14" t="s">
        <v>251</v>
      </c>
    </row>
    <row r="15" spans="1:3" x14ac:dyDescent="0.25">
      <c r="A15" t="s">
        <v>242</v>
      </c>
      <c r="B15" t="s">
        <v>249</v>
      </c>
      <c r="C15" t="s">
        <v>251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K23"/>
  <sheetViews>
    <sheetView topLeftCell="AD31" zoomScale="60" zoomScaleNormal="60" workbookViewId="0">
      <selection activeCell="AH48" sqref="AH48:BB111"/>
    </sheetView>
  </sheetViews>
  <sheetFormatPr defaultRowHeight="15" x14ac:dyDescent="0.25"/>
  <sheetData>
    <row r="23" spans="11:11" x14ac:dyDescent="0.25">
      <c r="K23" t="s">
        <v>322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B1"/>
  <sheetViews>
    <sheetView workbookViewId="0">
      <selection sqref="A1:XFD1"/>
    </sheetView>
  </sheetViews>
  <sheetFormatPr defaultRowHeight="15" x14ac:dyDescent="0.25"/>
  <sheetData>
    <row r="1" spans="1:28" s="12" customFormat="1" ht="25.5" x14ac:dyDescent="0.2">
      <c r="A1" s="12" t="s">
        <v>118</v>
      </c>
      <c r="B1" s="12" t="s">
        <v>119</v>
      </c>
      <c r="C1" s="12" t="s">
        <v>120</v>
      </c>
      <c r="D1" s="12" t="s">
        <v>121</v>
      </c>
      <c r="E1" s="12" t="s">
        <v>122</v>
      </c>
      <c r="F1" s="13" t="s">
        <v>123</v>
      </c>
      <c r="G1" s="13" t="s">
        <v>8</v>
      </c>
      <c r="H1" s="14" t="s">
        <v>124</v>
      </c>
      <c r="I1" s="14" t="s">
        <v>125</v>
      </c>
      <c r="J1" s="14" t="s">
        <v>126</v>
      </c>
      <c r="K1" s="14" t="s">
        <v>127</v>
      </c>
      <c r="L1" s="14" t="s">
        <v>128</v>
      </c>
      <c r="M1" s="14" t="s">
        <v>11</v>
      </c>
      <c r="N1" s="14"/>
      <c r="O1" s="14"/>
      <c r="P1" s="14"/>
      <c r="Q1" s="14"/>
      <c r="R1" s="14"/>
      <c r="S1" s="14"/>
      <c r="T1" s="14"/>
      <c r="U1" s="14"/>
      <c r="V1" s="14"/>
      <c r="W1" s="15"/>
      <c r="X1" s="15"/>
      <c r="Y1" s="15"/>
      <c r="Z1" s="15"/>
      <c r="AA1" s="15"/>
      <c r="AB1" s="16"/>
    </row>
  </sheetData>
  <autoFilter ref="A1:AB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B1"/>
  <sheetViews>
    <sheetView workbookViewId="0">
      <selection sqref="A1:XFD1"/>
    </sheetView>
  </sheetViews>
  <sheetFormatPr defaultRowHeight="15" x14ac:dyDescent="0.25"/>
  <sheetData>
    <row r="1" spans="1:28" s="12" customFormat="1" ht="25.5" x14ac:dyDescent="0.2">
      <c r="A1" s="12" t="s">
        <v>118</v>
      </c>
      <c r="B1" s="12" t="s">
        <v>119</v>
      </c>
      <c r="C1" s="12" t="s">
        <v>120</v>
      </c>
      <c r="D1" s="12" t="s">
        <v>121</v>
      </c>
      <c r="E1" s="12" t="s">
        <v>122</v>
      </c>
      <c r="F1" s="13" t="s">
        <v>123</v>
      </c>
      <c r="G1" s="13" t="s">
        <v>8</v>
      </c>
      <c r="H1" s="14" t="s">
        <v>124</v>
      </c>
      <c r="I1" s="14" t="s">
        <v>125</v>
      </c>
      <c r="J1" s="14" t="s">
        <v>126</v>
      </c>
      <c r="K1" s="14" t="s">
        <v>127</v>
      </c>
      <c r="L1" s="14" t="s">
        <v>128</v>
      </c>
      <c r="M1" s="14" t="s">
        <v>11</v>
      </c>
      <c r="N1" s="14"/>
      <c r="O1" s="14"/>
      <c r="P1" s="14"/>
      <c r="Q1" s="14"/>
      <c r="R1" s="14"/>
      <c r="S1" s="14"/>
      <c r="T1" s="14"/>
      <c r="U1" s="14"/>
      <c r="V1" s="14"/>
      <c r="W1" s="15"/>
      <c r="X1" s="15"/>
      <c r="Y1" s="15"/>
      <c r="Z1" s="15"/>
      <c r="AA1" s="15"/>
      <c r="AB1" s="16"/>
    </row>
  </sheetData>
  <autoFilter ref="A1:AB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B1"/>
  <sheetViews>
    <sheetView workbookViewId="0">
      <selection activeCell="G8" sqref="G8"/>
    </sheetView>
  </sheetViews>
  <sheetFormatPr defaultRowHeight="15" x14ac:dyDescent="0.25"/>
  <sheetData>
    <row r="1" spans="1:28" s="12" customFormat="1" ht="25.5" x14ac:dyDescent="0.2">
      <c r="A1" s="12" t="s">
        <v>118</v>
      </c>
      <c r="B1" s="12" t="s">
        <v>119</v>
      </c>
      <c r="C1" s="12" t="s">
        <v>120</v>
      </c>
      <c r="D1" s="12" t="s">
        <v>121</v>
      </c>
      <c r="E1" s="12" t="s">
        <v>122</v>
      </c>
      <c r="F1" s="13" t="s">
        <v>123</v>
      </c>
      <c r="G1" s="13" t="s">
        <v>8</v>
      </c>
      <c r="H1" s="14" t="s">
        <v>124</v>
      </c>
      <c r="I1" s="14" t="s">
        <v>125</v>
      </c>
      <c r="J1" s="14" t="s">
        <v>126</v>
      </c>
      <c r="K1" s="14" t="s">
        <v>127</v>
      </c>
      <c r="L1" s="14" t="s">
        <v>128</v>
      </c>
      <c r="M1" s="14" t="s">
        <v>11</v>
      </c>
      <c r="N1" s="14"/>
      <c r="O1" s="14"/>
      <c r="P1" s="14"/>
      <c r="Q1" s="14"/>
      <c r="R1" s="14"/>
      <c r="S1" s="14"/>
      <c r="T1" s="14"/>
      <c r="U1" s="14"/>
      <c r="V1" s="14"/>
      <c r="W1" s="15"/>
      <c r="X1" s="15"/>
      <c r="Y1" s="15"/>
      <c r="Z1" s="15"/>
      <c r="AA1" s="15"/>
      <c r="AB1" s="16"/>
    </row>
  </sheetData>
  <autoFilter ref="A1:AB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
  <sheetViews>
    <sheetView workbookViewId="0">
      <selection sqref="A1:XFD1"/>
    </sheetView>
  </sheetViews>
  <sheetFormatPr defaultRowHeight="15" x14ac:dyDescent="0.25"/>
  <sheetData>
    <row r="1" spans="1:11" ht="26.25" x14ac:dyDescent="0.25">
      <c r="A1" s="17" t="s">
        <v>118</v>
      </c>
      <c r="B1" s="13" t="s">
        <v>119</v>
      </c>
      <c r="C1" s="7" t="s">
        <v>129</v>
      </c>
      <c r="D1" s="7" t="s">
        <v>121</v>
      </c>
      <c r="E1" s="7" t="s">
        <v>130</v>
      </c>
      <c r="F1" s="7" t="s">
        <v>123</v>
      </c>
      <c r="G1" s="13" t="s">
        <v>8</v>
      </c>
      <c r="H1" s="13" t="s">
        <v>9</v>
      </c>
      <c r="I1" s="14" t="s">
        <v>127</v>
      </c>
      <c r="J1" s="14" t="s">
        <v>128</v>
      </c>
      <c r="K1" s="7" t="s">
        <v>131</v>
      </c>
    </row>
  </sheetData>
  <autoFilter ref="A1:K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
  <sheetViews>
    <sheetView workbookViewId="0">
      <selection activeCell="E22" sqref="E22"/>
    </sheetView>
  </sheetViews>
  <sheetFormatPr defaultRowHeight="15" x14ac:dyDescent="0.25"/>
  <sheetData>
    <row r="1" spans="1:14" ht="26.25" x14ac:dyDescent="0.25">
      <c r="A1" s="17" t="s">
        <v>118</v>
      </c>
      <c r="B1" s="17" t="s">
        <v>132</v>
      </c>
      <c r="C1" s="13" t="s">
        <v>119</v>
      </c>
      <c r="D1" s="7" t="s">
        <v>129</v>
      </c>
      <c r="E1" s="7" t="s">
        <v>121</v>
      </c>
      <c r="F1" s="7" t="s">
        <v>130</v>
      </c>
      <c r="G1" s="7" t="s">
        <v>123</v>
      </c>
      <c r="H1" s="13" t="s">
        <v>8</v>
      </c>
      <c r="I1" s="14" t="s">
        <v>124</v>
      </c>
      <c r="J1" s="14" t="s">
        <v>125</v>
      </c>
      <c r="K1" s="14" t="s">
        <v>126</v>
      </c>
      <c r="L1" s="14" t="s">
        <v>127</v>
      </c>
      <c r="M1" s="14" t="s">
        <v>128</v>
      </c>
      <c r="N1" s="7" t="s">
        <v>11</v>
      </c>
    </row>
  </sheetData>
  <autoFilter ref="A1:N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11"/>
  <sheetViews>
    <sheetView topLeftCell="C25" workbookViewId="0">
      <selection activeCell="F18" sqref="F18"/>
    </sheetView>
  </sheetViews>
  <sheetFormatPr defaultRowHeight="15" x14ac:dyDescent="0.25"/>
  <cols>
    <col min="1" max="1" width="24.7109375" customWidth="1"/>
    <col min="2" max="2" width="58.28515625" customWidth="1"/>
    <col min="4" max="4" width="16.5703125" customWidth="1"/>
    <col min="5" max="5" width="11.7109375" bestFit="1" customWidth="1"/>
    <col min="6" max="6" width="14.42578125" customWidth="1"/>
    <col min="7" max="7" width="31" customWidth="1"/>
    <col min="8" max="8" width="34.140625" customWidth="1"/>
    <col min="9" max="9" width="13.7109375" customWidth="1"/>
    <col min="10" max="10" width="34.42578125" customWidth="1"/>
    <col min="11" max="11" width="14.28515625" customWidth="1"/>
    <col min="12" max="12" width="11" bestFit="1" customWidth="1"/>
    <col min="13" max="13" width="10.5703125" customWidth="1"/>
  </cols>
  <sheetData>
    <row r="1" spans="1:14" x14ac:dyDescent="0.25">
      <c r="A1" s="1" t="s">
        <v>0</v>
      </c>
      <c r="C1" t="s">
        <v>7</v>
      </c>
      <c r="D1" t="s">
        <v>8</v>
      </c>
      <c r="E1" t="s">
        <v>9</v>
      </c>
      <c r="F1" t="s">
        <v>10</v>
      </c>
      <c r="G1" t="s">
        <v>11</v>
      </c>
      <c r="H1" s="25" t="s">
        <v>15</v>
      </c>
      <c r="I1" s="1" t="s">
        <v>224</v>
      </c>
      <c r="J1" s="33"/>
      <c r="K1" t="s">
        <v>225</v>
      </c>
      <c r="L1" t="s">
        <v>9</v>
      </c>
      <c r="M1" t="s">
        <v>10</v>
      </c>
      <c r="N1" t="s">
        <v>128</v>
      </c>
    </row>
    <row r="2" spans="1:14" x14ac:dyDescent="0.25">
      <c r="B2" t="s">
        <v>6</v>
      </c>
      <c r="C2">
        <v>2014</v>
      </c>
      <c r="D2" t="s">
        <v>12</v>
      </c>
      <c r="E2" s="3">
        <v>59458</v>
      </c>
      <c r="F2" t="s">
        <v>13</v>
      </c>
      <c r="G2" t="s">
        <v>81</v>
      </c>
      <c r="H2" s="25" t="s">
        <v>16</v>
      </c>
      <c r="J2" t="s">
        <v>226</v>
      </c>
      <c r="K2" t="s">
        <v>257</v>
      </c>
      <c r="L2">
        <f>L14+L25+L38</f>
        <v>2408125528.4810514</v>
      </c>
    </row>
    <row r="3" spans="1:14" x14ac:dyDescent="0.25">
      <c r="C3">
        <v>2015</v>
      </c>
      <c r="D3" t="s">
        <v>12</v>
      </c>
      <c r="E3" s="3">
        <v>59341</v>
      </c>
      <c r="F3" t="s">
        <v>14</v>
      </c>
      <c r="G3" t="s">
        <v>90</v>
      </c>
      <c r="H3" s="25" t="s">
        <v>16</v>
      </c>
    </row>
    <row r="4" spans="1:14" x14ac:dyDescent="0.25">
      <c r="A4" s="1" t="s">
        <v>1</v>
      </c>
      <c r="B4" s="2" t="s">
        <v>2</v>
      </c>
      <c r="H4" s="25"/>
    </row>
    <row r="5" spans="1:14" x14ac:dyDescent="0.25">
      <c r="B5" t="s">
        <v>22</v>
      </c>
      <c r="C5">
        <v>2015</v>
      </c>
      <c r="D5" t="s">
        <v>304</v>
      </c>
      <c r="E5" s="5">
        <v>1576335.1119218529</v>
      </c>
      <c r="F5" t="s">
        <v>18</v>
      </c>
      <c r="G5" t="s">
        <v>17</v>
      </c>
      <c r="H5" s="25" t="s">
        <v>16</v>
      </c>
    </row>
    <row r="6" spans="1:14" x14ac:dyDescent="0.25">
      <c r="B6" t="s">
        <v>21</v>
      </c>
      <c r="C6">
        <v>2015</v>
      </c>
      <c r="D6" t="s">
        <v>269</v>
      </c>
      <c r="E6" s="5">
        <v>380672.53595758101</v>
      </c>
      <c r="F6" t="s">
        <v>19</v>
      </c>
      <c r="G6" t="s">
        <v>17</v>
      </c>
      <c r="H6" s="25" t="s">
        <v>16</v>
      </c>
      <c r="I6" s="1" t="s">
        <v>224</v>
      </c>
      <c r="J6" s="2" t="s">
        <v>2</v>
      </c>
    </row>
    <row r="7" spans="1:14" x14ac:dyDescent="0.25">
      <c r="B7" t="s">
        <v>24</v>
      </c>
      <c r="C7">
        <v>2015</v>
      </c>
      <c r="D7" t="s">
        <v>269</v>
      </c>
      <c r="E7" s="5">
        <v>387646</v>
      </c>
      <c r="F7" t="s">
        <v>23</v>
      </c>
      <c r="G7" t="s">
        <v>17</v>
      </c>
      <c r="H7" s="25" t="s">
        <v>16</v>
      </c>
    </row>
    <row r="8" spans="1:14" x14ac:dyDescent="0.25">
      <c r="B8" t="s">
        <v>74</v>
      </c>
      <c r="C8">
        <v>2015</v>
      </c>
      <c r="D8" t="s">
        <v>269</v>
      </c>
      <c r="E8" s="5">
        <f>SUM(E5:E7)</f>
        <v>2344653.6478794338</v>
      </c>
      <c r="H8" s="25"/>
    </row>
    <row r="9" spans="1:14" x14ac:dyDescent="0.25">
      <c r="B9" t="s">
        <v>261</v>
      </c>
      <c r="C9">
        <v>2010</v>
      </c>
      <c r="D9" t="s">
        <v>40</v>
      </c>
      <c r="E9" s="5">
        <v>511</v>
      </c>
      <c r="F9" t="s">
        <v>283</v>
      </c>
      <c r="G9" t="s">
        <v>39</v>
      </c>
      <c r="H9" s="25"/>
    </row>
    <row r="10" spans="1:14" x14ac:dyDescent="0.25">
      <c r="B10" t="s">
        <v>262</v>
      </c>
      <c r="C10">
        <v>2010</v>
      </c>
      <c r="D10" t="s">
        <v>40</v>
      </c>
      <c r="E10" s="5">
        <v>664</v>
      </c>
      <c r="F10" t="s">
        <v>284</v>
      </c>
      <c r="G10" t="s">
        <v>39</v>
      </c>
      <c r="H10" s="25"/>
    </row>
    <row r="11" spans="1:14" x14ac:dyDescent="0.25">
      <c r="B11" t="s">
        <v>117</v>
      </c>
      <c r="C11">
        <v>2010</v>
      </c>
      <c r="D11" t="s">
        <v>110</v>
      </c>
      <c r="E11" s="10">
        <v>0.03</v>
      </c>
      <c r="F11" t="s">
        <v>285</v>
      </c>
      <c r="G11" t="s">
        <v>39</v>
      </c>
      <c r="H11" s="25"/>
    </row>
    <row r="12" spans="1:14" x14ac:dyDescent="0.25">
      <c r="B12" t="s">
        <v>114</v>
      </c>
      <c r="C12">
        <v>2010</v>
      </c>
      <c r="D12" t="s">
        <v>115</v>
      </c>
      <c r="E12" s="5">
        <v>28</v>
      </c>
      <c r="F12" t="s">
        <v>286</v>
      </c>
      <c r="G12" t="s">
        <v>39</v>
      </c>
      <c r="H12" s="25"/>
      <c r="I12" s="29"/>
      <c r="J12" t="s">
        <v>258</v>
      </c>
      <c r="K12" t="s">
        <v>257</v>
      </c>
      <c r="L12">
        <f>E7*E10</f>
        <v>257396944</v>
      </c>
    </row>
    <row r="13" spans="1:14" x14ac:dyDescent="0.25">
      <c r="B13" t="s">
        <v>111</v>
      </c>
      <c r="C13">
        <v>2010</v>
      </c>
      <c r="D13" t="s">
        <v>110</v>
      </c>
      <c r="E13" s="10">
        <v>0.15</v>
      </c>
      <c r="F13" t="s">
        <v>287</v>
      </c>
      <c r="G13" t="s">
        <v>39</v>
      </c>
      <c r="H13" s="25"/>
      <c r="J13" t="s">
        <v>259</v>
      </c>
      <c r="K13" t="s">
        <v>257</v>
      </c>
      <c r="L13">
        <f>SUM(E5:E6)*E9</f>
        <v>1000030908.0663906</v>
      </c>
    </row>
    <row r="14" spans="1:14" x14ac:dyDescent="0.25">
      <c r="B14" s="4" t="s">
        <v>116</v>
      </c>
      <c r="C14">
        <v>2010</v>
      </c>
      <c r="D14" t="s">
        <v>110</v>
      </c>
      <c r="E14" s="10">
        <v>0.93</v>
      </c>
      <c r="F14" t="s">
        <v>288</v>
      </c>
      <c r="G14" t="s">
        <v>39</v>
      </c>
      <c r="H14" s="25"/>
      <c r="I14" s="33" t="s">
        <v>320</v>
      </c>
      <c r="J14" t="s">
        <v>260</v>
      </c>
      <c r="K14" t="s">
        <v>257</v>
      </c>
      <c r="L14">
        <f>SUM(L12:L13)</f>
        <v>1257427852.0663905</v>
      </c>
    </row>
    <row r="15" spans="1:14" x14ac:dyDescent="0.25">
      <c r="B15" s="22" t="s">
        <v>183</v>
      </c>
      <c r="C15" s="11"/>
      <c r="D15" s="11" t="s">
        <v>110</v>
      </c>
      <c r="E15" s="10">
        <v>0.93</v>
      </c>
      <c r="F15" s="11"/>
      <c r="G15" s="11" t="s">
        <v>223</v>
      </c>
      <c r="H15" s="25"/>
      <c r="I15" s="28"/>
    </row>
    <row r="16" spans="1:14" x14ac:dyDescent="0.25">
      <c r="B16" s="22" t="s">
        <v>433</v>
      </c>
      <c r="C16" s="11"/>
      <c r="D16" s="11" t="s">
        <v>110</v>
      </c>
      <c r="E16" s="10">
        <v>7.0000000000000007E-2</v>
      </c>
      <c r="F16" s="11"/>
      <c r="G16" s="11" t="s">
        <v>223</v>
      </c>
      <c r="H16" s="25"/>
      <c r="I16" s="36"/>
    </row>
    <row r="17" spans="2:12" x14ac:dyDescent="0.25">
      <c r="B17" s="4" t="s">
        <v>302</v>
      </c>
      <c r="D17" t="s">
        <v>304</v>
      </c>
      <c r="E17">
        <f>((E5+E6)*E14)/100%</f>
        <v>1820017.1125278736</v>
      </c>
      <c r="H17" s="25"/>
      <c r="K17" t="s">
        <v>390</v>
      </c>
      <c r="L17">
        <f>'Data herd'!L14/1000000000</f>
        <v>1.2574278520663904</v>
      </c>
    </row>
    <row r="18" spans="2:12" x14ac:dyDescent="0.25">
      <c r="B18" s="4" t="s">
        <v>303</v>
      </c>
      <c r="D18" t="s">
        <v>304</v>
      </c>
      <c r="E18" s="5">
        <f>((E5+E6)*E16)/100%</f>
        <v>136990.53535156039</v>
      </c>
      <c r="H18" s="25"/>
    </row>
    <row r="19" spans="2:12" x14ac:dyDescent="0.25">
      <c r="B19" s="2" t="s">
        <v>3</v>
      </c>
      <c r="H19" s="25"/>
    </row>
    <row r="20" spans="2:12" x14ac:dyDescent="0.25">
      <c r="B20" t="s">
        <v>26</v>
      </c>
      <c r="C20">
        <v>2015</v>
      </c>
      <c r="D20" t="s">
        <v>304</v>
      </c>
      <c r="E20" s="5">
        <v>1570359.0000000016</v>
      </c>
      <c r="F20" t="s">
        <v>289</v>
      </c>
      <c r="G20" t="s">
        <v>17</v>
      </c>
      <c r="H20" s="25" t="s">
        <v>16</v>
      </c>
      <c r="I20" s="1" t="s">
        <v>224</v>
      </c>
      <c r="J20" s="2" t="s">
        <v>3</v>
      </c>
    </row>
    <row r="21" spans="2:12" x14ac:dyDescent="0.25">
      <c r="B21" t="s">
        <v>27</v>
      </c>
      <c r="C21">
        <v>2015</v>
      </c>
      <c r="D21" t="s">
        <v>304</v>
      </c>
      <c r="E21" s="5">
        <v>1341985</v>
      </c>
      <c r="F21" t="s">
        <v>290</v>
      </c>
      <c r="G21" t="s">
        <v>17</v>
      </c>
      <c r="H21" s="25" t="s">
        <v>16</v>
      </c>
    </row>
    <row r="22" spans="2:12" x14ac:dyDescent="0.25">
      <c r="B22" t="s">
        <v>384</v>
      </c>
      <c r="C22">
        <v>2015</v>
      </c>
      <c r="D22" t="s">
        <v>269</v>
      </c>
      <c r="E22" s="5">
        <f>SUM(E20:E21)</f>
        <v>2912344.0000000019</v>
      </c>
      <c r="H22" s="25"/>
    </row>
    <row r="23" spans="2:12" x14ac:dyDescent="0.25">
      <c r="B23" t="s">
        <v>272</v>
      </c>
      <c r="D23" t="s">
        <v>40</v>
      </c>
      <c r="E23">
        <v>40</v>
      </c>
      <c r="G23" t="s">
        <v>263</v>
      </c>
      <c r="H23" s="25"/>
      <c r="J23" s="11" t="s">
        <v>258</v>
      </c>
      <c r="K23" t="s">
        <v>257</v>
      </c>
      <c r="L23">
        <f>E21*E25</f>
        <v>240215315</v>
      </c>
    </row>
    <row r="24" spans="2:12" s="6" customFormat="1" x14ac:dyDescent="0.25">
      <c r="B24" t="s">
        <v>265</v>
      </c>
      <c r="C24"/>
      <c r="D24" t="s">
        <v>40</v>
      </c>
      <c r="E24" s="11">
        <v>277</v>
      </c>
      <c r="F24"/>
      <c r="G24" t="s">
        <v>263</v>
      </c>
      <c r="H24" s="26"/>
      <c r="J24" s="11" t="s">
        <v>259</v>
      </c>
      <c r="K24" t="s">
        <v>257</v>
      </c>
      <c r="L24" s="11">
        <f>E20*E25</f>
        <v>281094261.0000003</v>
      </c>
    </row>
    <row r="25" spans="2:12" s="6" customFormat="1" x14ac:dyDescent="0.25">
      <c r="B25" t="s">
        <v>264</v>
      </c>
      <c r="C25"/>
      <c r="D25" t="s">
        <v>40</v>
      </c>
      <c r="E25" s="11">
        <v>179</v>
      </c>
      <c r="F25"/>
      <c r="G25" t="s">
        <v>263</v>
      </c>
      <c r="H25" s="26"/>
      <c r="I25" s="11" t="s">
        <v>321</v>
      </c>
      <c r="J25" s="11" t="s">
        <v>271</v>
      </c>
      <c r="K25" t="s">
        <v>257</v>
      </c>
      <c r="L25" s="11">
        <f>SUM(L23:L24)</f>
        <v>521309576.0000003</v>
      </c>
    </row>
    <row r="26" spans="2:12" s="6" customFormat="1" x14ac:dyDescent="0.25">
      <c r="B26"/>
      <c r="C26"/>
      <c r="D26"/>
      <c r="E26" s="11"/>
      <c r="F26"/>
      <c r="G26"/>
      <c r="H26" s="26"/>
      <c r="I26" s="11"/>
      <c r="J26" s="11"/>
      <c r="K26"/>
      <c r="L26" s="11"/>
    </row>
    <row r="27" spans="2:12" s="6" customFormat="1" x14ac:dyDescent="0.25">
      <c r="B27"/>
      <c r="C27"/>
      <c r="D27"/>
      <c r="E27" s="11"/>
      <c r="F27"/>
      <c r="G27"/>
      <c r="H27" s="26"/>
      <c r="I27" s="11"/>
      <c r="J27" s="11"/>
      <c r="K27" t="s">
        <v>389</v>
      </c>
      <c r="L27" s="11">
        <f>L25/1000000</f>
        <v>521.30957600000033</v>
      </c>
    </row>
    <row r="28" spans="2:12" s="6" customFormat="1" x14ac:dyDescent="0.25">
      <c r="B28"/>
      <c r="C28"/>
      <c r="D28"/>
      <c r="E28" s="11"/>
      <c r="F28"/>
      <c r="G28"/>
      <c r="H28" s="26"/>
      <c r="J28" s="11"/>
      <c r="K28"/>
      <c r="L28" s="11"/>
    </row>
    <row r="29" spans="2:12" s="6" customFormat="1" x14ac:dyDescent="0.25">
      <c r="B29" s="11" t="s">
        <v>112</v>
      </c>
      <c r="C29" s="11">
        <v>2010</v>
      </c>
      <c r="D29" s="11" t="s">
        <v>110</v>
      </c>
      <c r="E29" s="10">
        <v>0.1</v>
      </c>
      <c r="F29" s="11"/>
      <c r="G29" s="11" t="s">
        <v>39</v>
      </c>
      <c r="H29" s="26"/>
      <c r="J29" s="11" t="s">
        <v>280</v>
      </c>
      <c r="K29" s="11" t="s">
        <v>281</v>
      </c>
      <c r="L29" s="11">
        <f>(E24-E23)/365</f>
        <v>0.64931506849315068</v>
      </c>
    </row>
    <row r="30" spans="2:12" s="6" customFormat="1" x14ac:dyDescent="0.25">
      <c r="B30" s="11" t="s">
        <v>113</v>
      </c>
      <c r="C30" s="11">
        <v>2010</v>
      </c>
      <c r="D30" s="11" t="s">
        <v>110</v>
      </c>
      <c r="E30" s="10">
        <v>0.1</v>
      </c>
      <c r="F30" s="11"/>
      <c r="G30" s="11" t="s">
        <v>39</v>
      </c>
      <c r="H30" s="26"/>
      <c r="J30" s="11" t="s">
        <v>292</v>
      </c>
      <c r="K30" s="11" t="s">
        <v>110</v>
      </c>
      <c r="L30" s="11">
        <f>E30/2</f>
        <v>0.05</v>
      </c>
    </row>
    <row r="31" spans="2:12" s="6" customFormat="1" x14ac:dyDescent="0.25">
      <c r="E31" s="30"/>
      <c r="H31" s="26"/>
    </row>
    <row r="32" spans="2:12" s="11" customFormat="1" x14ac:dyDescent="0.25">
      <c r="H32" s="27"/>
    </row>
    <row r="33" spans="1:12" s="11" customFormat="1" x14ac:dyDescent="0.25">
      <c r="H33" s="27"/>
    </row>
    <row r="34" spans="1:12" x14ac:dyDescent="0.25">
      <c r="B34" s="2" t="s">
        <v>4</v>
      </c>
      <c r="H34" s="25"/>
      <c r="I34" s="1" t="s">
        <v>224</v>
      </c>
      <c r="J34" s="2" t="s">
        <v>4</v>
      </c>
    </row>
    <row r="35" spans="1:12" x14ac:dyDescent="0.25">
      <c r="B35" t="s">
        <v>20</v>
      </c>
      <c r="C35">
        <v>2015</v>
      </c>
      <c r="D35" t="s">
        <v>304</v>
      </c>
      <c r="E35" s="5">
        <v>834183.73007189727</v>
      </c>
      <c r="G35" t="s">
        <v>17</v>
      </c>
      <c r="H35" s="25" t="s">
        <v>16</v>
      </c>
    </row>
    <row r="36" spans="1:12" x14ac:dyDescent="0.25">
      <c r="B36" s="4" t="s">
        <v>25</v>
      </c>
      <c r="C36">
        <v>2015</v>
      </c>
      <c r="D36" t="s">
        <v>304</v>
      </c>
      <c r="E36" s="5">
        <v>1000767</v>
      </c>
      <c r="G36" t="s">
        <v>17</v>
      </c>
      <c r="H36" s="25" t="s">
        <v>16</v>
      </c>
      <c r="J36" t="s">
        <v>258</v>
      </c>
      <c r="K36" t="s">
        <v>273</v>
      </c>
      <c r="L36">
        <f>E36*E39</f>
        <v>343263081</v>
      </c>
    </row>
    <row r="37" spans="1:12" x14ac:dyDescent="0.25">
      <c r="B37" t="s">
        <v>266</v>
      </c>
      <c r="D37" t="s">
        <v>40</v>
      </c>
      <c r="E37" s="11">
        <v>277</v>
      </c>
      <c r="G37" t="s">
        <v>263</v>
      </c>
      <c r="H37" s="25"/>
      <c r="J37" t="s">
        <v>259</v>
      </c>
      <c r="K37" t="s">
        <v>273</v>
      </c>
      <c r="L37">
        <f>E35*E39</f>
        <v>286125019.41466075</v>
      </c>
    </row>
    <row r="38" spans="1:12" s="6" customFormat="1" x14ac:dyDescent="0.25">
      <c r="B38" t="s">
        <v>268</v>
      </c>
      <c r="C38"/>
      <c r="D38" t="s">
        <v>40</v>
      </c>
      <c r="E38" s="11">
        <v>388</v>
      </c>
      <c r="F38"/>
      <c r="G38" t="s">
        <v>263</v>
      </c>
      <c r="H38" s="26"/>
      <c r="I38" s="11" t="s">
        <v>321</v>
      </c>
      <c r="J38" s="11" t="s">
        <v>274</v>
      </c>
      <c r="K38" s="11" t="s">
        <v>273</v>
      </c>
      <c r="L38" s="11">
        <f>SUM(L36:L37)</f>
        <v>629388100.41466069</v>
      </c>
    </row>
    <row r="39" spans="1:12" s="6" customFormat="1" x14ac:dyDescent="0.25">
      <c r="B39" t="s">
        <v>267</v>
      </c>
      <c r="C39"/>
      <c r="D39" t="s">
        <v>40</v>
      </c>
      <c r="E39" s="11">
        <v>343</v>
      </c>
      <c r="F39"/>
      <c r="G39" t="s">
        <v>263</v>
      </c>
      <c r="H39" s="26"/>
    </row>
    <row r="40" spans="1:12" s="6" customFormat="1" x14ac:dyDescent="0.25">
      <c r="B40"/>
      <c r="C40"/>
      <c r="D40"/>
      <c r="E40" s="11"/>
      <c r="F40"/>
      <c r="G40"/>
      <c r="H40" s="26"/>
      <c r="K40" s="11" t="s">
        <v>389</v>
      </c>
      <c r="L40" s="11">
        <f>L38/1000000</f>
        <v>629.3881004146607</v>
      </c>
    </row>
    <row r="41" spans="1:12" s="6" customFormat="1" x14ac:dyDescent="0.25">
      <c r="B41"/>
      <c r="C41"/>
      <c r="D41"/>
      <c r="E41" s="11"/>
      <c r="F41"/>
      <c r="G41"/>
      <c r="H41" s="26"/>
    </row>
    <row r="42" spans="1:12" s="6" customFormat="1" x14ac:dyDescent="0.25">
      <c r="B42"/>
      <c r="C42"/>
      <c r="D42"/>
      <c r="E42"/>
      <c r="F42"/>
      <c r="G42"/>
      <c r="H42" s="26"/>
      <c r="J42" s="11" t="s">
        <v>282</v>
      </c>
      <c r="K42" s="11" t="s">
        <v>281</v>
      </c>
      <c r="L42" s="11">
        <f>(E38-E37)/365</f>
        <v>0.30410958904109592</v>
      </c>
    </row>
    <row r="43" spans="1:12" s="6" customFormat="1" x14ac:dyDescent="0.25">
      <c r="B43" s="22" t="s">
        <v>112</v>
      </c>
      <c r="C43" s="11">
        <v>2010</v>
      </c>
      <c r="D43" s="11" t="s">
        <v>110</v>
      </c>
      <c r="E43" s="10">
        <v>0.1</v>
      </c>
      <c r="F43" s="11"/>
      <c r="G43" s="11" t="s">
        <v>39</v>
      </c>
      <c r="H43" s="26"/>
      <c r="J43" s="11" t="s">
        <v>293</v>
      </c>
      <c r="K43" s="11" t="s">
        <v>110</v>
      </c>
      <c r="L43" s="11">
        <f>E44/2</f>
        <v>0.05</v>
      </c>
    </row>
    <row r="44" spans="1:12" s="6" customFormat="1" x14ac:dyDescent="0.25">
      <c r="B44" s="11" t="s">
        <v>291</v>
      </c>
      <c r="C44" s="11">
        <v>2010</v>
      </c>
      <c r="D44" s="11" t="s">
        <v>110</v>
      </c>
      <c r="E44" s="10">
        <v>0.1</v>
      </c>
      <c r="F44" s="11"/>
      <c r="G44" s="11" t="s">
        <v>39</v>
      </c>
      <c r="H44" s="26"/>
      <c r="J44" s="11"/>
      <c r="K44" s="11"/>
      <c r="L44" s="11"/>
    </row>
    <row r="45" spans="1:12" x14ac:dyDescent="0.25">
      <c r="A45" s="1" t="s">
        <v>5</v>
      </c>
      <c r="H45" s="25"/>
      <c r="J45" t="s">
        <v>425</v>
      </c>
      <c r="K45" s="11" t="s">
        <v>270</v>
      </c>
      <c r="L45">
        <f>(SUM(E5:E6)*E13)</f>
        <v>293551.14718191506</v>
      </c>
    </row>
    <row r="46" spans="1:12" x14ac:dyDescent="0.25">
      <c r="A46" s="1"/>
      <c r="H46" s="25"/>
      <c r="K46" s="11" t="s">
        <v>273</v>
      </c>
      <c r="L46">
        <f>L45*E39</f>
        <v>100688043.48339687</v>
      </c>
    </row>
    <row r="47" spans="1:12" x14ac:dyDescent="0.25">
      <c r="B47" t="s">
        <v>300</v>
      </c>
      <c r="C47" t="s">
        <v>29</v>
      </c>
      <c r="D47" t="s">
        <v>38</v>
      </c>
      <c r="E47">
        <f>Coefficients!D3*('Data herd'!E9)^0.75</f>
        <v>41.486135336327798</v>
      </c>
      <c r="G47" t="s">
        <v>30</v>
      </c>
      <c r="H47" s="25"/>
      <c r="K47" s="11" t="s">
        <v>389</v>
      </c>
      <c r="L47">
        <f>L46/1000000</f>
        <v>100.68804348339687</v>
      </c>
    </row>
    <row r="48" spans="1:12" x14ac:dyDescent="0.25">
      <c r="B48" t="s">
        <v>301</v>
      </c>
      <c r="C48" t="s">
        <v>29</v>
      </c>
      <c r="D48" t="s">
        <v>38</v>
      </c>
      <c r="E48">
        <f>Coefficients!D2*('Data herd'!E9)^0.75</f>
        <v>34.607605125123193</v>
      </c>
      <c r="G48" t="s">
        <v>30</v>
      </c>
      <c r="H48" s="25"/>
    </row>
    <row r="49" spans="2:8" x14ac:dyDescent="0.25">
      <c r="B49" t="s">
        <v>41</v>
      </c>
      <c r="C49" t="s">
        <v>29</v>
      </c>
      <c r="D49" t="s">
        <v>38</v>
      </c>
      <c r="E49">
        <f>Coefficients!D4*('Data herd'!E10)^0.75</f>
        <v>48.398041051622648</v>
      </c>
      <c r="G49" t="s">
        <v>30</v>
      </c>
      <c r="H49" s="25"/>
    </row>
    <row r="50" spans="2:8" x14ac:dyDescent="0.25">
      <c r="B50" t="s">
        <v>28</v>
      </c>
      <c r="C50" t="s">
        <v>29</v>
      </c>
      <c r="D50" t="s">
        <v>38</v>
      </c>
      <c r="E50">
        <f>Coefficients!D2*('Data herd'!E25)^0.75</f>
        <v>15.757802208705906</v>
      </c>
      <c r="G50" t="s">
        <v>30</v>
      </c>
      <c r="H50" s="25"/>
    </row>
    <row r="51" spans="2:8" x14ac:dyDescent="0.25">
      <c r="B51" t="s">
        <v>181</v>
      </c>
      <c r="C51" t="s">
        <v>29</v>
      </c>
      <c r="D51" t="s">
        <v>38</v>
      </c>
      <c r="E51">
        <f>Coefficients!D2*('Data herd'!E39)^0.75</f>
        <v>25.664124990467663</v>
      </c>
      <c r="G51" t="s">
        <v>30</v>
      </c>
      <c r="H51" s="25"/>
    </row>
    <row r="52" spans="2:8" x14ac:dyDescent="0.25">
      <c r="B52" t="s">
        <v>182</v>
      </c>
      <c r="C52" t="s">
        <v>29</v>
      </c>
      <c r="D52" t="s">
        <v>38</v>
      </c>
      <c r="E52">
        <f>Coefficients!D4*('Data herd'!E39)^0.75</f>
        <v>29.489833063580853</v>
      </c>
      <c r="G52" t="s">
        <v>30</v>
      </c>
      <c r="H52" s="25"/>
    </row>
    <row r="53" spans="2:8" x14ac:dyDescent="0.25">
      <c r="H53" s="25"/>
    </row>
    <row r="54" spans="2:8" x14ac:dyDescent="0.25">
      <c r="B54" t="s">
        <v>426</v>
      </c>
      <c r="D54" t="s">
        <v>38</v>
      </c>
      <c r="E54">
        <f>Coefficients!D6*E47</f>
        <v>7.0526430071757265</v>
      </c>
      <c r="G54" t="s">
        <v>30</v>
      </c>
      <c r="H54" s="25"/>
    </row>
    <row r="55" spans="2:8" x14ac:dyDescent="0.25">
      <c r="B55" t="s">
        <v>427</v>
      </c>
      <c r="D55" t="s">
        <v>38</v>
      </c>
      <c r="E55">
        <f>Coefficients!D6*'Data herd'!E48</f>
        <v>5.8832928712709434</v>
      </c>
      <c r="H55" s="25"/>
    </row>
    <row r="56" spans="2:8" x14ac:dyDescent="0.25">
      <c r="B56" t="s">
        <v>429</v>
      </c>
      <c r="D56" t="s">
        <v>38</v>
      </c>
      <c r="E56">
        <f>Coefficients!D6*(E49)</f>
        <v>8.2276669787758507</v>
      </c>
      <c r="G56" t="s">
        <v>30</v>
      </c>
      <c r="H56" s="25"/>
    </row>
    <row r="57" spans="2:8" x14ac:dyDescent="0.25">
      <c r="B57" t="s">
        <v>430</v>
      </c>
      <c r="D57" t="s">
        <v>38</v>
      </c>
      <c r="E57">
        <f>Coefficients!D6*E50</f>
        <v>2.6788263754800044</v>
      </c>
      <c r="G57" t="s">
        <v>30</v>
      </c>
      <c r="H57" s="25"/>
    </row>
    <row r="58" spans="2:8" x14ac:dyDescent="0.25">
      <c r="B58" t="s">
        <v>431</v>
      </c>
      <c r="D58" t="s">
        <v>38</v>
      </c>
      <c r="E58">
        <f>Coefficients!D6*E51</f>
        <v>4.3629012483795027</v>
      </c>
      <c r="G58" t="s">
        <v>30</v>
      </c>
      <c r="H58" s="25"/>
    </row>
    <row r="59" spans="2:8" x14ac:dyDescent="0.25">
      <c r="B59" t="s">
        <v>428</v>
      </c>
      <c r="D59" t="s">
        <v>38</v>
      </c>
      <c r="E59">
        <f>Coefficients!D6*'Data herd'!E52</f>
        <v>5.0132716208087453</v>
      </c>
      <c r="H59" s="25"/>
    </row>
    <row r="60" spans="2:8" x14ac:dyDescent="0.25">
      <c r="H60" s="25"/>
    </row>
    <row r="61" spans="2:8" x14ac:dyDescent="0.25">
      <c r="B61" t="s">
        <v>299</v>
      </c>
      <c r="D61" t="s">
        <v>38</v>
      </c>
      <c r="E61">
        <f>22.02*((E25/(Coefficients!D9*E9))^0.75)*(L29^1.097)</f>
        <v>7.3805306103795383</v>
      </c>
      <c r="G61" t="s">
        <v>30</v>
      </c>
      <c r="H61" s="25"/>
    </row>
    <row r="62" spans="2:8" x14ac:dyDescent="0.25">
      <c r="B62" t="s">
        <v>295</v>
      </c>
      <c r="D62" t="s">
        <v>38</v>
      </c>
      <c r="E62">
        <f>22.02*((E39/(Coefficients!D9*E9))^0.75)*(L42^1.097)</f>
        <v>5.2304466264710454</v>
      </c>
      <c r="G62" t="s">
        <v>30</v>
      </c>
      <c r="H62" s="25"/>
    </row>
    <row r="63" spans="2:8" x14ac:dyDescent="0.25">
      <c r="B63" t="s">
        <v>294</v>
      </c>
      <c r="D63" t="s">
        <v>38</v>
      </c>
      <c r="E63">
        <f>22.02*((E39/(Coefficients!D10*E9))^0.75)*(L42^1.097)</f>
        <v>3.8589604756486988</v>
      </c>
      <c r="G63" t="s">
        <v>30</v>
      </c>
      <c r="H63" s="25"/>
    </row>
    <row r="64" spans="2:8" x14ac:dyDescent="0.25">
      <c r="H64" s="25"/>
    </row>
    <row r="65" spans="2:8" x14ac:dyDescent="0.25">
      <c r="H65" s="25"/>
    </row>
    <row r="66" spans="2:8" x14ac:dyDescent="0.25">
      <c r="B66" t="s">
        <v>305</v>
      </c>
      <c r="D66" t="s">
        <v>38</v>
      </c>
      <c r="E66">
        <f>Coefficients!D18*(1.47+0.4*Coefficients!D17)</f>
        <v>64.050038356164379</v>
      </c>
      <c r="G66" t="s">
        <v>30</v>
      </c>
      <c r="H66" s="25"/>
    </row>
    <row r="67" spans="2:8" x14ac:dyDescent="0.25">
      <c r="H67" s="25"/>
    </row>
    <row r="68" spans="2:8" x14ac:dyDescent="0.25">
      <c r="H68" s="25"/>
    </row>
    <row r="69" spans="2:8" x14ac:dyDescent="0.25">
      <c r="B69" t="s">
        <v>432</v>
      </c>
      <c r="D69" t="s">
        <v>38</v>
      </c>
      <c r="E69">
        <f>Coefficients!D20*'Data herd'!E47</f>
        <v>4.1486135336327798</v>
      </c>
      <c r="G69" t="s">
        <v>30</v>
      </c>
      <c r="H69" s="25"/>
    </row>
    <row r="70" spans="2:8" x14ac:dyDescent="0.25">
      <c r="H70" s="25"/>
    </row>
    <row r="71" spans="2:8" x14ac:dyDescent="0.25">
      <c r="H71" s="25"/>
    </row>
    <row r="72" spans="2:8" x14ac:dyDescent="0.25">
      <c r="B72" t="s">
        <v>227</v>
      </c>
      <c r="D72" t="s">
        <v>38</v>
      </c>
      <c r="E72">
        <f>(1.123-(4.092*10^-3*Coefficients!D12)+(1.126*10^-5*(Coefficients!D12)^2)-(25.4/Coefficients!D12))</f>
        <v>0.51382426923076929</v>
      </c>
      <c r="G72" t="s">
        <v>30</v>
      </c>
      <c r="H72" s="25"/>
    </row>
    <row r="73" spans="2:8" x14ac:dyDescent="0.25">
      <c r="B73" t="s">
        <v>230</v>
      </c>
      <c r="D73" t="s">
        <v>38</v>
      </c>
      <c r="E73">
        <f>(1.123-(4.092*10^-3*Coefficients!D13)+(1.126*10^-5*(Coefficients!D13)^2)-(25.4/Coefficients!D13))</f>
        <v>0.54077083333333342</v>
      </c>
      <c r="G73" t="s">
        <v>30</v>
      </c>
      <c r="H73" s="25"/>
    </row>
    <row r="74" spans="2:8" x14ac:dyDescent="0.25">
      <c r="B74" t="s">
        <v>228</v>
      </c>
      <c r="D74" t="s">
        <v>38</v>
      </c>
      <c r="E74">
        <f>(1.123-(4.092*10^-3*Coefficients!D14)+(1.126*10^-5*(Coefficients!D14)^2)-(25.4/Coefficients!D14))</f>
        <v>0.52887685714285726</v>
      </c>
      <c r="G74" t="s">
        <v>30</v>
      </c>
      <c r="H74" s="25"/>
    </row>
    <row r="75" spans="2:8" x14ac:dyDescent="0.25">
      <c r="H75" s="25"/>
    </row>
    <row r="76" spans="2:8" x14ac:dyDescent="0.25">
      <c r="B76" t="s">
        <v>229</v>
      </c>
      <c r="D76" t="s">
        <v>38</v>
      </c>
      <c r="E76">
        <f>(1.1164-(5.16*10^-3*Coefficients!D12)+(1.308*10^-5*(Coefficients!D12)^2)-37.4/Coefficients!D12)</f>
        <v>0.2608783846153846</v>
      </c>
      <c r="G76" t="s">
        <v>30</v>
      </c>
      <c r="H76" s="25"/>
    </row>
    <row r="77" spans="2:8" x14ac:dyDescent="0.25">
      <c r="B77" t="s">
        <v>232</v>
      </c>
      <c r="D77" t="s">
        <v>38</v>
      </c>
      <c r="E77">
        <f>(1.1164-(5.16*10^-3*Coefficients!D13)+(1.308*10^-5*(Coefficients!D13)^2)-37.4/Coefficients!D13)</f>
        <v>0.30430833333333346</v>
      </c>
      <c r="G77" t="s">
        <v>30</v>
      </c>
      <c r="H77" s="25"/>
    </row>
    <row r="78" spans="2:8" x14ac:dyDescent="0.25">
      <c r="B78" t="s">
        <v>231</v>
      </c>
      <c r="D78" t="s">
        <v>38</v>
      </c>
      <c r="E78">
        <f>(1.1164-(5.16*10^-3*Coefficients!D14)+(1.308*10^-5*(Coefficients!D14)^2)-37.4/Coefficients!D14)</f>
        <v>0.28500628571428588</v>
      </c>
      <c r="G78" t="s">
        <v>30</v>
      </c>
      <c r="H78" s="25"/>
    </row>
    <row r="79" spans="2:8" x14ac:dyDescent="0.25">
      <c r="H79" s="25"/>
    </row>
    <row r="80" spans="2:8" x14ac:dyDescent="0.25">
      <c r="H80" s="25"/>
    </row>
    <row r="81" spans="2:8" x14ac:dyDescent="0.25">
      <c r="B81" t="s">
        <v>315</v>
      </c>
      <c r="D81" t="s">
        <v>38</v>
      </c>
      <c r="E81">
        <f>(((E47+E54+E66+E69)/E72)/(Coefficients!D12/100))</f>
        <v>349.52815051269971</v>
      </c>
      <c r="G81" t="s">
        <v>30</v>
      </c>
      <c r="H81" s="25"/>
    </row>
    <row r="82" spans="2:8" x14ac:dyDescent="0.25">
      <c r="B82" t="s">
        <v>316</v>
      </c>
      <c r="D82" t="s">
        <v>38</v>
      </c>
      <c r="E82" s="22">
        <f>(((E48+E54)/E72)/(Coefficients!D12/100))</f>
        <v>124.73659434237554</v>
      </c>
      <c r="G82" t="s">
        <v>30</v>
      </c>
      <c r="H82" s="25"/>
    </row>
    <row r="83" spans="2:8" x14ac:dyDescent="0.25">
      <c r="B83" t="s">
        <v>317</v>
      </c>
      <c r="D83" t="s">
        <v>38</v>
      </c>
      <c r="E83">
        <f>(((E49+E56)/E72)/(Coefficients!D12/100))</f>
        <v>169.54526889775016</v>
      </c>
      <c r="G83" t="s">
        <v>30</v>
      </c>
      <c r="H83" s="25"/>
    </row>
    <row r="84" spans="2:8" x14ac:dyDescent="0.25">
      <c r="B84" t="s">
        <v>314</v>
      </c>
      <c r="D84" t="s">
        <v>38</v>
      </c>
      <c r="E84" s="22">
        <f>(((E50+E57)/E73)+(E61/E77))/(Coefficients!D13/100)</f>
        <v>77.795599705361965</v>
      </c>
      <c r="G84" t="s">
        <v>30</v>
      </c>
      <c r="H84" s="25"/>
    </row>
    <row r="85" spans="2:8" x14ac:dyDescent="0.25">
      <c r="B85" t="s">
        <v>318</v>
      </c>
      <c r="D85" t="s">
        <v>38</v>
      </c>
      <c r="E85" s="22">
        <f>(((E51+E58)/E74)+(E62/E78))/(Coefficients!D14/100)</f>
        <v>107.32445747953835</v>
      </c>
      <c r="G85" t="s">
        <v>30</v>
      </c>
      <c r="H85" s="25"/>
    </row>
    <row r="86" spans="2:8" x14ac:dyDescent="0.25">
      <c r="B86" t="s">
        <v>319</v>
      </c>
      <c r="D86" t="s">
        <v>38</v>
      </c>
      <c r="E86">
        <f>(((E52+E58)/E74)+(E63/E78))/(Coefficients!D14/100)</f>
        <v>110.78377209916093</v>
      </c>
      <c r="G86" t="s">
        <v>30</v>
      </c>
      <c r="H86" s="25"/>
    </row>
    <row r="87" spans="2:8" x14ac:dyDescent="0.25">
      <c r="H87" s="25"/>
    </row>
    <row r="88" spans="2:8" x14ac:dyDescent="0.25">
      <c r="H88" s="25"/>
    </row>
    <row r="89" spans="2:8" x14ac:dyDescent="0.25">
      <c r="H89" s="25"/>
    </row>
    <row r="90" spans="2:8" x14ac:dyDescent="0.25">
      <c r="H90" s="25"/>
    </row>
    <row r="91" spans="2:8" x14ac:dyDescent="0.25">
      <c r="H91" s="25"/>
    </row>
    <row r="92" spans="2:8" x14ac:dyDescent="0.25">
      <c r="H92" s="25"/>
    </row>
    <row r="93" spans="2:8" x14ac:dyDescent="0.25">
      <c r="H93" s="25"/>
    </row>
    <row r="94" spans="2:8" x14ac:dyDescent="0.25">
      <c r="H94" s="25"/>
    </row>
    <row r="95" spans="2:8" x14ac:dyDescent="0.25">
      <c r="H95" s="25"/>
    </row>
    <row r="96" spans="2:8" x14ac:dyDescent="0.25">
      <c r="H96" s="25"/>
    </row>
    <row r="97" spans="8:8" x14ac:dyDescent="0.25">
      <c r="H97" s="25"/>
    </row>
    <row r="98" spans="8:8" x14ac:dyDescent="0.25">
      <c r="H98" s="25"/>
    </row>
    <row r="99" spans="8:8" x14ac:dyDescent="0.25">
      <c r="H99" s="25"/>
    </row>
    <row r="100" spans="8:8" x14ac:dyDescent="0.25">
      <c r="H100" s="25"/>
    </row>
    <row r="101" spans="8:8" x14ac:dyDescent="0.25">
      <c r="H101" s="25"/>
    </row>
    <row r="102" spans="8:8" x14ac:dyDescent="0.25">
      <c r="H102" s="25"/>
    </row>
    <row r="103" spans="8:8" x14ac:dyDescent="0.25">
      <c r="H103" s="25"/>
    </row>
    <row r="104" spans="8:8" x14ac:dyDescent="0.25">
      <c r="H104" s="25"/>
    </row>
    <row r="105" spans="8:8" x14ac:dyDescent="0.25">
      <c r="H105" s="25"/>
    </row>
    <row r="106" spans="8:8" x14ac:dyDescent="0.25">
      <c r="H106" s="25"/>
    </row>
    <row r="107" spans="8:8" x14ac:dyDescent="0.25">
      <c r="H107" s="25"/>
    </row>
    <row r="108" spans="8:8" x14ac:dyDescent="0.25">
      <c r="H108" s="25"/>
    </row>
    <row r="109" spans="8:8" x14ac:dyDescent="0.25">
      <c r="H109" s="25"/>
    </row>
    <row r="110" spans="8:8" x14ac:dyDescent="0.25">
      <c r="H110" s="25"/>
    </row>
    <row r="111" spans="8:8" x14ac:dyDescent="0.25">
      <c r="H111" s="2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87"/>
  <sheetViews>
    <sheetView tabSelected="1" topLeftCell="A118" zoomScale="70" zoomScaleNormal="70" workbookViewId="0">
      <selection activeCell="N155" sqref="N155"/>
    </sheetView>
  </sheetViews>
  <sheetFormatPr defaultRowHeight="15" x14ac:dyDescent="0.25"/>
  <cols>
    <col min="1" max="1" width="40" customWidth="1"/>
    <col min="2" max="2" width="27.85546875" customWidth="1"/>
    <col min="3" max="3" width="16.85546875" customWidth="1"/>
    <col min="4" max="4" width="24.140625" customWidth="1"/>
    <col min="6" max="6" width="11.7109375" customWidth="1"/>
    <col min="7" max="8" width="9.140625" style="55"/>
    <col min="10" max="10" width="27.28515625" customWidth="1"/>
    <col min="11" max="11" width="31.5703125" customWidth="1"/>
    <col min="13" max="13" width="21.42578125" customWidth="1"/>
    <col min="14" max="14" width="12" bestFit="1" customWidth="1"/>
  </cols>
  <sheetData>
    <row r="1" spans="1:16" ht="15.75" thickTop="1" x14ac:dyDescent="0.25">
      <c r="A1" s="1" t="s">
        <v>42</v>
      </c>
      <c r="C1" t="s">
        <v>7</v>
      </c>
      <c r="D1" t="s">
        <v>8</v>
      </c>
      <c r="E1" t="s">
        <v>9</v>
      </c>
      <c r="F1" t="s">
        <v>10</v>
      </c>
      <c r="G1" s="55" t="s">
        <v>11</v>
      </c>
      <c r="H1" s="55" t="s">
        <v>15</v>
      </c>
      <c r="I1" s="39"/>
      <c r="J1" s="35" t="s">
        <v>323</v>
      </c>
      <c r="K1" s="7" t="s">
        <v>123</v>
      </c>
      <c r="L1" s="7" t="s">
        <v>7</v>
      </c>
      <c r="M1" s="7" t="s">
        <v>8</v>
      </c>
      <c r="N1" s="7" t="s">
        <v>9</v>
      </c>
      <c r="O1" s="34" t="s">
        <v>324</v>
      </c>
      <c r="P1" s="7" t="s">
        <v>128</v>
      </c>
    </row>
    <row r="2" spans="1:16" x14ac:dyDescent="0.25">
      <c r="A2" t="s">
        <v>53</v>
      </c>
      <c r="B2" t="s">
        <v>56</v>
      </c>
      <c r="C2" t="s">
        <v>54</v>
      </c>
      <c r="D2" t="s">
        <v>57</v>
      </c>
      <c r="E2">
        <v>10.4</v>
      </c>
      <c r="G2" s="55" t="s">
        <v>173</v>
      </c>
      <c r="I2" s="39"/>
      <c r="J2" s="36"/>
    </row>
    <row r="3" spans="1:16" x14ac:dyDescent="0.25">
      <c r="B3" t="s">
        <v>58</v>
      </c>
      <c r="C3" t="s">
        <v>54</v>
      </c>
      <c r="D3" t="s">
        <v>57</v>
      </c>
      <c r="E3">
        <v>15.3</v>
      </c>
      <c r="G3" s="55" t="s">
        <v>173</v>
      </c>
      <c r="I3" s="39"/>
      <c r="J3" t="s">
        <v>86</v>
      </c>
      <c r="K3" t="s">
        <v>2</v>
      </c>
      <c r="L3">
        <v>2015</v>
      </c>
      <c r="M3" t="s">
        <v>238</v>
      </c>
      <c r="N3">
        <v>877810</v>
      </c>
      <c r="P3" t="s">
        <v>236</v>
      </c>
    </row>
    <row r="4" spans="1:16" x14ac:dyDescent="0.25">
      <c r="B4" t="s">
        <v>64</v>
      </c>
      <c r="C4" t="s">
        <v>54</v>
      </c>
      <c r="D4" t="s">
        <v>57</v>
      </c>
      <c r="E4">
        <v>2.2000000000000002</v>
      </c>
      <c r="G4" s="55" t="s">
        <v>173</v>
      </c>
      <c r="I4" s="39"/>
      <c r="K4" t="s">
        <v>3</v>
      </c>
      <c r="L4">
        <v>2015</v>
      </c>
      <c r="M4" t="s">
        <v>238</v>
      </c>
      <c r="N4">
        <v>2270</v>
      </c>
      <c r="P4" t="s">
        <v>236</v>
      </c>
    </row>
    <row r="5" spans="1:16" x14ac:dyDescent="0.25">
      <c r="B5" t="s">
        <v>59</v>
      </c>
      <c r="C5" t="s">
        <v>54</v>
      </c>
      <c r="D5" t="s">
        <v>61</v>
      </c>
      <c r="E5">
        <v>0.1</v>
      </c>
      <c r="G5" s="55" t="s">
        <v>173</v>
      </c>
      <c r="I5" s="39"/>
      <c r="K5" t="s">
        <v>4</v>
      </c>
      <c r="L5">
        <v>2015</v>
      </c>
      <c r="M5" t="s">
        <v>238</v>
      </c>
      <c r="N5">
        <v>3130</v>
      </c>
      <c r="P5" t="s">
        <v>236</v>
      </c>
    </row>
    <row r="6" spans="1:16" x14ac:dyDescent="0.25">
      <c r="B6" t="s">
        <v>60</v>
      </c>
      <c r="C6" t="s">
        <v>54</v>
      </c>
      <c r="D6" t="s">
        <v>57</v>
      </c>
      <c r="E6">
        <v>2.5</v>
      </c>
      <c r="G6" s="55" t="s">
        <v>173</v>
      </c>
      <c r="I6" s="39"/>
      <c r="K6" t="s">
        <v>74</v>
      </c>
      <c r="L6">
        <v>2015</v>
      </c>
      <c r="M6" t="s">
        <v>238</v>
      </c>
      <c r="N6">
        <v>883210</v>
      </c>
      <c r="P6" t="s">
        <v>236</v>
      </c>
    </row>
    <row r="7" spans="1:16" x14ac:dyDescent="0.25">
      <c r="B7" t="s">
        <v>62</v>
      </c>
      <c r="C7" t="s">
        <v>54</v>
      </c>
      <c r="D7" t="s">
        <v>65</v>
      </c>
      <c r="E7">
        <v>28.7</v>
      </c>
      <c r="G7" s="55" t="s">
        <v>173</v>
      </c>
      <c r="I7" s="39"/>
      <c r="J7" s="36"/>
    </row>
    <row r="8" spans="1:16" x14ac:dyDescent="0.25">
      <c r="B8" t="s">
        <v>63</v>
      </c>
      <c r="C8" t="s">
        <v>54</v>
      </c>
      <c r="D8" t="s">
        <v>57</v>
      </c>
      <c r="E8" t="s">
        <v>29</v>
      </c>
      <c r="G8" s="55" t="s">
        <v>173</v>
      </c>
      <c r="I8" s="39"/>
      <c r="J8" s="36" t="s">
        <v>419</v>
      </c>
      <c r="K8" t="s">
        <v>2</v>
      </c>
      <c r="M8" t="s">
        <v>418</v>
      </c>
      <c r="N8">
        <f>E17*N3</f>
        <v>24578680</v>
      </c>
    </row>
    <row r="9" spans="1:16" x14ac:dyDescent="0.25">
      <c r="A9" t="s">
        <v>55</v>
      </c>
      <c r="B9" t="s">
        <v>56</v>
      </c>
      <c r="C9" t="s">
        <v>54</v>
      </c>
      <c r="D9" t="s">
        <v>57</v>
      </c>
      <c r="E9">
        <v>11.1</v>
      </c>
      <c r="G9" s="55" t="s">
        <v>173</v>
      </c>
      <c r="I9" s="39"/>
      <c r="J9" s="36"/>
      <c r="K9" t="s">
        <v>3</v>
      </c>
      <c r="M9" t="s">
        <v>418</v>
      </c>
      <c r="N9">
        <f>E17*N4</f>
        <v>63560</v>
      </c>
    </row>
    <row r="10" spans="1:16" x14ac:dyDescent="0.25">
      <c r="B10" t="s">
        <v>58</v>
      </c>
      <c r="C10" t="s">
        <v>54</v>
      </c>
      <c r="D10" t="s">
        <v>57</v>
      </c>
      <c r="E10">
        <v>46.3</v>
      </c>
      <c r="G10" s="55" t="s">
        <v>173</v>
      </c>
      <c r="I10" s="39"/>
      <c r="J10" s="36"/>
      <c r="K10" t="s">
        <v>4</v>
      </c>
      <c r="M10" t="s">
        <v>418</v>
      </c>
      <c r="N10">
        <f>E17*N5</f>
        <v>87640</v>
      </c>
    </row>
    <row r="11" spans="1:16" x14ac:dyDescent="0.25">
      <c r="B11" t="s">
        <v>64</v>
      </c>
      <c r="C11" t="s">
        <v>54</v>
      </c>
      <c r="D11" t="s">
        <v>57</v>
      </c>
      <c r="E11">
        <v>8.1999999999999993</v>
      </c>
      <c r="G11" s="55" t="s">
        <v>173</v>
      </c>
      <c r="I11" s="39"/>
      <c r="J11" s="36"/>
      <c r="K11" t="s">
        <v>74</v>
      </c>
      <c r="M11" t="s">
        <v>418</v>
      </c>
      <c r="N11">
        <f>SUM(N8:N10)</f>
        <v>24729880</v>
      </c>
    </row>
    <row r="12" spans="1:16" x14ac:dyDescent="0.25">
      <c r="B12" t="s">
        <v>59</v>
      </c>
      <c r="C12" t="s">
        <v>54</v>
      </c>
      <c r="D12" t="s">
        <v>61</v>
      </c>
      <c r="E12">
        <v>0.5</v>
      </c>
      <c r="G12" s="55" t="s">
        <v>173</v>
      </c>
      <c r="I12" s="39"/>
      <c r="J12" s="36"/>
      <c r="K12" t="s">
        <v>2</v>
      </c>
      <c r="M12" t="s">
        <v>424</v>
      </c>
      <c r="N12">
        <f>N8/1000</f>
        <v>24578.68</v>
      </c>
    </row>
    <row r="13" spans="1:16" x14ac:dyDescent="0.25">
      <c r="B13" t="s">
        <v>60</v>
      </c>
      <c r="C13" t="s">
        <v>54</v>
      </c>
      <c r="D13" t="s">
        <v>57</v>
      </c>
      <c r="E13">
        <v>6.3</v>
      </c>
      <c r="G13" s="55" t="s">
        <v>173</v>
      </c>
      <c r="I13" s="39"/>
      <c r="J13" s="36"/>
      <c r="K13" t="s">
        <v>3</v>
      </c>
      <c r="M13" t="s">
        <v>424</v>
      </c>
      <c r="N13">
        <f t="shared" ref="N13:N15" si="0">N9/1000</f>
        <v>63.56</v>
      </c>
    </row>
    <row r="14" spans="1:16" x14ac:dyDescent="0.25">
      <c r="B14" t="s">
        <v>62</v>
      </c>
      <c r="C14" t="s">
        <v>54</v>
      </c>
      <c r="D14" t="s">
        <v>65</v>
      </c>
      <c r="E14">
        <v>67.2</v>
      </c>
      <c r="G14" s="55" t="s">
        <v>173</v>
      </c>
      <c r="I14" s="39"/>
      <c r="J14" s="36"/>
      <c r="K14" t="s">
        <v>4</v>
      </c>
      <c r="M14" t="s">
        <v>424</v>
      </c>
      <c r="N14">
        <f t="shared" si="0"/>
        <v>87.64</v>
      </c>
    </row>
    <row r="15" spans="1:16" x14ac:dyDescent="0.25">
      <c r="B15" t="s">
        <v>63</v>
      </c>
      <c r="C15" t="s">
        <v>54</v>
      </c>
      <c r="D15" t="s">
        <v>57</v>
      </c>
      <c r="E15">
        <v>0.4</v>
      </c>
      <c r="G15" s="55" t="s">
        <v>173</v>
      </c>
      <c r="I15" s="39"/>
      <c r="J15" s="36"/>
      <c r="K15" t="s">
        <v>74</v>
      </c>
      <c r="M15" t="s">
        <v>424</v>
      </c>
      <c r="N15">
        <f t="shared" si="0"/>
        <v>24729.88</v>
      </c>
    </row>
    <row r="16" spans="1:16" x14ac:dyDescent="0.25">
      <c r="I16" s="39"/>
      <c r="J16" s="36"/>
    </row>
    <row r="17" spans="1:17" x14ac:dyDescent="0.25">
      <c r="A17" t="s">
        <v>198</v>
      </c>
      <c r="B17" t="s">
        <v>197</v>
      </c>
      <c r="C17" t="s">
        <v>29</v>
      </c>
      <c r="D17" t="s">
        <v>201</v>
      </c>
      <c r="E17">
        <v>28</v>
      </c>
      <c r="G17" s="55" t="s">
        <v>199</v>
      </c>
      <c r="I17" s="39"/>
      <c r="J17" s="36"/>
    </row>
    <row r="18" spans="1:17" x14ac:dyDescent="0.25">
      <c r="A18" s="1" t="s">
        <v>47</v>
      </c>
      <c r="I18" s="39"/>
      <c r="J18" s="36"/>
    </row>
    <row r="19" spans="1:17" x14ac:dyDescent="0.25">
      <c r="A19" s="7"/>
      <c r="B19" s="6" t="s">
        <v>147</v>
      </c>
      <c r="C19" s="6" t="s">
        <v>148</v>
      </c>
      <c r="G19" s="55" t="s">
        <v>140</v>
      </c>
      <c r="I19" s="39"/>
      <c r="J19" s="36"/>
    </row>
    <row r="20" spans="1:17" s="11" customFormat="1" x14ac:dyDescent="0.25">
      <c r="A20" s="11" t="s">
        <v>171</v>
      </c>
      <c r="B20" s="11" t="s">
        <v>166</v>
      </c>
      <c r="C20" s="11" t="s">
        <v>134</v>
      </c>
      <c r="D20" s="11" t="s">
        <v>165</v>
      </c>
      <c r="E20" s="19">
        <v>41.581275506018599</v>
      </c>
      <c r="G20" s="56" t="s">
        <v>172</v>
      </c>
      <c r="H20" s="56"/>
      <c r="I20" s="40"/>
      <c r="J20" s="37"/>
    </row>
    <row r="21" spans="1:17" s="11" customFormat="1" x14ac:dyDescent="0.25">
      <c r="A21" s="11" t="s">
        <v>171</v>
      </c>
      <c r="B21" s="11" t="s">
        <v>166</v>
      </c>
      <c r="C21" s="11" t="s">
        <v>164</v>
      </c>
      <c r="D21" s="11" t="s">
        <v>165</v>
      </c>
      <c r="E21" s="21">
        <v>39.9546323419518</v>
      </c>
      <c r="G21" s="56" t="s">
        <v>172</v>
      </c>
      <c r="H21" s="56"/>
      <c r="I21" s="40"/>
      <c r="J21" s="37"/>
    </row>
    <row r="22" spans="1:17" s="11" customFormat="1" x14ac:dyDescent="0.25">
      <c r="A22" s="11" t="s">
        <v>171</v>
      </c>
      <c r="B22" s="11" t="s">
        <v>167</v>
      </c>
      <c r="C22" s="11" t="s">
        <v>134</v>
      </c>
      <c r="D22" s="11" t="s">
        <v>169</v>
      </c>
      <c r="E22" s="20">
        <v>8.2892478357315191</v>
      </c>
      <c r="G22" s="56" t="s">
        <v>172</v>
      </c>
      <c r="H22" s="56"/>
      <c r="I22" s="40"/>
      <c r="J22" s="37"/>
    </row>
    <row r="23" spans="1:17" s="11" customFormat="1" x14ac:dyDescent="0.25">
      <c r="A23" s="11" t="s">
        <v>171</v>
      </c>
      <c r="B23" s="11" t="s">
        <v>167</v>
      </c>
      <c r="C23" s="11" t="s">
        <v>164</v>
      </c>
      <c r="D23" s="11" t="s">
        <v>169</v>
      </c>
      <c r="E23" s="20">
        <v>7.1623695468729398</v>
      </c>
      <c r="G23" s="56" t="s">
        <v>172</v>
      </c>
      <c r="H23" s="56"/>
      <c r="I23" s="40"/>
      <c r="J23" s="37"/>
    </row>
    <row r="24" spans="1:17" s="11" customFormat="1" x14ac:dyDescent="0.25">
      <c r="A24" s="11" t="s">
        <v>171</v>
      </c>
      <c r="B24" s="11" t="s">
        <v>168</v>
      </c>
      <c r="C24" s="11" t="s">
        <v>134</v>
      </c>
      <c r="D24" s="11" t="s">
        <v>170</v>
      </c>
      <c r="E24" s="20">
        <v>10.1070464437342</v>
      </c>
      <c r="G24" s="56" t="s">
        <v>172</v>
      </c>
      <c r="H24" s="56"/>
      <c r="I24" s="40"/>
      <c r="J24" s="37"/>
    </row>
    <row r="25" spans="1:17" s="11" customFormat="1" x14ac:dyDescent="0.25">
      <c r="A25" s="11" t="s">
        <v>171</v>
      </c>
      <c r="B25" s="11" t="s">
        <v>168</v>
      </c>
      <c r="C25" s="11" t="s">
        <v>164</v>
      </c>
      <c r="D25" s="11" t="s">
        <v>170</v>
      </c>
      <c r="E25" s="21">
        <v>9</v>
      </c>
      <c r="G25" s="56" t="s">
        <v>172</v>
      </c>
      <c r="H25" s="56"/>
      <c r="I25" s="40"/>
      <c r="J25" s="37"/>
    </row>
    <row r="26" spans="1:17" s="11" customFormat="1" x14ac:dyDescent="0.25">
      <c r="E26" s="21"/>
      <c r="G26" s="56"/>
      <c r="H26" s="56"/>
      <c r="I26" s="40"/>
      <c r="J26" s="37"/>
    </row>
    <row r="27" spans="1:17" s="11" customFormat="1" x14ac:dyDescent="0.25">
      <c r="A27" s="9" t="s">
        <v>212</v>
      </c>
      <c r="E27" s="21"/>
      <c r="G27" s="56"/>
      <c r="H27" s="56"/>
      <c r="I27" s="40"/>
      <c r="J27" s="37"/>
    </row>
    <row r="28" spans="1:17" s="22" customFormat="1" x14ac:dyDescent="0.25">
      <c r="A28" s="22" t="s">
        <v>198</v>
      </c>
      <c r="B28" s="22" t="s">
        <v>213</v>
      </c>
      <c r="C28" s="22" t="s">
        <v>29</v>
      </c>
      <c r="D28" s="22" t="s">
        <v>214</v>
      </c>
      <c r="E28" s="23">
        <v>7.1</v>
      </c>
      <c r="G28" s="55" t="s">
        <v>199</v>
      </c>
      <c r="H28" s="57"/>
      <c r="I28" s="41"/>
      <c r="J28" s="38"/>
    </row>
    <row r="29" spans="1:17" s="22" customFormat="1" x14ac:dyDescent="0.25">
      <c r="E29" s="23"/>
      <c r="G29" s="57"/>
      <c r="H29" s="57"/>
      <c r="I29" s="41"/>
      <c r="J29" s="38"/>
    </row>
    <row r="30" spans="1:17" s="22" customFormat="1" ht="15.75" thickBot="1" x14ac:dyDescent="0.3">
      <c r="E30" s="23"/>
      <c r="G30" s="57"/>
      <c r="H30" s="57"/>
      <c r="I30" s="41"/>
      <c r="J30" s="38"/>
    </row>
    <row r="31" spans="1:17" ht="15.75" thickTop="1" x14ac:dyDescent="0.25">
      <c r="A31" s="1" t="s">
        <v>43</v>
      </c>
      <c r="I31" s="39"/>
      <c r="J31" s="35" t="s">
        <v>323</v>
      </c>
      <c r="K31" s="7" t="s">
        <v>123</v>
      </c>
      <c r="L31" s="7" t="s">
        <v>7</v>
      </c>
      <c r="M31" s="7" t="s">
        <v>8</v>
      </c>
      <c r="N31" s="7" t="s">
        <v>9</v>
      </c>
      <c r="O31" s="34" t="s">
        <v>324</v>
      </c>
      <c r="P31" s="7" t="s">
        <v>128</v>
      </c>
      <c r="Q31" s="7" t="s">
        <v>11</v>
      </c>
    </row>
    <row r="32" spans="1:17" x14ac:dyDescent="0.25">
      <c r="A32" s="2" t="s">
        <v>2</v>
      </c>
      <c r="I32" s="39"/>
      <c r="J32" s="2" t="s">
        <v>2</v>
      </c>
    </row>
    <row r="33" spans="1:16" s="51" customFormat="1" x14ac:dyDescent="0.25">
      <c r="A33" s="50"/>
      <c r="G33" s="58"/>
      <c r="H33" s="58"/>
      <c r="I33" s="52"/>
      <c r="J33" s="36" t="s">
        <v>362</v>
      </c>
      <c r="K33" t="s">
        <v>216</v>
      </c>
      <c r="L33"/>
      <c r="M33" t="s">
        <v>380</v>
      </c>
      <c r="N33">
        <f>Coefficients!D45</f>
        <v>18.014634233006451</v>
      </c>
      <c r="O33"/>
      <c r="P33" t="s">
        <v>379</v>
      </c>
    </row>
    <row r="34" spans="1:16" s="51" customFormat="1" x14ac:dyDescent="0.25">
      <c r="A34" s="50"/>
      <c r="G34" s="58"/>
      <c r="H34" s="58"/>
      <c r="I34" s="52"/>
      <c r="J34" s="36"/>
      <c r="K34" t="s">
        <v>217</v>
      </c>
      <c r="L34"/>
      <c r="M34" t="s">
        <v>380</v>
      </c>
      <c r="N34">
        <f>Coefficients!D46</f>
        <v>0</v>
      </c>
      <c r="O34"/>
      <c r="P34" t="s">
        <v>379</v>
      </c>
    </row>
    <row r="35" spans="1:16" s="51" customFormat="1" x14ac:dyDescent="0.25">
      <c r="A35" s="50"/>
      <c r="G35" s="58"/>
      <c r="H35" s="58"/>
      <c r="I35" s="52"/>
      <c r="J35" s="36"/>
      <c r="K35" t="s">
        <v>381</v>
      </c>
      <c r="L35"/>
      <c r="M35" t="s">
        <v>380</v>
      </c>
      <c r="N35">
        <f>Coefficients!D47</f>
        <v>0.7453936331133546</v>
      </c>
      <c r="O35"/>
      <c r="P35" t="s">
        <v>379</v>
      </c>
    </row>
    <row r="36" spans="1:16" s="51" customFormat="1" x14ac:dyDescent="0.25">
      <c r="A36" s="50"/>
      <c r="G36" s="58"/>
      <c r="H36" s="58"/>
      <c r="I36" s="52"/>
      <c r="J36" s="50"/>
    </row>
    <row r="37" spans="1:16" x14ac:dyDescent="0.25">
      <c r="A37" s="7" t="s">
        <v>215</v>
      </c>
      <c r="B37" t="s">
        <v>216</v>
      </c>
      <c r="C37">
        <v>2010</v>
      </c>
      <c r="D37" t="s">
        <v>219</v>
      </c>
      <c r="E37">
        <v>96.2</v>
      </c>
      <c r="G37" s="55" t="s">
        <v>39</v>
      </c>
      <c r="I37" s="39"/>
      <c r="J37" t="s">
        <v>363</v>
      </c>
      <c r="K37" t="s">
        <v>216</v>
      </c>
      <c r="M37" t="s">
        <v>380</v>
      </c>
      <c r="N37">
        <f>Coefficients!D51</f>
        <v>6.428907426348057</v>
      </c>
      <c r="P37" t="s">
        <v>379</v>
      </c>
    </row>
    <row r="38" spans="1:16" x14ac:dyDescent="0.25">
      <c r="A38" s="7"/>
      <c r="B38" t="s">
        <v>217</v>
      </c>
      <c r="C38">
        <v>2010</v>
      </c>
      <c r="D38" t="s">
        <v>219</v>
      </c>
      <c r="E38" t="s">
        <v>29</v>
      </c>
      <c r="G38" s="55" t="s">
        <v>39</v>
      </c>
      <c r="I38" s="39"/>
      <c r="K38" t="s">
        <v>217</v>
      </c>
      <c r="M38" t="s">
        <v>380</v>
      </c>
      <c r="N38">
        <f>Coefficients!D52</f>
        <v>0</v>
      </c>
      <c r="P38" t="s">
        <v>379</v>
      </c>
    </row>
    <row r="39" spans="1:16" x14ac:dyDescent="0.25">
      <c r="A39" s="7"/>
      <c r="B39" t="s">
        <v>222</v>
      </c>
      <c r="C39">
        <v>2010</v>
      </c>
      <c r="D39" t="s">
        <v>219</v>
      </c>
      <c r="E39">
        <v>3.9</v>
      </c>
      <c r="G39" s="55" t="s">
        <v>39</v>
      </c>
      <c r="I39" s="39"/>
      <c r="K39" t="s">
        <v>381</v>
      </c>
      <c r="M39" t="s">
        <v>380</v>
      </c>
      <c r="N39">
        <f>Coefficients!D53</f>
        <v>0.26600965645447139</v>
      </c>
      <c r="P39" t="s">
        <v>379</v>
      </c>
    </row>
    <row r="40" spans="1:16" x14ac:dyDescent="0.25">
      <c r="A40" s="7" t="s">
        <v>218</v>
      </c>
      <c r="B40" t="s">
        <v>216</v>
      </c>
      <c r="C40">
        <v>2010</v>
      </c>
      <c r="D40" t="s">
        <v>219</v>
      </c>
      <c r="E40">
        <v>96.2</v>
      </c>
      <c r="G40" s="55" t="s">
        <v>39</v>
      </c>
      <c r="I40" s="39"/>
      <c r="J40" s="36"/>
    </row>
    <row r="41" spans="1:16" x14ac:dyDescent="0.25">
      <c r="A41" s="7"/>
      <c r="I41" s="39"/>
      <c r="J41" s="36" t="s">
        <v>347</v>
      </c>
      <c r="K41" t="s">
        <v>216</v>
      </c>
      <c r="M41" t="s">
        <v>380</v>
      </c>
      <c r="N41">
        <f>Coefficients!D77</f>
        <v>8.7383405332290103</v>
      </c>
      <c r="P41" t="s">
        <v>379</v>
      </c>
    </row>
    <row r="42" spans="1:16" x14ac:dyDescent="0.25">
      <c r="A42" s="7"/>
      <c r="B42" t="s">
        <v>217</v>
      </c>
      <c r="C42">
        <v>2010</v>
      </c>
      <c r="D42" t="s">
        <v>219</v>
      </c>
      <c r="E42" t="s">
        <v>29</v>
      </c>
      <c r="G42" s="55" t="s">
        <v>39</v>
      </c>
      <c r="I42" s="39"/>
      <c r="J42" s="36"/>
      <c r="K42" t="s">
        <v>217</v>
      </c>
      <c r="M42" t="s">
        <v>380</v>
      </c>
      <c r="N42">
        <f>Coefficients!D78</f>
        <v>0</v>
      </c>
      <c r="P42" t="s">
        <v>379</v>
      </c>
    </row>
    <row r="43" spans="1:16" x14ac:dyDescent="0.25">
      <c r="A43" s="7"/>
      <c r="B43" t="s">
        <v>222</v>
      </c>
      <c r="C43">
        <v>2010</v>
      </c>
      <c r="D43" t="s">
        <v>219</v>
      </c>
      <c r="E43">
        <v>3.8</v>
      </c>
      <c r="G43" s="55" t="s">
        <v>39</v>
      </c>
      <c r="I43" s="39"/>
      <c r="J43" s="36"/>
      <c r="K43" t="s">
        <v>381</v>
      </c>
      <c r="M43" t="s">
        <v>380</v>
      </c>
      <c r="N43">
        <f>Coefficients!D79</f>
        <v>0.35968867095083157</v>
      </c>
      <c r="P43" t="s">
        <v>379</v>
      </c>
    </row>
    <row r="44" spans="1:16" x14ac:dyDescent="0.25">
      <c r="A44" s="7"/>
      <c r="I44" s="39"/>
      <c r="J44" s="36"/>
    </row>
    <row r="45" spans="1:16" x14ac:dyDescent="0.25">
      <c r="A45" s="7"/>
      <c r="I45" s="39"/>
      <c r="J45" s="36" t="s">
        <v>362</v>
      </c>
      <c r="K45" t="s">
        <v>216</v>
      </c>
      <c r="M45" t="s">
        <v>273</v>
      </c>
      <c r="N45">
        <f>N33*365*'Data herd'!E17</f>
        <v>11967234041.700798</v>
      </c>
    </row>
    <row r="46" spans="1:16" x14ac:dyDescent="0.25">
      <c r="A46" s="7"/>
      <c r="I46" s="39"/>
      <c r="J46" s="36"/>
      <c r="K46" t="s">
        <v>217</v>
      </c>
      <c r="M46" t="s">
        <v>273</v>
      </c>
      <c r="N46">
        <f>N34*365*'Data herd'!E17</f>
        <v>0</v>
      </c>
    </row>
    <row r="47" spans="1:16" x14ac:dyDescent="0.25">
      <c r="A47" s="7"/>
      <c r="I47" s="39"/>
      <c r="J47" s="36"/>
      <c r="K47" t="s">
        <v>382</v>
      </c>
      <c r="M47" t="s">
        <v>273</v>
      </c>
      <c r="N47">
        <f>N35*365*'Data herd'!E17</f>
        <v>495169646.26000446</v>
      </c>
    </row>
    <row r="48" spans="1:16" x14ac:dyDescent="0.25">
      <c r="A48" s="7"/>
      <c r="I48" s="39"/>
      <c r="J48" s="36"/>
    </row>
    <row r="49" spans="1:14" x14ac:dyDescent="0.25">
      <c r="A49" s="7"/>
      <c r="I49" s="39"/>
      <c r="J49" t="s">
        <v>363</v>
      </c>
      <c r="K49" t="s">
        <v>216</v>
      </c>
      <c r="M49" t="s">
        <v>273</v>
      </c>
      <c r="N49">
        <f>N37*365*'Data herd'!E18</f>
        <v>321455306.57228059</v>
      </c>
    </row>
    <row r="50" spans="1:14" x14ac:dyDescent="0.25">
      <c r="A50" s="7"/>
      <c r="I50" s="39"/>
      <c r="K50" t="s">
        <v>217</v>
      </c>
      <c r="M50" t="s">
        <v>273</v>
      </c>
      <c r="N50">
        <f>N38*365*'Data herd'!E18</f>
        <v>0</v>
      </c>
    </row>
    <row r="51" spans="1:14" x14ac:dyDescent="0.25">
      <c r="A51" s="7"/>
      <c r="I51" s="39"/>
      <c r="K51" t="s">
        <v>381</v>
      </c>
      <c r="M51" t="s">
        <v>273</v>
      </c>
      <c r="N51">
        <f>N39*365*'Data herd'!E18</f>
        <v>13300893.914929684</v>
      </c>
    </row>
    <row r="52" spans="1:14" x14ac:dyDescent="0.25">
      <c r="A52" s="7"/>
      <c r="I52" s="39"/>
    </row>
    <row r="53" spans="1:14" x14ac:dyDescent="0.25">
      <c r="A53" s="7"/>
      <c r="I53" s="39"/>
      <c r="J53" s="36" t="s">
        <v>347</v>
      </c>
      <c r="K53" t="s">
        <v>216</v>
      </c>
      <c r="M53" t="s">
        <v>273</v>
      </c>
      <c r="N53">
        <f>N41*365*'Data herd'!E7</f>
        <v>1236394705.3355939</v>
      </c>
    </row>
    <row r="54" spans="1:14" x14ac:dyDescent="0.25">
      <c r="A54" s="7"/>
      <c r="I54" s="39"/>
      <c r="J54" s="36"/>
      <c r="K54" t="s">
        <v>217</v>
      </c>
      <c r="M54" t="s">
        <v>273</v>
      </c>
      <c r="N54">
        <f>N42*365*'Data herd'!E7</f>
        <v>0</v>
      </c>
    </row>
    <row r="55" spans="1:14" x14ac:dyDescent="0.25">
      <c r="A55" s="7"/>
      <c r="I55" s="39"/>
      <c r="J55" s="36"/>
      <c r="K55" t="s">
        <v>381</v>
      </c>
      <c r="M55" t="s">
        <v>273</v>
      </c>
      <c r="N55">
        <f>N43*365*'Data herd'!E7</f>
        <v>50892634.206883207</v>
      </c>
    </row>
    <row r="56" spans="1:14" x14ac:dyDescent="0.25">
      <c r="A56" s="7"/>
      <c r="I56" s="39"/>
      <c r="J56" s="36"/>
    </row>
    <row r="57" spans="1:14" x14ac:dyDescent="0.25">
      <c r="A57" s="7"/>
      <c r="I57" s="39"/>
      <c r="J57" t="s">
        <v>378</v>
      </c>
      <c r="K57" t="s">
        <v>216</v>
      </c>
      <c r="M57" t="s">
        <v>273</v>
      </c>
      <c r="N57">
        <f>N45+N49+N53</f>
        <v>13525084053.608673</v>
      </c>
    </row>
    <row r="58" spans="1:14" x14ac:dyDescent="0.25">
      <c r="A58" s="7"/>
      <c r="I58" s="39"/>
      <c r="K58" t="s">
        <v>217</v>
      </c>
      <c r="M58" t="s">
        <v>273</v>
      </c>
      <c r="N58">
        <f>N46+N50+N54</f>
        <v>0</v>
      </c>
    </row>
    <row r="59" spans="1:14" x14ac:dyDescent="0.25">
      <c r="A59" s="7"/>
      <c r="I59" s="39"/>
      <c r="K59" t="s">
        <v>381</v>
      </c>
      <c r="M59" t="s">
        <v>273</v>
      </c>
      <c r="N59">
        <f>N47+N51+N55</f>
        <v>559363174.38181734</v>
      </c>
    </row>
    <row r="60" spans="1:14" x14ac:dyDescent="0.25">
      <c r="A60" s="7"/>
      <c r="I60" s="39"/>
      <c r="K60" t="s">
        <v>388</v>
      </c>
      <c r="M60" t="s">
        <v>273</v>
      </c>
      <c r="N60">
        <f>SUM(N57:N59)</f>
        <v>14084447227.99049</v>
      </c>
    </row>
    <row r="61" spans="1:14" x14ac:dyDescent="0.25">
      <c r="A61" s="7"/>
      <c r="I61" s="39"/>
    </row>
    <row r="62" spans="1:14" x14ac:dyDescent="0.25">
      <c r="A62" s="7"/>
      <c r="I62" s="39"/>
      <c r="J62" t="s">
        <v>378</v>
      </c>
      <c r="K62" t="s">
        <v>216</v>
      </c>
      <c r="M62" t="s">
        <v>390</v>
      </c>
      <c r="N62">
        <f>N57/1000000000</f>
        <v>13.525084053608673</v>
      </c>
    </row>
    <row r="63" spans="1:14" x14ac:dyDescent="0.25">
      <c r="A63" s="7"/>
      <c r="I63" s="39"/>
      <c r="K63" t="s">
        <v>217</v>
      </c>
      <c r="M63" t="s">
        <v>390</v>
      </c>
      <c r="N63">
        <f t="shared" ref="N63:N64" si="1">N58/1000000000</f>
        <v>0</v>
      </c>
    </row>
    <row r="64" spans="1:14" x14ac:dyDescent="0.25">
      <c r="A64" s="7"/>
      <c r="I64" s="39"/>
      <c r="K64" t="s">
        <v>381</v>
      </c>
      <c r="M64" t="s">
        <v>390</v>
      </c>
      <c r="N64">
        <f t="shared" si="1"/>
        <v>0.55936317438181737</v>
      </c>
    </row>
    <row r="65" spans="1:16" x14ac:dyDescent="0.25">
      <c r="A65" s="7"/>
      <c r="I65" s="39"/>
      <c r="K65" t="s">
        <v>388</v>
      </c>
      <c r="M65" t="s">
        <v>390</v>
      </c>
      <c r="N65">
        <f>N60/1000000000</f>
        <v>14.08444722799049</v>
      </c>
    </row>
    <row r="66" spans="1:16" x14ac:dyDescent="0.25">
      <c r="A66" s="2" t="s">
        <v>3</v>
      </c>
      <c r="I66" s="39"/>
      <c r="J66" s="2" t="s">
        <v>3</v>
      </c>
    </row>
    <row r="67" spans="1:16" x14ac:dyDescent="0.25">
      <c r="A67" s="50"/>
      <c r="I67" s="39"/>
      <c r="J67" s="50"/>
      <c r="K67" t="s">
        <v>216</v>
      </c>
      <c r="M67" t="s">
        <v>380</v>
      </c>
      <c r="N67">
        <f>Coefficients!D106</f>
        <v>2.6887804439044531</v>
      </c>
      <c r="P67" t="s">
        <v>379</v>
      </c>
    </row>
    <row r="68" spans="1:16" x14ac:dyDescent="0.25">
      <c r="A68" s="50"/>
      <c r="I68" s="39"/>
      <c r="J68" s="50"/>
      <c r="K68" t="s">
        <v>217</v>
      </c>
      <c r="M68" t="s">
        <v>380</v>
      </c>
      <c r="N68">
        <f>Coefficients!D107</f>
        <v>0.14834863307475946</v>
      </c>
      <c r="P68" t="s">
        <v>379</v>
      </c>
    </row>
    <row r="69" spans="1:16" x14ac:dyDescent="0.25">
      <c r="A69" s="50"/>
      <c r="I69" s="39"/>
      <c r="J69" s="50"/>
      <c r="K69" t="s">
        <v>382</v>
      </c>
      <c r="M69" t="s">
        <v>380</v>
      </c>
      <c r="N69">
        <f>Coefficients!D108</f>
        <v>7.9681929949110983E-2</v>
      </c>
      <c r="P69" t="s">
        <v>379</v>
      </c>
    </row>
    <row r="70" spans="1:16" x14ac:dyDescent="0.25">
      <c r="A70" s="50"/>
      <c r="I70" s="39"/>
      <c r="J70" s="50"/>
      <c r="K70" t="s">
        <v>383</v>
      </c>
      <c r="M70" t="s">
        <v>380</v>
      </c>
      <c r="N70">
        <f>Coefficients!D109</f>
        <v>1.4328159211340152</v>
      </c>
      <c r="P70" t="s">
        <v>379</v>
      </c>
    </row>
    <row r="71" spans="1:16" x14ac:dyDescent="0.25">
      <c r="A71" s="50"/>
      <c r="I71" s="39"/>
      <c r="J71" s="50"/>
      <c r="K71" t="s">
        <v>74</v>
      </c>
      <c r="M71" t="s">
        <v>380</v>
      </c>
      <c r="N71">
        <f>Coefficients!D110</f>
        <v>4.3496269280623387</v>
      </c>
    </row>
    <row r="72" spans="1:16" x14ac:dyDescent="0.25">
      <c r="A72" s="50"/>
      <c r="I72" s="39"/>
      <c r="J72" s="50"/>
    </row>
    <row r="73" spans="1:16" x14ac:dyDescent="0.25">
      <c r="A73" s="50"/>
      <c r="I73" s="39"/>
      <c r="J73" s="50"/>
      <c r="K73" t="s">
        <v>216</v>
      </c>
      <c r="M73" t="s">
        <v>273</v>
      </c>
      <c r="N73">
        <f>N67*365*'Data herd'!E22</f>
        <v>2858188561.4897037</v>
      </c>
    </row>
    <row r="74" spans="1:16" x14ac:dyDescent="0.25">
      <c r="A74" s="50"/>
      <c r="I74" s="39"/>
      <c r="J74" s="50"/>
      <c r="K74" t="s">
        <v>217</v>
      </c>
      <c r="M74" t="s">
        <v>273</v>
      </c>
      <c r="N74">
        <f>N68*365*'Data herd'!E22</f>
        <v>157695421.7768693</v>
      </c>
    </row>
    <row r="75" spans="1:16" x14ac:dyDescent="0.25">
      <c r="A75" s="50"/>
      <c r="I75" s="39"/>
      <c r="J75" s="50"/>
      <c r="K75" t="s">
        <v>382</v>
      </c>
      <c r="M75" t="s">
        <v>273</v>
      </c>
      <c r="N75">
        <f>N69*365*'Data herd'!E22</f>
        <v>84702334.567435548</v>
      </c>
    </row>
    <row r="76" spans="1:16" x14ac:dyDescent="0.25">
      <c r="A76" s="50"/>
      <c r="I76" s="39"/>
      <c r="J76" s="50"/>
      <c r="K76" t="s">
        <v>383</v>
      </c>
      <c r="M76" t="s">
        <v>273</v>
      </c>
      <c r="N76">
        <f>N70*365*'Data herd'!E22</f>
        <v>1523091290.6219804</v>
      </c>
    </row>
    <row r="77" spans="1:16" x14ac:dyDescent="0.25">
      <c r="A77" s="50"/>
      <c r="I77" s="39"/>
      <c r="J77" s="50"/>
      <c r="K77" t="s">
        <v>385</v>
      </c>
      <c r="M77" t="s">
        <v>273</v>
      </c>
      <c r="N77">
        <f>N71*365*'Data herd'!E22</f>
        <v>4623677608.4559889</v>
      </c>
    </row>
    <row r="78" spans="1:16" x14ac:dyDescent="0.25">
      <c r="A78" s="50"/>
      <c r="I78" s="39"/>
      <c r="J78" s="50"/>
    </row>
    <row r="79" spans="1:16" x14ac:dyDescent="0.25">
      <c r="A79" s="50"/>
      <c r="I79" s="39"/>
      <c r="J79" s="50"/>
      <c r="K79" t="s">
        <v>216</v>
      </c>
      <c r="M79" t="s">
        <v>390</v>
      </c>
      <c r="N79">
        <f>N73/1000000000</f>
        <v>2.8581885614897038</v>
      </c>
    </row>
    <row r="80" spans="1:16" x14ac:dyDescent="0.25">
      <c r="A80" s="7" t="s">
        <v>220</v>
      </c>
      <c r="B80" t="s">
        <v>216</v>
      </c>
      <c r="C80">
        <v>2010</v>
      </c>
      <c r="D80" t="s">
        <v>219</v>
      </c>
      <c r="E80">
        <v>92.3</v>
      </c>
      <c r="G80" s="55" t="s">
        <v>39</v>
      </c>
      <c r="I80" s="39"/>
      <c r="J80" s="36"/>
      <c r="K80" t="s">
        <v>217</v>
      </c>
      <c r="M80" t="s">
        <v>390</v>
      </c>
      <c r="N80">
        <f t="shared" ref="N80:N82" si="2">N74/1000000000</f>
        <v>0.15769542177686929</v>
      </c>
    </row>
    <row r="81" spans="1:16" x14ac:dyDescent="0.25">
      <c r="A81" s="7"/>
      <c r="B81" t="s">
        <v>217</v>
      </c>
      <c r="C81">
        <v>2010</v>
      </c>
      <c r="D81" t="s">
        <v>219</v>
      </c>
      <c r="E81">
        <v>5</v>
      </c>
      <c r="G81" s="55" t="s">
        <v>39</v>
      </c>
      <c r="I81" s="39"/>
      <c r="J81" s="36"/>
      <c r="K81" t="s">
        <v>382</v>
      </c>
      <c r="M81" t="s">
        <v>390</v>
      </c>
      <c r="N81">
        <f t="shared" si="2"/>
        <v>8.4702334567435547E-2</v>
      </c>
    </row>
    <row r="82" spans="1:16" x14ac:dyDescent="0.25">
      <c r="A82" s="7"/>
      <c r="B82" t="s">
        <v>221</v>
      </c>
      <c r="C82">
        <v>2010</v>
      </c>
      <c r="D82" t="s">
        <v>219</v>
      </c>
      <c r="E82">
        <v>2.7</v>
      </c>
      <c r="G82" s="55" t="s">
        <v>39</v>
      </c>
      <c r="I82" s="39"/>
      <c r="J82" s="36"/>
      <c r="K82" t="s">
        <v>383</v>
      </c>
      <c r="M82" t="s">
        <v>390</v>
      </c>
      <c r="N82">
        <f t="shared" si="2"/>
        <v>1.5230912906219805</v>
      </c>
    </row>
    <row r="83" spans="1:16" x14ac:dyDescent="0.25">
      <c r="A83" s="7"/>
      <c r="I83" s="39"/>
      <c r="J83" s="36"/>
      <c r="K83" t="s">
        <v>385</v>
      </c>
      <c r="M83" t="s">
        <v>390</v>
      </c>
      <c r="N83">
        <f>N77/1000000000</f>
        <v>4.6236776084559885</v>
      </c>
    </row>
    <row r="84" spans="1:16" x14ac:dyDescent="0.25">
      <c r="A84" s="7"/>
      <c r="I84" s="39"/>
      <c r="J84" s="36"/>
    </row>
    <row r="85" spans="1:16" x14ac:dyDescent="0.25">
      <c r="A85" s="7"/>
      <c r="I85" s="39"/>
      <c r="J85" s="36"/>
    </row>
    <row r="86" spans="1:16" x14ac:dyDescent="0.25">
      <c r="A86" s="2" t="s">
        <v>4</v>
      </c>
      <c r="I86" s="39"/>
      <c r="J86" s="2" t="s">
        <v>4</v>
      </c>
    </row>
    <row r="87" spans="1:16" x14ac:dyDescent="0.25">
      <c r="A87" s="50"/>
      <c r="I87" s="39"/>
      <c r="J87" s="36" t="s">
        <v>359</v>
      </c>
      <c r="K87" t="s">
        <v>216</v>
      </c>
      <c r="M87" t="s">
        <v>380</v>
      </c>
      <c r="N87">
        <f>Coefficients!D138</f>
        <v>5.5314882160814367</v>
      </c>
      <c r="P87" t="s">
        <v>379</v>
      </c>
    </row>
    <row r="88" spans="1:16" x14ac:dyDescent="0.25">
      <c r="A88" s="50"/>
      <c r="I88" s="39"/>
      <c r="J88" s="36"/>
      <c r="K88" t="s">
        <v>217</v>
      </c>
      <c r="M88" t="s">
        <v>380</v>
      </c>
      <c r="N88">
        <f>Coefficients!D139</f>
        <v>0</v>
      </c>
      <c r="P88" t="s">
        <v>379</v>
      </c>
    </row>
    <row r="89" spans="1:16" x14ac:dyDescent="0.25">
      <c r="A89" s="50"/>
      <c r="I89" s="39"/>
      <c r="J89" s="36"/>
      <c r="K89" t="s">
        <v>382</v>
      </c>
      <c r="M89" t="s">
        <v>380</v>
      </c>
      <c r="N89">
        <f>Coefficients!D140</f>
        <v>0.22768781294991619</v>
      </c>
      <c r="P89" t="s">
        <v>379</v>
      </c>
    </row>
    <row r="90" spans="1:16" x14ac:dyDescent="0.25">
      <c r="A90" s="50"/>
      <c r="I90" s="39"/>
      <c r="J90" s="50"/>
    </row>
    <row r="91" spans="1:16" x14ac:dyDescent="0.25">
      <c r="A91" s="7" t="s">
        <v>218</v>
      </c>
      <c r="B91" t="s">
        <v>216</v>
      </c>
      <c r="C91">
        <v>2010</v>
      </c>
      <c r="D91" t="s">
        <v>219</v>
      </c>
      <c r="E91">
        <v>96.2</v>
      </c>
      <c r="G91" s="55" t="s">
        <v>39</v>
      </c>
      <c r="I91" s="39"/>
      <c r="J91" t="s">
        <v>386</v>
      </c>
      <c r="K91" t="s">
        <v>216</v>
      </c>
      <c r="M91" t="s">
        <v>380</v>
      </c>
      <c r="N91">
        <f>Coefficients!D145</f>
        <v>5.7097808299323711</v>
      </c>
      <c r="P91" t="s">
        <v>379</v>
      </c>
    </row>
    <row r="92" spans="1:16" x14ac:dyDescent="0.25">
      <c r="A92" s="7"/>
      <c r="B92" t="s">
        <v>217</v>
      </c>
      <c r="C92">
        <v>2010</v>
      </c>
      <c r="D92" t="s">
        <v>219</v>
      </c>
      <c r="E92" t="s">
        <v>29</v>
      </c>
      <c r="G92" s="55" t="s">
        <v>39</v>
      </c>
      <c r="I92" s="39"/>
      <c r="K92" t="s">
        <v>217</v>
      </c>
      <c r="M92" t="s">
        <v>380</v>
      </c>
      <c r="N92">
        <f>Coefficients!D146</f>
        <v>0</v>
      </c>
      <c r="P92" t="s">
        <v>379</v>
      </c>
    </row>
    <row r="93" spans="1:16" x14ac:dyDescent="0.25">
      <c r="A93" s="7"/>
      <c r="B93" t="s">
        <v>222</v>
      </c>
      <c r="C93">
        <v>2010</v>
      </c>
      <c r="D93" t="s">
        <v>219</v>
      </c>
      <c r="E93">
        <v>3.8</v>
      </c>
      <c r="G93" s="55" t="s">
        <v>39</v>
      </c>
      <c r="H93" s="59" t="s">
        <v>104</v>
      </c>
      <c r="I93" s="39"/>
      <c r="K93" t="s">
        <v>382</v>
      </c>
      <c r="M93" t="s">
        <v>380</v>
      </c>
      <c r="N93">
        <f>Coefficients!D147</f>
        <v>0.23502671592268642</v>
      </c>
      <c r="P93" t="s">
        <v>379</v>
      </c>
    </row>
    <row r="94" spans="1:16" x14ac:dyDescent="0.25">
      <c r="I94" s="39"/>
      <c r="J94" s="36"/>
    </row>
    <row r="95" spans="1:16" x14ac:dyDescent="0.25">
      <c r="I95" s="39"/>
      <c r="J95" s="36" t="s">
        <v>359</v>
      </c>
      <c r="K95" t="s">
        <v>216</v>
      </c>
      <c r="M95" t="s">
        <v>273</v>
      </c>
      <c r="N95">
        <f>N87*365*'Data herd'!E35</f>
        <v>1684211277.6229386</v>
      </c>
    </row>
    <row r="96" spans="1:16" x14ac:dyDescent="0.25">
      <c r="I96" s="39"/>
      <c r="J96" s="36"/>
      <c r="K96" t="s">
        <v>217</v>
      </c>
      <c r="M96" t="s">
        <v>273</v>
      </c>
      <c r="N96">
        <f>N88*365*'Data herd'!E35</f>
        <v>0</v>
      </c>
    </row>
    <row r="97" spans="1:14" x14ac:dyDescent="0.25">
      <c r="A97" s="7"/>
      <c r="I97" s="42"/>
      <c r="J97" s="36"/>
      <c r="K97" t="s">
        <v>382</v>
      </c>
      <c r="M97" t="s">
        <v>273</v>
      </c>
      <c r="N97">
        <f>N89*365*'Data herd'!E35</f>
        <v>69325716.22094284</v>
      </c>
    </row>
    <row r="98" spans="1:14" x14ac:dyDescent="0.25">
      <c r="A98" s="7"/>
      <c r="I98" s="42"/>
      <c r="J98" s="36"/>
    </row>
    <row r="99" spans="1:14" x14ac:dyDescent="0.25">
      <c r="I99" s="42"/>
      <c r="J99" s="36" t="s">
        <v>386</v>
      </c>
      <c r="K99" t="s">
        <v>216</v>
      </c>
      <c r="M99" t="s">
        <v>273</v>
      </c>
      <c r="N99">
        <f>N91*365*'Data herd'!E36</f>
        <v>2085668484.617559</v>
      </c>
    </row>
    <row r="100" spans="1:14" x14ac:dyDescent="0.25">
      <c r="I100" s="42"/>
      <c r="J100" s="36"/>
      <c r="K100" t="s">
        <v>217</v>
      </c>
      <c r="M100" t="s">
        <v>273</v>
      </c>
      <c r="N100">
        <f>N92*365*'Data herd'!E36</f>
        <v>0</v>
      </c>
    </row>
    <row r="101" spans="1:14" x14ac:dyDescent="0.25">
      <c r="I101" s="42"/>
      <c r="J101" s="36"/>
      <c r="K101" t="s">
        <v>382</v>
      </c>
      <c r="M101" t="s">
        <v>273</v>
      </c>
      <c r="N101">
        <f>N93*365*'Data herd'!E36</f>
        <v>85850548.216036677</v>
      </c>
    </row>
    <row r="102" spans="1:14" x14ac:dyDescent="0.25">
      <c r="J102" s="36"/>
    </row>
    <row r="103" spans="1:14" x14ac:dyDescent="0.25">
      <c r="J103" s="36" t="s">
        <v>387</v>
      </c>
      <c r="K103" t="s">
        <v>216</v>
      </c>
      <c r="M103" t="s">
        <v>273</v>
      </c>
      <c r="N103">
        <f>N95+N99</f>
        <v>3769879762.2404976</v>
      </c>
    </row>
    <row r="104" spans="1:14" x14ac:dyDescent="0.25">
      <c r="J104" s="36"/>
      <c r="K104" t="s">
        <v>217</v>
      </c>
      <c r="M104" t="s">
        <v>273</v>
      </c>
      <c r="N104">
        <f>N96+N100</f>
        <v>0</v>
      </c>
    </row>
    <row r="105" spans="1:14" x14ac:dyDescent="0.25">
      <c r="J105" s="36"/>
      <c r="K105" t="s">
        <v>382</v>
      </c>
      <c r="M105" t="s">
        <v>273</v>
      </c>
      <c r="N105">
        <f>N97+N101</f>
        <v>155176264.43697953</v>
      </c>
    </row>
    <row r="106" spans="1:14" x14ac:dyDescent="0.25">
      <c r="J106" s="36"/>
      <c r="K106" t="s">
        <v>74</v>
      </c>
      <c r="N106">
        <f>SUM(N103:N105)</f>
        <v>3925056026.6774769</v>
      </c>
    </row>
    <row r="107" spans="1:14" x14ac:dyDescent="0.25">
      <c r="I107" s="42"/>
    </row>
    <row r="108" spans="1:14" x14ac:dyDescent="0.25">
      <c r="I108" s="42"/>
      <c r="J108" s="36" t="s">
        <v>387</v>
      </c>
      <c r="K108" t="s">
        <v>216</v>
      </c>
      <c r="M108" t="s">
        <v>390</v>
      </c>
      <c r="N108">
        <f>N103/1000000000</f>
        <v>3.7698797622404974</v>
      </c>
    </row>
    <row r="109" spans="1:14" x14ac:dyDescent="0.25">
      <c r="I109" s="42"/>
      <c r="J109" s="36"/>
      <c r="K109" t="s">
        <v>217</v>
      </c>
      <c r="M109" t="s">
        <v>390</v>
      </c>
      <c r="N109">
        <f t="shared" ref="N109:N111" si="3">N104/1000000000</f>
        <v>0</v>
      </c>
    </row>
    <row r="110" spans="1:14" x14ac:dyDescent="0.25">
      <c r="I110" s="42"/>
      <c r="J110" s="36"/>
      <c r="K110" t="s">
        <v>382</v>
      </c>
      <c r="M110" t="s">
        <v>390</v>
      </c>
      <c r="N110">
        <f t="shared" si="3"/>
        <v>0.15517626443697954</v>
      </c>
    </row>
    <row r="111" spans="1:14" x14ac:dyDescent="0.25">
      <c r="I111" s="42"/>
      <c r="J111" s="36"/>
      <c r="K111" t="s">
        <v>74</v>
      </c>
      <c r="M111" t="s">
        <v>390</v>
      </c>
      <c r="N111">
        <f t="shared" si="3"/>
        <v>3.9250560266774768</v>
      </c>
    </row>
    <row r="112" spans="1:14" x14ac:dyDescent="0.25">
      <c r="A112" s="1" t="s">
        <v>44</v>
      </c>
      <c r="I112" s="42"/>
      <c r="J112" s="53" t="s">
        <v>224</v>
      </c>
    </row>
    <row r="113" spans="1:14" x14ac:dyDescent="0.25">
      <c r="A113" s="7" t="s">
        <v>157</v>
      </c>
      <c r="B113" t="s">
        <v>98</v>
      </c>
      <c r="C113">
        <v>2015</v>
      </c>
      <c r="D113" t="s">
        <v>99</v>
      </c>
      <c r="E113">
        <v>476000</v>
      </c>
      <c r="G113" s="55" t="s">
        <v>100</v>
      </c>
      <c r="H113" s="55" t="s">
        <v>101</v>
      </c>
      <c r="I113" s="42"/>
      <c r="J113" s="36"/>
    </row>
    <row r="114" spans="1:14" x14ac:dyDescent="0.25">
      <c r="A114" s="7"/>
      <c r="B114" t="s">
        <v>102</v>
      </c>
      <c r="C114">
        <v>2015</v>
      </c>
      <c r="D114" t="s">
        <v>99</v>
      </c>
      <c r="E114">
        <v>215000</v>
      </c>
      <c r="G114" s="55" t="s">
        <v>100</v>
      </c>
      <c r="H114" s="55" t="s">
        <v>101</v>
      </c>
      <c r="I114" s="42"/>
      <c r="J114" s="36"/>
      <c r="K114" t="s">
        <v>397</v>
      </c>
      <c r="M114" t="s">
        <v>398</v>
      </c>
      <c r="N114">
        <f>E121*'Data herd'!E3</f>
        <v>444345408</v>
      </c>
    </row>
    <row r="115" spans="1:14" x14ac:dyDescent="0.25">
      <c r="A115" s="7"/>
      <c r="B115" t="s">
        <v>103</v>
      </c>
      <c r="C115">
        <v>2015</v>
      </c>
      <c r="D115" t="s">
        <v>99</v>
      </c>
      <c r="E115">
        <v>195000</v>
      </c>
      <c r="G115" s="55" t="s">
        <v>100</v>
      </c>
      <c r="H115" s="55" t="s">
        <v>101</v>
      </c>
      <c r="I115" s="42"/>
      <c r="J115" s="36"/>
      <c r="M115" t="s">
        <v>410</v>
      </c>
      <c r="N115">
        <f>N114/1000000</f>
        <v>444.34540800000002</v>
      </c>
    </row>
    <row r="116" spans="1:14" x14ac:dyDescent="0.25">
      <c r="A116" s="7"/>
      <c r="I116" s="42"/>
      <c r="J116" s="54" t="s">
        <v>2</v>
      </c>
    </row>
    <row r="117" spans="1:14" x14ac:dyDescent="0.25">
      <c r="A117" s="7" t="s">
        <v>239</v>
      </c>
      <c r="B117" t="s">
        <v>240</v>
      </c>
      <c r="C117">
        <v>2013</v>
      </c>
      <c r="D117" t="s">
        <v>246</v>
      </c>
      <c r="E117">
        <v>1.23</v>
      </c>
      <c r="G117" s="55" t="s">
        <v>243</v>
      </c>
      <c r="I117" s="42"/>
      <c r="J117" s="36"/>
    </row>
    <row r="118" spans="1:14" x14ac:dyDescent="0.25">
      <c r="A118" s="7"/>
      <c r="B118" t="s">
        <v>241</v>
      </c>
      <c r="C118">
        <v>2013</v>
      </c>
      <c r="D118" t="s">
        <v>246</v>
      </c>
      <c r="E118">
        <v>1.5</v>
      </c>
      <c r="G118" s="55" t="s">
        <v>243</v>
      </c>
      <c r="I118" s="42"/>
      <c r="J118" s="36" t="s">
        <v>321</v>
      </c>
      <c r="K118" t="s">
        <v>401</v>
      </c>
      <c r="M118" t="s">
        <v>273</v>
      </c>
      <c r="N118">
        <f>'Data herd'!L14</f>
        <v>1257427852.0663905</v>
      </c>
    </row>
    <row r="119" spans="1:14" x14ac:dyDescent="0.25">
      <c r="A119" s="7"/>
      <c r="B119" t="s">
        <v>242</v>
      </c>
      <c r="C119">
        <v>2013</v>
      </c>
      <c r="D119" t="s">
        <v>246</v>
      </c>
      <c r="E119">
        <v>1.43</v>
      </c>
      <c r="G119" s="55" t="s">
        <v>243</v>
      </c>
      <c r="I119" s="42"/>
      <c r="J119" s="36"/>
    </row>
    <row r="120" spans="1:14" x14ac:dyDescent="0.25">
      <c r="A120" s="7"/>
      <c r="B120" t="s">
        <v>74</v>
      </c>
      <c r="C120">
        <v>2013</v>
      </c>
      <c r="D120" t="s">
        <v>246</v>
      </c>
      <c r="E120">
        <f>SUM(E117:E119)</f>
        <v>4.16</v>
      </c>
      <c r="G120" s="55" t="s">
        <v>244</v>
      </c>
      <c r="I120" s="42"/>
      <c r="J120" s="36"/>
      <c r="K120" t="s">
        <v>405</v>
      </c>
      <c r="M120" t="s">
        <v>406</v>
      </c>
      <c r="N120">
        <f>N118/(SUM(N118,N127,N135))</f>
        <v>0.52216042610516455</v>
      </c>
    </row>
    <row r="121" spans="1:14" x14ac:dyDescent="0.25">
      <c r="A121" s="7"/>
      <c r="B121" t="s">
        <v>74</v>
      </c>
      <c r="C121">
        <v>2013</v>
      </c>
      <c r="D121" t="s">
        <v>247</v>
      </c>
      <c r="E121">
        <f>E120*1800</f>
        <v>7488</v>
      </c>
      <c r="G121" s="55" t="s">
        <v>245</v>
      </c>
      <c r="I121" s="42"/>
      <c r="J121" s="36"/>
    </row>
    <row r="122" spans="1:14" x14ac:dyDescent="0.25">
      <c r="A122" s="7"/>
      <c r="I122" s="42"/>
      <c r="J122" s="36"/>
      <c r="K122" t="s">
        <v>407</v>
      </c>
      <c r="M122" t="s">
        <v>398</v>
      </c>
      <c r="N122">
        <f>N114*N120</f>
        <v>232019587.57915318</v>
      </c>
    </row>
    <row r="123" spans="1:14" x14ac:dyDescent="0.25">
      <c r="A123" s="7" t="s">
        <v>136</v>
      </c>
      <c r="B123" t="s">
        <v>133</v>
      </c>
      <c r="C123" t="s">
        <v>134</v>
      </c>
      <c r="D123" t="s">
        <v>135</v>
      </c>
      <c r="E123">
        <v>5.7</v>
      </c>
      <c r="G123" s="55" t="s">
        <v>140</v>
      </c>
      <c r="I123" s="42"/>
      <c r="J123" s="36"/>
      <c r="M123" t="s">
        <v>410</v>
      </c>
      <c r="N123">
        <f>N122/1000000</f>
        <v>232.01958757915318</v>
      </c>
    </row>
    <row r="124" spans="1:14" x14ac:dyDescent="0.25">
      <c r="A124" s="7" t="s">
        <v>136</v>
      </c>
      <c r="B124" t="s">
        <v>137</v>
      </c>
      <c r="C124" t="s">
        <v>134</v>
      </c>
      <c r="D124" t="s">
        <v>135</v>
      </c>
      <c r="E124">
        <v>7.8</v>
      </c>
      <c r="G124" s="55" t="s">
        <v>140</v>
      </c>
      <c r="I124" s="42"/>
      <c r="J124" s="36"/>
    </row>
    <row r="125" spans="1:14" x14ac:dyDescent="0.25">
      <c r="A125" s="7" t="s">
        <v>139</v>
      </c>
      <c r="B125" t="s">
        <v>133</v>
      </c>
      <c r="C125" t="s">
        <v>134</v>
      </c>
      <c r="D125" t="s">
        <v>135</v>
      </c>
      <c r="E125">
        <v>3.7</v>
      </c>
      <c r="G125" s="55" t="s">
        <v>140</v>
      </c>
      <c r="I125" s="42"/>
      <c r="J125" s="54" t="s">
        <v>3</v>
      </c>
    </row>
    <row r="126" spans="1:14" x14ac:dyDescent="0.25">
      <c r="A126" s="7" t="s">
        <v>139</v>
      </c>
      <c r="B126" t="s">
        <v>137</v>
      </c>
      <c r="C126" t="s">
        <v>134</v>
      </c>
      <c r="D126" t="s">
        <v>135</v>
      </c>
      <c r="E126">
        <v>8.4</v>
      </c>
      <c r="G126" s="55" t="s">
        <v>140</v>
      </c>
      <c r="I126" s="42"/>
      <c r="J126" s="36"/>
    </row>
    <row r="127" spans="1:14" x14ac:dyDescent="0.25">
      <c r="A127" s="7" t="s">
        <v>141</v>
      </c>
      <c r="B127" t="s">
        <v>133</v>
      </c>
      <c r="C127" t="s">
        <v>134</v>
      </c>
      <c r="D127" t="s">
        <v>135</v>
      </c>
      <c r="E127">
        <v>5.4</v>
      </c>
      <c r="G127" s="55" t="s">
        <v>140</v>
      </c>
      <c r="I127" s="42"/>
      <c r="J127" s="36" t="s">
        <v>321</v>
      </c>
      <c r="K127" t="s">
        <v>402</v>
      </c>
      <c r="M127" t="s">
        <v>273</v>
      </c>
      <c r="N127">
        <f>'Data herd'!L25</f>
        <v>521309576.0000003</v>
      </c>
    </row>
    <row r="128" spans="1:14" x14ac:dyDescent="0.25">
      <c r="A128" s="7" t="s">
        <v>142</v>
      </c>
      <c r="B128" t="s">
        <v>137</v>
      </c>
      <c r="C128" t="s">
        <v>134</v>
      </c>
      <c r="D128" t="s">
        <v>135</v>
      </c>
      <c r="E128">
        <v>6.7</v>
      </c>
      <c r="G128" s="55" t="s">
        <v>140</v>
      </c>
      <c r="I128" s="39"/>
      <c r="J128" s="36"/>
    </row>
    <row r="129" spans="1:14" x14ac:dyDescent="0.25">
      <c r="A129" s="7" t="s">
        <v>143</v>
      </c>
      <c r="B129" t="s">
        <v>133</v>
      </c>
      <c r="C129" t="s">
        <v>134</v>
      </c>
      <c r="D129" t="s">
        <v>135</v>
      </c>
      <c r="E129">
        <v>4.2</v>
      </c>
      <c r="G129" s="55" t="s">
        <v>140</v>
      </c>
      <c r="I129" s="39"/>
      <c r="J129" s="36"/>
      <c r="K129" t="s">
        <v>405</v>
      </c>
      <c r="M129" t="s">
        <v>406</v>
      </c>
      <c r="N129">
        <f>N127/(SUM(N118,N127,N135))</f>
        <v>0.2164794026866288</v>
      </c>
    </row>
    <row r="130" spans="1:14" x14ac:dyDescent="0.25">
      <c r="A130" s="7" t="s">
        <v>143</v>
      </c>
      <c r="B130" t="s">
        <v>137</v>
      </c>
      <c r="C130" t="s">
        <v>134</v>
      </c>
      <c r="D130" t="s">
        <v>135</v>
      </c>
      <c r="E130">
        <v>8.6999999999999993</v>
      </c>
      <c r="G130" s="55" t="s">
        <v>140</v>
      </c>
      <c r="I130" s="39"/>
      <c r="J130" s="36"/>
    </row>
    <row r="131" spans="1:14" x14ac:dyDescent="0.25">
      <c r="A131" s="7" t="s">
        <v>144</v>
      </c>
      <c r="B131" t="s">
        <v>133</v>
      </c>
      <c r="C131" t="s">
        <v>134</v>
      </c>
      <c r="D131" t="s">
        <v>135</v>
      </c>
      <c r="E131">
        <v>12.6</v>
      </c>
      <c r="G131" s="55" t="s">
        <v>140</v>
      </c>
      <c r="I131" s="39"/>
      <c r="J131" s="36"/>
      <c r="K131" t="s">
        <v>408</v>
      </c>
      <c r="M131" t="s">
        <v>398</v>
      </c>
      <c r="N131">
        <f>N114*N129</f>
        <v>96191628.510386363</v>
      </c>
    </row>
    <row r="132" spans="1:14" x14ac:dyDescent="0.25">
      <c r="A132" s="7" t="s">
        <v>144</v>
      </c>
      <c r="B132" t="s">
        <v>137</v>
      </c>
      <c r="C132" t="s">
        <v>134</v>
      </c>
      <c r="D132" t="s">
        <v>135</v>
      </c>
      <c r="E132">
        <v>9.1</v>
      </c>
      <c r="G132" s="55" t="s">
        <v>140</v>
      </c>
      <c r="I132" s="39"/>
      <c r="J132" s="36"/>
      <c r="M132" t="s">
        <v>410</v>
      </c>
      <c r="N132">
        <f>N131/1000000</f>
        <v>96.191628510386366</v>
      </c>
    </row>
    <row r="133" spans="1:14" x14ac:dyDescent="0.25">
      <c r="A133" s="7" t="s">
        <v>145</v>
      </c>
      <c r="B133" t="s">
        <v>133</v>
      </c>
      <c r="C133" t="s">
        <v>134</v>
      </c>
      <c r="D133" t="s">
        <v>135</v>
      </c>
      <c r="E133">
        <v>8.6</v>
      </c>
      <c r="G133" s="55" t="s">
        <v>140</v>
      </c>
      <c r="I133" s="39"/>
      <c r="J133" s="54" t="s">
        <v>4</v>
      </c>
    </row>
    <row r="134" spans="1:14" x14ac:dyDescent="0.25">
      <c r="A134" s="7" t="s">
        <v>145</v>
      </c>
      <c r="B134" t="s">
        <v>137</v>
      </c>
      <c r="C134" t="s">
        <v>134</v>
      </c>
      <c r="D134" t="s">
        <v>135</v>
      </c>
      <c r="E134">
        <v>8.4</v>
      </c>
      <c r="G134" s="55" t="s">
        <v>140</v>
      </c>
      <c r="I134" s="39"/>
      <c r="J134" s="36"/>
    </row>
    <row r="135" spans="1:14" x14ac:dyDescent="0.25">
      <c r="A135" s="7" t="s">
        <v>146</v>
      </c>
      <c r="B135" t="s">
        <v>133</v>
      </c>
      <c r="C135" t="s">
        <v>134</v>
      </c>
      <c r="D135" t="s">
        <v>135</v>
      </c>
      <c r="E135">
        <v>2.1</v>
      </c>
      <c r="G135" s="55" t="s">
        <v>140</v>
      </c>
      <c r="I135" s="39"/>
      <c r="J135" s="36" t="s">
        <v>321</v>
      </c>
      <c r="K135" t="s">
        <v>403</v>
      </c>
      <c r="M135" t="s">
        <v>273</v>
      </c>
      <c r="N135">
        <f>'Data herd'!L38</f>
        <v>629388100.41466069</v>
      </c>
    </row>
    <row r="136" spans="1:14" x14ac:dyDescent="0.25">
      <c r="A136" s="7" t="s">
        <v>146</v>
      </c>
      <c r="B136" t="s">
        <v>137</v>
      </c>
      <c r="C136" t="s">
        <v>134</v>
      </c>
      <c r="D136" t="s">
        <v>135</v>
      </c>
      <c r="E136">
        <v>4.0999999999999996</v>
      </c>
      <c r="G136" s="55" t="s">
        <v>140</v>
      </c>
      <c r="I136" s="39"/>
      <c r="J136" s="36"/>
    </row>
    <row r="137" spans="1:14" x14ac:dyDescent="0.25">
      <c r="A137" s="7" t="s">
        <v>150</v>
      </c>
      <c r="B137" t="s">
        <v>133</v>
      </c>
      <c r="C137" t="s">
        <v>138</v>
      </c>
      <c r="D137" t="s">
        <v>135</v>
      </c>
      <c r="E137">
        <v>5.6</v>
      </c>
      <c r="G137" s="55" t="s">
        <v>140</v>
      </c>
      <c r="I137" s="39"/>
      <c r="J137" s="36"/>
      <c r="K137" t="s">
        <v>405</v>
      </c>
      <c r="M137" t="s">
        <v>406</v>
      </c>
      <c r="N137">
        <f>N135/(SUM(N118,N127,N135))</f>
        <v>0.26136017120820665</v>
      </c>
    </row>
    <row r="138" spans="1:14" x14ac:dyDescent="0.25">
      <c r="A138" s="7" t="s">
        <v>150</v>
      </c>
      <c r="B138" t="s">
        <v>137</v>
      </c>
      <c r="C138" t="s">
        <v>152</v>
      </c>
      <c r="D138" t="s">
        <v>135</v>
      </c>
      <c r="E138">
        <v>3.5</v>
      </c>
      <c r="G138" s="55" t="s">
        <v>140</v>
      </c>
      <c r="I138" s="39"/>
      <c r="J138" s="36"/>
    </row>
    <row r="139" spans="1:14" x14ac:dyDescent="0.25">
      <c r="A139" s="7" t="s">
        <v>149</v>
      </c>
      <c r="B139" t="s">
        <v>133</v>
      </c>
      <c r="C139" t="s">
        <v>153</v>
      </c>
      <c r="D139" t="s">
        <v>135</v>
      </c>
      <c r="E139">
        <v>3.3</v>
      </c>
      <c r="G139" s="55" t="s">
        <v>140</v>
      </c>
      <c r="I139" s="39"/>
      <c r="J139" s="36"/>
      <c r="K139" t="s">
        <v>409</v>
      </c>
      <c r="M139" t="s">
        <v>398</v>
      </c>
      <c r="N139">
        <f>N114*N137</f>
        <v>116134191.91046044</v>
      </c>
    </row>
    <row r="140" spans="1:14" x14ac:dyDescent="0.25">
      <c r="A140" s="7" t="s">
        <v>149</v>
      </c>
      <c r="B140" t="s">
        <v>137</v>
      </c>
      <c r="C140" t="s">
        <v>154</v>
      </c>
      <c r="D140" t="s">
        <v>135</v>
      </c>
      <c r="E140">
        <v>6.2</v>
      </c>
      <c r="G140" s="55" t="s">
        <v>140</v>
      </c>
      <c r="I140" s="39"/>
      <c r="J140" s="36"/>
      <c r="M140" t="s">
        <v>410</v>
      </c>
      <c r="N140">
        <f>N139/1000000</f>
        <v>116.13419191046044</v>
      </c>
    </row>
    <row r="141" spans="1:14" x14ac:dyDescent="0.25">
      <c r="A141" s="7" t="s">
        <v>151</v>
      </c>
      <c r="B141" t="s">
        <v>133</v>
      </c>
      <c r="C141" t="s">
        <v>155</v>
      </c>
      <c r="D141" t="s">
        <v>135</v>
      </c>
      <c r="E141">
        <v>8.9</v>
      </c>
      <c r="G141" s="55" t="s">
        <v>140</v>
      </c>
      <c r="I141" s="39"/>
      <c r="J141" s="36"/>
    </row>
    <row r="142" spans="1:14" x14ac:dyDescent="0.25">
      <c r="A142" s="7" t="s">
        <v>151</v>
      </c>
      <c r="B142" t="s">
        <v>137</v>
      </c>
      <c r="C142" t="s">
        <v>156</v>
      </c>
      <c r="D142" t="s">
        <v>135</v>
      </c>
      <c r="E142">
        <v>5.2</v>
      </c>
      <c r="G142" s="55" t="s">
        <v>140</v>
      </c>
      <c r="I142" s="39"/>
      <c r="J142" s="36"/>
    </row>
    <row r="143" spans="1:14" x14ac:dyDescent="0.25">
      <c r="A143" s="1" t="s">
        <v>45</v>
      </c>
      <c r="I143" s="39"/>
      <c r="J143" s="53" t="s">
        <v>224</v>
      </c>
    </row>
    <row r="144" spans="1:14" x14ac:dyDescent="0.25">
      <c r="A144" s="7"/>
      <c r="B144" t="s">
        <v>48</v>
      </c>
      <c r="C144" t="s">
        <v>29</v>
      </c>
      <c r="D144" t="s">
        <v>49</v>
      </c>
      <c r="E144">
        <v>20</v>
      </c>
      <c r="G144" s="55" t="s">
        <v>85</v>
      </c>
      <c r="I144" s="39"/>
      <c r="J144" s="54" t="s">
        <v>2</v>
      </c>
    </row>
    <row r="145" spans="1:14" x14ac:dyDescent="0.25">
      <c r="A145" s="7"/>
      <c r="B145" t="s">
        <v>48</v>
      </c>
      <c r="C145" t="s">
        <v>29</v>
      </c>
      <c r="D145" t="s">
        <v>50</v>
      </c>
      <c r="E145">
        <v>7300</v>
      </c>
      <c r="G145" s="55" t="s">
        <v>85</v>
      </c>
      <c r="I145" s="39"/>
      <c r="K145" s="36" t="s">
        <v>392</v>
      </c>
      <c r="M145" t="s">
        <v>393</v>
      </c>
      <c r="N145">
        <f>E145*('Data herd'!E5+'Data herd'!E6)</f>
        <v>14286155829.519867</v>
      </c>
    </row>
    <row r="146" spans="1:14" x14ac:dyDescent="0.25">
      <c r="A146" s="7"/>
      <c r="B146" t="s">
        <v>51</v>
      </c>
      <c r="D146" t="s">
        <v>49</v>
      </c>
      <c r="E146">
        <v>20</v>
      </c>
      <c r="G146" s="55" t="s">
        <v>85</v>
      </c>
      <c r="H146" s="55" t="s">
        <v>101</v>
      </c>
      <c r="I146" s="39"/>
      <c r="J146" s="36"/>
      <c r="K146" s="33" t="s">
        <v>365</v>
      </c>
      <c r="M146" t="s">
        <v>393</v>
      </c>
      <c r="N146">
        <f>E147*'Data herd'!E7</f>
        <v>2829815800</v>
      </c>
    </row>
    <row r="147" spans="1:14" x14ac:dyDescent="0.25">
      <c r="A147" s="7"/>
      <c r="B147" t="s">
        <v>51</v>
      </c>
      <c r="D147" t="s">
        <v>50</v>
      </c>
      <c r="E147">
        <v>7300</v>
      </c>
      <c r="G147" s="55" t="s">
        <v>85</v>
      </c>
      <c r="I147" s="39"/>
      <c r="J147" s="33"/>
      <c r="K147" t="s">
        <v>385</v>
      </c>
      <c r="M147" t="s">
        <v>393</v>
      </c>
      <c r="N147">
        <f>SUM(N145:N146)</f>
        <v>17115971629.519867</v>
      </c>
    </row>
    <row r="148" spans="1:14" x14ac:dyDescent="0.25">
      <c r="A148" s="7"/>
      <c r="B148" t="s">
        <v>52</v>
      </c>
      <c r="D148" t="s">
        <v>49</v>
      </c>
      <c r="E148">
        <v>5</v>
      </c>
      <c r="G148" s="55" t="s">
        <v>85</v>
      </c>
      <c r="I148" s="39"/>
      <c r="J148" s="36"/>
      <c r="M148" t="s">
        <v>396</v>
      </c>
      <c r="N148">
        <f>N147/1000000000</f>
        <v>17.115971629519866</v>
      </c>
    </row>
    <row r="149" spans="1:14" x14ac:dyDescent="0.25">
      <c r="A149" s="7"/>
      <c r="B149" t="s">
        <v>52</v>
      </c>
      <c r="D149" t="s">
        <v>50</v>
      </c>
      <c r="E149">
        <v>1825</v>
      </c>
      <c r="G149" s="55" t="s">
        <v>85</v>
      </c>
      <c r="I149" s="39"/>
      <c r="J149" s="54" t="s">
        <v>3</v>
      </c>
    </row>
    <row r="150" spans="1:14" x14ac:dyDescent="0.25">
      <c r="I150" s="39"/>
      <c r="J150" s="36"/>
      <c r="K150" t="s">
        <v>3</v>
      </c>
      <c r="M150" t="s">
        <v>393</v>
      </c>
      <c r="N150">
        <f>E149*'Data herd'!E22</f>
        <v>5315027800.0000038</v>
      </c>
    </row>
    <row r="151" spans="1:14" x14ac:dyDescent="0.25">
      <c r="I151" s="39"/>
      <c r="J151" s="36"/>
      <c r="M151" t="s">
        <v>396</v>
      </c>
      <c r="N151">
        <f>N150/1000000000</f>
        <v>5.3150278000000037</v>
      </c>
    </row>
    <row r="152" spans="1:14" x14ac:dyDescent="0.25">
      <c r="I152" s="39"/>
      <c r="J152" s="54" t="s">
        <v>4</v>
      </c>
    </row>
    <row r="153" spans="1:14" x14ac:dyDescent="0.25">
      <c r="I153" s="39"/>
      <c r="J153" s="36"/>
      <c r="K153" t="s">
        <v>394</v>
      </c>
      <c r="M153" t="s">
        <v>393</v>
      </c>
      <c r="N153">
        <f>E145*'Data herd'!E35</f>
        <v>6089541229.5248499</v>
      </c>
    </row>
    <row r="154" spans="1:14" x14ac:dyDescent="0.25">
      <c r="I154" s="39"/>
      <c r="J154" s="36"/>
      <c r="K154" t="s">
        <v>395</v>
      </c>
      <c r="M154" t="s">
        <v>393</v>
      </c>
      <c r="N154">
        <f>E147*'Data herd'!E36</f>
        <v>7305599100</v>
      </c>
    </row>
    <row r="155" spans="1:14" x14ac:dyDescent="0.25">
      <c r="I155" s="39"/>
      <c r="J155" s="36"/>
      <c r="K155" t="s">
        <v>388</v>
      </c>
      <c r="M155" t="s">
        <v>393</v>
      </c>
      <c r="N155">
        <f>SUM(N153:N154)</f>
        <v>13395140329.524849</v>
      </c>
    </row>
    <row r="156" spans="1:14" x14ac:dyDescent="0.25">
      <c r="I156" s="39"/>
      <c r="J156" s="36"/>
      <c r="M156" t="s">
        <v>396</v>
      </c>
      <c r="N156">
        <f>N155/1000000000</f>
        <v>13.39514032952485</v>
      </c>
    </row>
    <row r="157" spans="1:14" x14ac:dyDescent="0.25">
      <c r="I157" s="39"/>
      <c r="J157" s="36"/>
    </row>
    <row r="158" spans="1:14" x14ac:dyDescent="0.25">
      <c r="I158" s="39"/>
      <c r="J158" s="36"/>
    </row>
    <row r="159" spans="1:14" x14ac:dyDescent="0.25">
      <c r="I159" s="39"/>
      <c r="J159" s="36"/>
    </row>
    <row r="160" spans="1:14" x14ac:dyDescent="0.25">
      <c r="I160" s="39"/>
      <c r="J160" s="36"/>
    </row>
    <row r="161" spans="1:14" x14ac:dyDescent="0.25">
      <c r="A161" s="1" t="s">
        <v>46</v>
      </c>
      <c r="I161" s="39"/>
      <c r="J161" s="53" t="s">
        <v>224</v>
      </c>
    </row>
    <row r="162" spans="1:14" x14ac:dyDescent="0.25">
      <c r="I162" s="39"/>
    </row>
    <row r="163" spans="1:14" x14ac:dyDescent="0.25">
      <c r="B163" t="s">
        <v>96</v>
      </c>
      <c r="C163">
        <v>2015</v>
      </c>
      <c r="D163" t="s">
        <v>97</v>
      </c>
      <c r="E163">
        <v>9880000</v>
      </c>
      <c r="G163" s="55" t="s">
        <v>105</v>
      </c>
      <c r="I163" s="39"/>
      <c r="K163" t="s">
        <v>399</v>
      </c>
      <c r="M163" t="s">
        <v>400</v>
      </c>
      <c r="N163" s="3">
        <f>'Data herd'!E3*E176</f>
        <v>17220758.200000003</v>
      </c>
    </row>
    <row r="164" spans="1:14" x14ac:dyDescent="0.25">
      <c r="I164" s="39"/>
    </row>
    <row r="165" spans="1:14" x14ac:dyDescent="0.25">
      <c r="A165" t="s">
        <v>198</v>
      </c>
      <c r="B165" t="s">
        <v>204</v>
      </c>
      <c r="C165" t="s">
        <v>29</v>
      </c>
      <c r="D165" t="s">
        <v>208</v>
      </c>
      <c r="E165">
        <v>0.04</v>
      </c>
      <c r="G165" s="55" t="s">
        <v>199</v>
      </c>
      <c r="I165" s="39"/>
      <c r="J165" s="54" t="s">
        <v>2</v>
      </c>
    </row>
    <row r="166" spans="1:14" x14ac:dyDescent="0.25">
      <c r="B166" t="s">
        <v>205</v>
      </c>
      <c r="C166" t="s">
        <v>29</v>
      </c>
      <c r="D166" t="s">
        <v>208</v>
      </c>
      <c r="E166">
        <v>0.79</v>
      </c>
      <c r="G166" s="55" t="s">
        <v>209</v>
      </c>
      <c r="I166" s="39"/>
      <c r="J166" s="36"/>
    </row>
    <row r="167" spans="1:14" x14ac:dyDescent="0.25">
      <c r="B167" t="s">
        <v>206</v>
      </c>
      <c r="C167" t="s">
        <v>29</v>
      </c>
      <c r="D167" t="s">
        <v>208</v>
      </c>
      <c r="E167">
        <v>0.83</v>
      </c>
      <c r="G167" s="55" t="s">
        <v>210</v>
      </c>
      <c r="I167" s="39"/>
      <c r="J167" s="36" t="s">
        <v>321</v>
      </c>
      <c r="K167" t="s">
        <v>401</v>
      </c>
      <c r="M167" t="s">
        <v>273</v>
      </c>
      <c r="N167">
        <f>'Data herd'!L14</f>
        <v>1257427852.0663905</v>
      </c>
    </row>
    <row r="168" spans="1:14" x14ac:dyDescent="0.25">
      <c r="B168" t="s">
        <v>207</v>
      </c>
      <c r="C168" t="s">
        <v>29</v>
      </c>
      <c r="D168" t="s">
        <v>208</v>
      </c>
      <c r="E168">
        <v>0.67</v>
      </c>
      <c r="G168" s="55" t="s">
        <v>211</v>
      </c>
      <c r="I168" s="39"/>
      <c r="J168" s="36"/>
    </row>
    <row r="169" spans="1:14" x14ac:dyDescent="0.25">
      <c r="B169" t="s">
        <v>74</v>
      </c>
      <c r="D169" t="s">
        <v>208</v>
      </c>
      <c r="E169">
        <f>SUM(E165:E168)</f>
        <v>2.33</v>
      </c>
      <c r="I169" s="39"/>
      <c r="J169" s="36"/>
      <c r="K169" t="s">
        <v>405</v>
      </c>
      <c r="M169" t="s">
        <v>406</v>
      </c>
      <c r="N169">
        <f>N167/(SUM(N173,N180,N167))</f>
        <v>0.52216042610516455</v>
      </c>
    </row>
    <row r="170" spans="1:14" x14ac:dyDescent="0.25">
      <c r="I170" s="39"/>
      <c r="J170" s="36"/>
      <c r="K170" t="s">
        <v>411</v>
      </c>
      <c r="M170" t="s">
        <v>400</v>
      </c>
      <c r="N170">
        <f>N163*N169</f>
        <v>8991998.4395660087</v>
      </c>
    </row>
    <row r="171" spans="1:14" x14ac:dyDescent="0.25">
      <c r="I171" s="39"/>
      <c r="J171" s="36"/>
      <c r="K171" t="s">
        <v>411</v>
      </c>
      <c r="M171" t="s">
        <v>414</v>
      </c>
      <c r="N171" s="61">
        <f>N170*0.01</f>
        <v>89919.984395660096</v>
      </c>
    </row>
    <row r="172" spans="1:14" x14ac:dyDescent="0.25">
      <c r="I172" s="39"/>
      <c r="J172" s="54" t="s">
        <v>3</v>
      </c>
    </row>
    <row r="173" spans="1:14" x14ac:dyDescent="0.25">
      <c r="A173" t="s">
        <v>252</v>
      </c>
      <c r="B173" t="s">
        <v>240</v>
      </c>
      <c r="C173">
        <v>2013</v>
      </c>
      <c r="D173" t="s">
        <v>253</v>
      </c>
      <c r="E173">
        <v>103.1</v>
      </c>
      <c r="G173" s="55" t="s">
        <v>254</v>
      </c>
      <c r="I173" s="39"/>
      <c r="J173" s="36" t="s">
        <v>321</v>
      </c>
      <c r="K173" t="s">
        <v>402</v>
      </c>
      <c r="M173" t="s">
        <v>273</v>
      </c>
      <c r="N173">
        <f>'Data herd'!L25</f>
        <v>521309576.0000003</v>
      </c>
    </row>
    <row r="174" spans="1:14" x14ac:dyDescent="0.25">
      <c r="B174" t="s">
        <v>255</v>
      </c>
      <c r="C174">
        <v>2013</v>
      </c>
      <c r="D174" t="s">
        <v>253</v>
      </c>
      <c r="E174">
        <v>100.2</v>
      </c>
      <c r="G174" s="55" t="s">
        <v>254</v>
      </c>
      <c r="I174" s="39"/>
      <c r="J174" s="36"/>
    </row>
    <row r="175" spans="1:14" x14ac:dyDescent="0.25">
      <c r="B175" t="s">
        <v>242</v>
      </c>
      <c r="C175">
        <v>2013</v>
      </c>
      <c r="D175" t="s">
        <v>253</v>
      </c>
      <c r="E175">
        <v>86.9</v>
      </c>
      <c r="G175" s="55" t="s">
        <v>254</v>
      </c>
      <c r="I175" s="39"/>
      <c r="J175" s="36"/>
      <c r="K175" t="s">
        <v>405</v>
      </c>
      <c r="M175" t="s">
        <v>406</v>
      </c>
      <c r="N175">
        <f>N173/(SUM(N173,N167,N180))</f>
        <v>0.2164794026866288</v>
      </c>
    </row>
    <row r="176" spans="1:14" x14ac:dyDescent="0.25">
      <c r="B176" t="s">
        <v>74</v>
      </c>
      <c r="C176">
        <v>2013</v>
      </c>
      <c r="D176" t="s">
        <v>253</v>
      </c>
      <c r="E176">
        <f>SUM(E173:E175)</f>
        <v>290.20000000000005</v>
      </c>
      <c r="I176" s="39"/>
      <c r="J176" s="36"/>
      <c r="K176" t="s">
        <v>412</v>
      </c>
      <c r="M176" t="s">
        <v>400</v>
      </c>
      <c r="N176">
        <f>N163*N175</f>
        <v>3727939.4489468657</v>
      </c>
    </row>
    <row r="177" spans="1:14" x14ac:dyDescent="0.25">
      <c r="I177" s="39"/>
      <c r="J177" s="36"/>
      <c r="K177" t="s">
        <v>412</v>
      </c>
      <c r="M177" t="s">
        <v>414</v>
      </c>
      <c r="N177">
        <f>N176*0.01</f>
        <v>37279.394489468657</v>
      </c>
    </row>
    <row r="178" spans="1:14" x14ac:dyDescent="0.25">
      <c r="A178" t="s">
        <v>256</v>
      </c>
      <c r="B178" t="s">
        <v>240</v>
      </c>
      <c r="C178">
        <v>2013</v>
      </c>
      <c r="D178" t="s">
        <v>253</v>
      </c>
      <c r="E178">
        <v>95.9</v>
      </c>
      <c r="G178" s="55" t="s">
        <v>254</v>
      </c>
      <c r="I178" s="39"/>
      <c r="J178" s="36"/>
    </row>
    <row r="179" spans="1:14" x14ac:dyDescent="0.25">
      <c r="B179" t="s">
        <v>241</v>
      </c>
      <c r="C179">
        <v>2013</v>
      </c>
      <c r="D179" t="s">
        <v>253</v>
      </c>
      <c r="E179">
        <v>91.7</v>
      </c>
      <c r="G179" s="55" t="s">
        <v>254</v>
      </c>
      <c r="I179" s="39"/>
      <c r="J179" s="54" t="s">
        <v>4</v>
      </c>
    </row>
    <row r="180" spans="1:14" x14ac:dyDescent="0.25">
      <c r="B180" t="s">
        <v>242</v>
      </c>
      <c r="C180">
        <v>2013</v>
      </c>
      <c r="D180" t="s">
        <v>253</v>
      </c>
      <c r="E180">
        <v>69.099999999999994</v>
      </c>
      <c r="G180" s="55" t="s">
        <v>254</v>
      </c>
      <c r="I180" s="39"/>
      <c r="J180" s="36" t="s">
        <v>321</v>
      </c>
      <c r="K180" t="s">
        <v>403</v>
      </c>
      <c r="M180" t="s">
        <v>273</v>
      </c>
      <c r="N180">
        <f>'Data herd'!L38</f>
        <v>629388100.41466069</v>
      </c>
    </row>
    <row r="181" spans="1:14" x14ac:dyDescent="0.25">
      <c r="I181" s="39"/>
      <c r="J181" s="36"/>
    </row>
    <row r="182" spans="1:14" x14ac:dyDescent="0.25">
      <c r="I182" s="39"/>
      <c r="J182" s="36"/>
      <c r="K182" t="s">
        <v>405</v>
      </c>
      <c r="M182" t="s">
        <v>406</v>
      </c>
      <c r="N182">
        <f>N180/(SUM(N167,N173,N180))</f>
        <v>0.26136017120820665</v>
      </c>
    </row>
    <row r="183" spans="1:14" x14ac:dyDescent="0.25">
      <c r="K183" t="s">
        <v>413</v>
      </c>
      <c r="M183" t="s">
        <v>400</v>
      </c>
      <c r="N183">
        <f>N163*N182</f>
        <v>4500820.311487129</v>
      </c>
    </row>
    <row r="184" spans="1:14" x14ac:dyDescent="0.25">
      <c r="K184" t="s">
        <v>413</v>
      </c>
      <c r="M184" t="s">
        <v>414</v>
      </c>
      <c r="N184">
        <f>N183*0.01</f>
        <v>45008.203114871292</v>
      </c>
    </row>
    <row r="187" spans="1:14" x14ac:dyDescent="0.25">
      <c r="M187" s="6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51"/>
  <sheetViews>
    <sheetView workbookViewId="0">
      <selection activeCell="K1" sqref="K1:Q1"/>
    </sheetView>
  </sheetViews>
  <sheetFormatPr defaultRowHeight="15" x14ac:dyDescent="0.25"/>
  <cols>
    <col min="1" max="1" width="19.7109375" customWidth="1"/>
    <col min="2" max="2" width="15.140625" customWidth="1"/>
    <col min="4" max="4" width="11.5703125" customWidth="1"/>
    <col min="6" max="6" width="12.42578125" customWidth="1"/>
    <col min="7" max="7" width="31.140625" customWidth="1"/>
    <col min="11" max="11" width="21.140625" customWidth="1"/>
    <col min="12" max="12" width="16" customWidth="1"/>
    <col min="13" max="13" width="10.42578125" customWidth="1"/>
    <col min="14" max="14" width="19.85546875" customWidth="1"/>
    <col min="15" max="15" width="10" bestFit="1" customWidth="1"/>
  </cols>
  <sheetData>
    <row r="1" spans="1:17" x14ac:dyDescent="0.25">
      <c r="A1" s="1" t="s">
        <v>73</v>
      </c>
      <c r="C1" t="s">
        <v>7</v>
      </c>
      <c r="D1" t="s">
        <v>8</v>
      </c>
      <c r="E1" t="s">
        <v>9</v>
      </c>
      <c r="F1" t="s">
        <v>10</v>
      </c>
      <c r="G1" t="s">
        <v>11</v>
      </c>
      <c r="H1" t="s">
        <v>15</v>
      </c>
      <c r="J1" s="39"/>
      <c r="K1" s="53" t="s">
        <v>224</v>
      </c>
      <c r="L1" s="7" t="s">
        <v>123</v>
      </c>
      <c r="M1" s="7" t="s">
        <v>7</v>
      </c>
      <c r="N1" s="7" t="s">
        <v>8</v>
      </c>
      <c r="O1" s="7" t="s">
        <v>9</v>
      </c>
      <c r="P1" s="34" t="s">
        <v>324</v>
      </c>
      <c r="Q1" s="7" t="s">
        <v>128</v>
      </c>
    </row>
    <row r="2" spans="1:17" x14ac:dyDescent="0.25">
      <c r="A2" t="s">
        <v>86</v>
      </c>
      <c r="B2" t="s">
        <v>88</v>
      </c>
      <c r="C2">
        <v>2015</v>
      </c>
      <c r="D2" t="s">
        <v>87</v>
      </c>
      <c r="E2" s="3">
        <v>1923000</v>
      </c>
      <c r="G2" t="s">
        <v>81</v>
      </c>
      <c r="J2" s="39"/>
      <c r="K2" s="36"/>
    </row>
    <row r="3" spans="1:17" x14ac:dyDescent="0.25">
      <c r="B3" t="s">
        <v>89</v>
      </c>
      <c r="C3">
        <v>2015</v>
      </c>
      <c r="D3" t="s">
        <v>87</v>
      </c>
      <c r="E3">
        <v>618000</v>
      </c>
      <c r="G3" t="s">
        <v>81</v>
      </c>
      <c r="J3" s="39"/>
      <c r="K3" s="36"/>
    </row>
    <row r="4" spans="1:17" x14ac:dyDescent="0.25">
      <c r="B4" t="s">
        <v>3</v>
      </c>
      <c r="C4">
        <v>2015</v>
      </c>
      <c r="D4" t="s">
        <v>87</v>
      </c>
      <c r="E4">
        <v>99000</v>
      </c>
      <c r="G4" t="s">
        <v>81</v>
      </c>
      <c r="J4" s="39"/>
      <c r="K4" s="36"/>
    </row>
    <row r="5" spans="1:17" x14ac:dyDescent="0.25">
      <c r="B5" t="s">
        <v>88</v>
      </c>
      <c r="C5">
        <v>2015</v>
      </c>
      <c r="D5" t="s">
        <v>91</v>
      </c>
      <c r="E5">
        <v>684000</v>
      </c>
      <c r="G5" t="s">
        <v>81</v>
      </c>
      <c r="H5" t="s">
        <v>174</v>
      </c>
      <c r="J5" s="39"/>
      <c r="K5" s="36"/>
    </row>
    <row r="6" spans="1:17" x14ac:dyDescent="0.25">
      <c r="B6" t="s">
        <v>89</v>
      </c>
      <c r="C6">
        <v>2015</v>
      </c>
      <c r="D6" t="s">
        <v>91</v>
      </c>
      <c r="E6">
        <v>194000</v>
      </c>
      <c r="G6" t="s">
        <v>81</v>
      </c>
      <c r="H6" t="s">
        <v>174</v>
      </c>
      <c r="J6" s="39"/>
      <c r="K6" s="36"/>
    </row>
    <row r="7" spans="1:17" x14ac:dyDescent="0.25">
      <c r="B7" t="s">
        <v>3</v>
      </c>
      <c r="C7">
        <v>2015</v>
      </c>
      <c r="D7" t="s">
        <v>91</v>
      </c>
      <c r="E7">
        <v>5000</v>
      </c>
      <c r="G7" t="s">
        <v>81</v>
      </c>
      <c r="H7" t="s">
        <v>174</v>
      </c>
      <c r="J7" s="39"/>
      <c r="K7" s="36"/>
    </row>
    <row r="8" spans="1:17" x14ac:dyDescent="0.25">
      <c r="J8" s="39"/>
      <c r="K8" s="36"/>
    </row>
    <row r="9" spans="1:17" x14ac:dyDescent="0.25">
      <c r="A9" t="s">
        <v>175</v>
      </c>
      <c r="B9" t="s">
        <v>176</v>
      </c>
      <c r="C9">
        <v>2015</v>
      </c>
      <c r="D9" t="s">
        <v>180</v>
      </c>
      <c r="E9">
        <v>374.8</v>
      </c>
      <c r="G9" t="s">
        <v>81</v>
      </c>
      <c r="J9" s="39"/>
      <c r="K9" s="36"/>
    </row>
    <row r="10" spans="1:17" x14ac:dyDescent="0.25">
      <c r="B10" t="s">
        <v>177</v>
      </c>
      <c r="C10">
        <v>2015</v>
      </c>
      <c r="D10" t="s">
        <v>180</v>
      </c>
      <c r="E10">
        <v>331.8</v>
      </c>
      <c r="G10" t="s">
        <v>81</v>
      </c>
      <c r="J10" s="39"/>
      <c r="K10" s="36"/>
    </row>
    <row r="11" spans="1:17" x14ac:dyDescent="0.25">
      <c r="B11" t="s">
        <v>178</v>
      </c>
      <c r="C11">
        <v>2015</v>
      </c>
      <c r="D11" t="s">
        <v>180</v>
      </c>
      <c r="E11">
        <v>344.6</v>
      </c>
      <c r="G11" t="s">
        <v>81</v>
      </c>
      <c r="J11" s="39"/>
      <c r="K11" s="36"/>
    </row>
    <row r="12" spans="1:17" x14ac:dyDescent="0.25">
      <c r="B12" t="s">
        <v>179</v>
      </c>
      <c r="C12">
        <v>2015</v>
      </c>
      <c r="D12" t="s">
        <v>180</v>
      </c>
      <c r="E12">
        <v>355.7</v>
      </c>
      <c r="G12" t="s">
        <v>81</v>
      </c>
      <c r="J12" s="39"/>
      <c r="K12" s="36"/>
    </row>
    <row r="13" spans="1:17" x14ac:dyDescent="0.25">
      <c r="J13" s="39"/>
      <c r="K13" s="36"/>
    </row>
    <row r="14" spans="1:17" x14ac:dyDescent="0.25">
      <c r="A14" t="s">
        <v>86</v>
      </c>
      <c r="B14" t="s">
        <v>2</v>
      </c>
      <c r="C14">
        <v>2015</v>
      </c>
      <c r="D14" t="s">
        <v>238</v>
      </c>
      <c r="E14">
        <v>877810</v>
      </c>
      <c r="G14" t="s">
        <v>236</v>
      </c>
      <c r="J14" s="39"/>
      <c r="K14" t="s">
        <v>86</v>
      </c>
      <c r="L14" t="s">
        <v>2</v>
      </c>
      <c r="M14">
        <v>2015</v>
      </c>
      <c r="N14" t="s">
        <v>273</v>
      </c>
      <c r="O14">
        <f>E14*1000</f>
        <v>877810000</v>
      </c>
    </row>
    <row r="15" spans="1:17" x14ac:dyDescent="0.25">
      <c r="B15" t="s">
        <v>3</v>
      </c>
      <c r="C15">
        <v>2015</v>
      </c>
      <c r="D15" t="s">
        <v>238</v>
      </c>
      <c r="E15">
        <v>2270</v>
      </c>
      <c r="G15" t="s">
        <v>236</v>
      </c>
      <c r="J15" s="39"/>
      <c r="L15" t="s">
        <v>3</v>
      </c>
      <c r="M15">
        <v>2015</v>
      </c>
      <c r="N15" t="s">
        <v>273</v>
      </c>
      <c r="O15">
        <f t="shared" ref="O15:O17" si="0">E15*1000</f>
        <v>2270000</v>
      </c>
    </row>
    <row r="16" spans="1:17" x14ac:dyDescent="0.25">
      <c r="B16" t="s">
        <v>4</v>
      </c>
      <c r="C16">
        <v>2015</v>
      </c>
      <c r="D16" t="s">
        <v>238</v>
      </c>
      <c r="E16">
        <v>3130</v>
      </c>
      <c r="G16" t="s">
        <v>236</v>
      </c>
      <c r="J16" s="39"/>
      <c r="L16" t="s">
        <v>4</v>
      </c>
      <c r="M16">
        <v>2015</v>
      </c>
      <c r="N16" t="s">
        <v>273</v>
      </c>
      <c r="O16">
        <f t="shared" si="0"/>
        <v>3130000</v>
      </c>
    </row>
    <row r="17" spans="1:15" x14ac:dyDescent="0.25">
      <c r="B17" t="s">
        <v>74</v>
      </c>
      <c r="C17">
        <v>2015</v>
      </c>
      <c r="D17" t="s">
        <v>238</v>
      </c>
      <c r="E17">
        <v>883210</v>
      </c>
      <c r="G17" t="s">
        <v>236</v>
      </c>
      <c r="J17" s="39"/>
      <c r="L17" t="s">
        <v>74</v>
      </c>
      <c r="M17">
        <v>2015</v>
      </c>
      <c r="N17" t="s">
        <v>273</v>
      </c>
      <c r="O17">
        <f t="shared" si="0"/>
        <v>883210000</v>
      </c>
    </row>
    <row r="18" spans="1:15" x14ac:dyDescent="0.25">
      <c r="J18" s="39"/>
    </row>
    <row r="19" spans="1:15" x14ac:dyDescent="0.25">
      <c r="J19" s="39"/>
      <c r="K19" s="36"/>
      <c r="L19" t="s">
        <v>2</v>
      </c>
      <c r="M19">
        <v>2015</v>
      </c>
      <c r="N19" t="s">
        <v>391</v>
      </c>
      <c r="O19">
        <f>O14/1000000</f>
        <v>877.81</v>
      </c>
    </row>
    <row r="20" spans="1:15" x14ac:dyDescent="0.25">
      <c r="A20" t="s">
        <v>86</v>
      </c>
      <c r="B20" t="s">
        <v>2</v>
      </c>
      <c r="C20">
        <v>2015</v>
      </c>
      <c r="D20" t="s">
        <v>270</v>
      </c>
      <c r="E20">
        <v>2540920</v>
      </c>
      <c r="G20" t="s">
        <v>236</v>
      </c>
      <c r="J20" s="39"/>
      <c r="K20" s="36"/>
      <c r="L20" t="s">
        <v>3</v>
      </c>
      <c r="M20">
        <v>2015</v>
      </c>
      <c r="N20" t="s">
        <v>391</v>
      </c>
      <c r="O20">
        <f t="shared" ref="O20" si="1">O15/1000000</f>
        <v>2.27</v>
      </c>
    </row>
    <row r="21" spans="1:15" x14ac:dyDescent="0.25">
      <c r="B21" t="s">
        <v>3</v>
      </c>
      <c r="C21">
        <v>2015</v>
      </c>
      <c r="D21" t="s">
        <v>270</v>
      </c>
      <c r="E21">
        <v>84950</v>
      </c>
      <c r="G21" t="s">
        <v>236</v>
      </c>
      <c r="J21" s="39"/>
      <c r="K21" s="36"/>
      <c r="L21" t="s">
        <v>4</v>
      </c>
      <c r="M21">
        <v>2015</v>
      </c>
      <c r="N21" t="s">
        <v>391</v>
      </c>
      <c r="O21">
        <f>O16/1000000</f>
        <v>3.13</v>
      </c>
    </row>
    <row r="22" spans="1:15" x14ac:dyDescent="0.25">
      <c r="B22" t="s">
        <v>4</v>
      </c>
      <c r="C22">
        <v>2015</v>
      </c>
      <c r="D22" t="s">
        <v>270</v>
      </c>
      <c r="E22">
        <v>1369</v>
      </c>
      <c r="G22" t="s">
        <v>236</v>
      </c>
      <c r="J22" s="39"/>
      <c r="K22" s="36"/>
    </row>
    <row r="23" spans="1:15" x14ac:dyDescent="0.25">
      <c r="J23" s="39"/>
      <c r="K23" s="36"/>
    </row>
    <row r="24" spans="1:15" x14ac:dyDescent="0.25">
      <c r="A24" s="9" t="s">
        <v>94</v>
      </c>
      <c r="J24" s="39"/>
      <c r="K24" s="53" t="s">
        <v>224</v>
      </c>
    </row>
    <row r="25" spans="1:15" x14ac:dyDescent="0.25">
      <c r="J25" s="39"/>
      <c r="K25" s="54" t="s">
        <v>2</v>
      </c>
    </row>
    <row r="26" spans="1:15" x14ac:dyDescent="0.25">
      <c r="A26" t="s">
        <v>106</v>
      </c>
      <c r="B26" t="s">
        <v>107</v>
      </c>
      <c r="D26" t="s">
        <v>84</v>
      </c>
      <c r="E26">
        <v>13610000</v>
      </c>
      <c r="G26" s="55" t="s">
        <v>108</v>
      </c>
      <c r="J26" s="39"/>
      <c r="K26" s="36" t="s">
        <v>321</v>
      </c>
      <c r="L26" t="s">
        <v>2</v>
      </c>
      <c r="N26">
        <f>'Data herd'!L14</f>
        <v>1257427852.0663905</v>
      </c>
    </row>
    <row r="27" spans="1:15" x14ac:dyDescent="0.25">
      <c r="A27" t="s">
        <v>106</v>
      </c>
      <c r="B27" t="s">
        <v>109</v>
      </c>
      <c r="D27" t="s">
        <v>84</v>
      </c>
      <c r="E27">
        <v>25120000</v>
      </c>
      <c r="G27" s="55" t="s">
        <v>108</v>
      </c>
      <c r="J27" s="39"/>
      <c r="K27" s="36"/>
      <c r="L27" t="s">
        <v>404</v>
      </c>
      <c r="N27">
        <f>N26/(SUM(N26,N36,N45))</f>
        <v>0.52216042610516455</v>
      </c>
    </row>
    <row r="28" spans="1:15" x14ac:dyDescent="0.25">
      <c r="B28" t="s">
        <v>74</v>
      </c>
      <c r="D28" t="s">
        <v>84</v>
      </c>
      <c r="E28">
        <f>SUM(E26,E27)</f>
        <v>38730000</v>
      </c>
      <c r="G28" s="55" t="s">
        <v>108</v>
      </c>
      <c r="J28" s="39"/>
      <c r="K28" s="36"/>
    </row>
    <row r="29" spans="1:15" x14ac:dyDescent="0.25">
      <c r="J29" s="39"/>
      <c r="K29" s="36"/>
      <c r="L29" t="s">
        <v>415</v>
      </c>
      <c r="N29" t="s">
        <v>91</v>
      </c>
      <c r="O29">
        <f>E27*N27</f>
        <v>13116669.903761733</v>
      </c>
    </row>
    <row r="30" spans="1:15" x14ac:dyDescent="0.25">
      <c r="A30" s="1" t="s">
        <v>200</v>
      </c>
      <c r="J30" s="39"/>
      <c r="K30" s="36"/>
      <c r="L30" t="s">
        <v>417</v>
      </c>
      <c r="N30" t="s">
        <v>91</v>
      </c>
      <c r="O30">
        <f>E26*N27</f>
        <v>7106603.39929129</v>
      </c>
    </row>
    <row r="31" spans="1:15" x14ac:dyDescent="0.25">
      <c r="J31" s="39"/>
      <c r="K31" s="36"/>
      <c r="L31" t="s">
        <v>74</v>
      </c>
      <c r="N31" t="s">
        <v>91</v>
      </c>
      <c r="O31">
        <f>SUM(O29:O30)</f>
        <v>20223273.303053021</v>
      </c>
    </row>
    <row r="32" spans="1:15" x14ac:dyDescent="0.25">
      <c r="A32" t="s">
        <v>198</v>
      </c>
      <c r="B32" t="s">
        <v>202</v>
      </c>
      <c r="D32" t="s">
        <v>203</v>
      </c>
      <c r="E32">
        <v>15800</v>
      </c>
      <c r="G32" s="55" t="s">
        <v>199</v>
      </c>
      <c r="J32" s="39"/>
      <c r="K32" s="36"/>
      <c r="L32" t="s">
        <v>74</v>
      </c>
      <c r="N32" t="s">
        <v>390</v>
      </c>
      <c r="O32">
        <f>O31/1000000</f>
        <v>20.22327330305302</v>
      </c>
    </row>
    <row r="33" spans="10:15" x14ac:dyDescent="0.25">
      <c r="J33" s="39"/>
      <c r="K33" s="36"/>
    </row>
    <row r="34" spans="10:15" x14ac:dyDescent="0.25">
      <c r="J34" s="39"/>
      <c r="K34" s="36"/>
    </row>
    <row r="35" spans="10:15" x14ac:dyDescent="0.25">
      <c r="K35" s="2" t="s">
        <v>3</v>
      </c>
    </row>
    <row r="36" spans="10:15" x14ac:dyDescent="0.25">
      <c r="K36" t="s">
        <v>416</v>
      </c>
      <c r="L36" t="s">
        <v>3</v>
      </c>
      <c r="N36">
        <f>'Data herd'!L25</f>
        <v>521309576.0000003</v>
      </c>
    </row>
    <row r="37" spans="10:15" x14ac:dyDescent="0.25">
      <c r="L37" t="s">
        <v>404</v>
      </c>
      <c r="N37">
        <f>N36/(SUM(N26,N36,N45))</f>
        <v>0.2164794026866288</v>
      </c>
    </row>
    <row r="39" spans="10:15" x14ac:dyDescent="0.25">
      <c r="L39" t="s">
        <v>109</v>
      </c>
      <c r="N39" t="s">
        <v>91</v>
      </c>
      <c r="O39">
        <f>E27*N37</f>
        <v>5437962.5954881152</v>
      </c>
    </row>
    <row r="40" spans="10:15" x14ac:dyDescent="0.25">
      <c r="L40" t="s">
        <v>107</v>
      </c>
      <c r="N40" t="s">
        <v>91</v>
      </c>
      <c r="O40">
        <f>E26*N37</f>
        <v>2946284.670565018</v>
      </c>
    </row>
    <row r="41" spans="10:15" x14ac:dyDescent="0.25">
      <c r="L41" t="s">
        <v>74</v>
      </c>
      <c r="N41" t="s">
        <v>91</v>
      </c>
      <c r="O41">
        <f>SUM(O39:O40)</f>
        <v>8384247.2660531327</v>
      </c>
    </row>
    <row r="42" spans="10:15" x14ac:dyDescent="0.25">
      <c r="L42" t="s">
        <v>74</v>
      </c>
      <c r="N42" t="s">
        <v>390</v>
      </c>
      <c r="O42">
        <f>O41/1000000</f>
        <v>8.3842472660531335</v>
      </c>
    </row>
    <row r="44" spans="10:15" x14ac:dyDescent="0.25">
      <c r="K44" s="2" t="s">
        <v>4</v>
      </c>
    </row>
    <row r="45" spans="10:15" x14ac:dyDescent="0.25">
      <c r="K45" t="s">
        <v>321</v>
      </c>
      <c r="L45" t="s">
        <v>4</v>
      </c>
      <c r="N45">
        <f>'Data herd'!L38</f>
        <v>629388100.41466069</v>
      </c>
    </row>
    <row r="46" spans="10:15" x14ac:dyDescent="0.25">
      <c r="L46" t="s">
        <v>404</v>
      </c>
      <c r="N46">
        <f>N45/(SUM(N26,N36,N45))</f>
        <v>0.26136017120820665</v>
      </c>
    </row>
    <row r="48" spans="10:15" x14ac:dyDescent="0.25">
      <c r="L48" t="s">
        <v>415</v>
      </c>
      <c r="N48" t="s">
        <v>91</v>
      </c>
      <c r="O48">
        <f>E27*N46</f>
        <v>6565367.5007501515</v>
      </c>
    </row>
    <row r="49" spans="12:15" x14ac:dyDescent="0.25">
      <c r="L49" t="s">
        <v>417</v>
      </c>
      <c r="N49" t="s">
        <v>91</v>
      </c>
      <c r="O49">
        <f>E26*N46</f>
        <v>3557111.9301436925</v>
      </c>
    </row>
    <row r="50" spans="12:15" x14ac:dyDescent="0.25">
      <c r="L50" t="s">
        <v>388</v>
      </c>
      <c r="N50" t="s">
        <v>91</v>
      </c>
      <c r="O50">
        <f>SUM(O48:O49)</f>
        <v>10122479.430893844</v>
      </c>
    </row>
    <row r="51" spans="12:15" x14ac:dyDescent="0.25">
      <c r="L51" t="s">
        <v>74</v>
      </c>
      <c r="N51" t="s">
        <v>390</v>
      </c>
      <c r="O51">
        <f>O50/1000000</f>
        <v>10.122479430893843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36"/>
  <sheetViews>
    <sheetView zoomScale="60" zoomScaleNormal="60" workbookViewId="0">
      <selection activeCell="O21" sqref="O21"/>
    </sheetView>
  </sheetViews>
  <sheetFormatPr defaultRowHeight="15" x14ac:dyDescent="0.25"/>
  <cols>
    <col min="1" max="1" width="21.5703125" customWidth="1"/>
    <col min="2" max="2" width="23.42578125" customWidth="1"/>
    <col min="4" max="4" width="20" customWidth="1"/>
    <col min="6" max="6" width="13.5703125" customWidth="1"/>
    <col min="12" max="12" width="13.5703125" style="51" customWidth="1"/>
    <col min="13" max="13" width="35.85546875" customWidth="1"/>
    <col min="15" max="15" width="12" bestFit="1" customWidth="1"/>
  </cols>
  <sheetData>
    <row r="1" spans="1:17" x14ac:dyDescent="0.25">
      <c r="A1" s="2" t="s">
        <v>66</v>
      </c>
      <c r="C1" t="s">
        <v>7</v>
      </c>
      <c r="D1" t="s">
        <v>8</v>
      </c>
      <c r="E1" t="s">
        <v>9</v>
      </c>
      <c r="F1" t="s">
        <v>10</v>
      </c>
      <c r="G1" t="s">
        <v>11</v>
      </c>
      <c r="H1" t="s">
        <v>15</v>
      </c>
      <c r="K1" s="39"/>
      <c r="L1" s="1" t="s">
        <v>224</v>
      </c>
      <c r="M1" s="33"/>
      <c r="N1" t="s">
        <v>225</v>
      </c>
      <c r="O1" t="s">
        <v>9</v>
      </c>
      <c r="P1" t="s">
        <v>10</v>
      </c>
      <c r="Q1" t="s">
        <v>128</v>
      </c>
    </row>
    <row r="2" spans="1:17" x14ac:dyDescent="0.25">
      <c r="K2" s="39"/>
      <c r="L2" s="50" t="s">
        <v>66</v>
      </c>
    </row>
    <row r="3" spans="1:17" x14ac:dyDescent="0.25">
      <c r="A3" t="s">
        <v>71</v>
      </c>
      <c r="B3" t="s">
        <v>68</v>
      </c>
      <c r="C3">
        <v>2013</v>
      </c>
      <c r="D3" t="s">
        <v>69</v>
      </c>
      <c r="E3">
        <v>526</v>
      </c>
      <c r="G3" t="s">
        <v>70</v>
      </c>
      <c r="K3" s="39"/>
    </row>
    <row r="4" spans="1:17" x14ac:dyDescent="0.25">
      <c r="A4" t="s">
        <v>71</v>
      </c>
      <c r="B4" t="s">
        <v>68</v>
      </c>
      <c r="C4">
        <v>2012</v>
      </c>
      <c r="D4" t="s">
        <v>69</v>
      </c>
      <c r="E4">
        <v>604</v>
      </c>
      <c r="G4" t="s">
        <v>70</v>
      </c>
      <c r="K4" s="39"/>
    </row>
    <row r="5" spans="1:17" x14ac:dyDescent="0.25">
      <c r="K5" s="39"/>
      <c r="L5" s="51" t="s">
        <v>420</v>
      </c>
      <c r="M5" t="s">
        <v>2</v>
      </c>
      <c r="N5" t="s">
        <v>421</v>
      </c>
      <c r="O5">
        <f>'Import &amp; Export'!E7*(SUM('Data herd'!E5:E7))</f>
        <v>0</v>
      </c>
    </row>
    <row r="6" spans="1:17" x14ac:dyDescent="0.25">
      <c r="A6" t="s">
        <v>71</v>
      </c>
      <c r="B6" t="s">
        <v>233</v>
      </c>
      <c r="C6">
        <v>2005</v>
      </c>
      <c r="D6" t="s">
        <v>237</v>
      </c>
      <c r="E6">
        <v>0</v>
      </c>
      <c r="G6" t="s">
        <v>236</v>
      </c>
      <c r="K6" s="39"/>
      <c r="M6" t="s">
        <v>3</v>
      </c>
      <c r="N6" t="s">
        <v>421</v>
      </c>
      <c r="O6">
        <v>0</v>
      </c>
    </row>
    <row r="7" spans="1:17" x14ac:dyDescent="0.25">
      <c r="A7" t="s">
        <v>71</v>
      </c>
      <c r="B7" t="s">
        <v>2</v>
      </c>
      <c r="C7">
        <v>2005</v>
      </c>
      <c r="D7" t="s">
        <v>237</v>
      </c>
      <c r="E7">
        <v>0</v>
      </c>
      <c r="G7" t="s">
        <v>236</v>
      </c>
      <c r="K7" s="39"/>
      <c r="M7" t="s">
        <v>345</v>
      </c>
      <c r="N7" t="s">
        <v>421</v>
      </c>
      <c r="O7">
        <v>0</v>
      </c>
    </row>
    <row r="8" spans="1:17" x14ac:dyDescent="0.25">
      <c r="A8" t="s">
        <v>71</v>
      </c>
      <c r="B8" t="s">
        <v>234</v>
      </c>
      <c r="C8">
        <v>2005</v>
      </c>
      <c r="D8" t="s">
        <v>237</v>
      </c>
      <c r="E8">
        <v>0</v>
      </c>
      <c r="G8" t="s">
        <v>236</v>
      </c>
      <c r="K8" s="39"/>
      <c r="N8" t="s">
        <v>389</v>
      </c>
      <c r="O8">
        <v>0</v>
      </c>
    </row>
    <row r="9" spans="1:17" x14ac:dyDescent="0.25">
      <c r="K9" s="39"/>
    </row>
    <row r="10" spans="1:17" x14ac:dyDescent="0.25">
      <c r="A10" t="s">
        <v>82</v>
      </c>
      <c r="B10" t="s">
        <v>75</v>
      </c>
      <c r="C10">
        <v>2012</v>
      </c>
      <c r="D10" t="s">
        <v>84</v>
      </c>
      <c r="E10">
        <v>119800</v>
      </c>
      <c r="G10" t="s">
        <v>81</v>
      </c>
      <c r="K10" s="39"/>
    </row>
    <row r="11" spans="1:17" x14ac:dyDescent="0.25">
      <c r="B11" t="s">
        <v>78</v>
      </c>
      <c r="C11">
        <v>2012</v>
      </c>
      <c r="D11" t="s">
        <v>84</v>
      </c>
      <c r="E11">
        <v>32200</v>
      </c>
      <c r="G11" t="s">
        <v>81</v>
      </c>
      <c r="K11" s="39"/>
    </row>
    <row r="12" spans="1:17" x14ac:dyDescent="0.25">
      <c r="B12" t="s">
        <v>75</v>
      </c>
      <c r="C12">
        <v>2013</v>
      </c>
      <c r="D12" t="s">
        <v>84</v>
      </c>
      <c r="E12">
        <v>105300</v>
      </c>
      <c r="G12" t="s">
        <v>81</v>
      </c>
      <c r="K12" s="39"/>
    </row>
    <row r="13" spans="1:17" x14ac:dyDescent="0.25">
      <c r="B13" t="s">
        <v>78</v>
      </c>
      <c r="C13">
        <v>2013</v>
      </c>
      <c r="D13" t="s">
        <v>84</v>
      </c>
      <c r="E13">
        <v>33100</v>
      </c>
      <c r="G13" t="s">
        <v>81</v>
      </c>
      <c r="K13" s="39"/>
    </row>
    <row r="14" spans="1:17" x14ac:dyDescent="0.25">
      <c r="B14" t="s">
        <v>75</v>
      </c>
      <c r="C14">
        <v>2015</v>
      </c>
      <c r="D14" t="s">
        <v>84</v>
      </c>
      <c r="E14">
        <v>100500</v>
      </c>
      <c r="G14" t="s">
        <v>81</v>
      </c>
      <c r="K14" s="39"/>
    </row>
    <row r="15" spans="1:17" x14ac:dyDescent="0.25">
      <c r="B15" t="s">
        <v>78</v>
      </c>
      <c r="C15">
        <v>2015</v>
      </c>
      <c r="D15" t="s">
        <v>84</v>
      </c>
      <c r="E15">
        <v>47700</v>
      </c>
      <c r="G15" t="s">
        <v>81</v>
      </c>
      <c r="K15" s="39"/>
    </row>
    <row r="16" spans="1:17" s="6" customFormat="1" x14ac:dyDescent="0.25">
      <c r="A16" s="6" t="s">
        <v>92</v>
      </c>
      <c r="C16" s="6">
        <v>2015</v>
      </c>
      <c r="D16" s="6" t="s">
        <v>84</v>
      </c>
      <c r="E16" s="6">
        <v>132000</v>
      </c>
      <c r="G16" s="6" t="s">
        <v>81</v>
      </c>
      <c r="H16" s="6" t="s">
        <v>95</v>
      </c>
      <c r="K16" s="42"/>
      <c r="L16" s="60"/>
    </row>
    <row r="17" spans="1:15" x14ac:dyDescent="0.25">
      <c r="K17" s="39"/>
    </row>
    <row r="18" spans="1:15" x14ac:dyDescent="0.25">
      <c r="K18" s="39"/>
    </row>
    <row r="19" spans="1:15" x14ac:dyDescent="0.25">
      <c r="A19" s="2" t="s">
        <v>67</v>
      </c>
      <c r="K19" s="39"/>
      <c r="L19" s="1" t="s">
        <v>224</v>
      </c>
    </row>
    <row r="20" spans="1:15" x14ac:dyDescent="0.25">
      <c r="A20" t="s">
        <v>71</v>
      </c>
      <c r="B20" t="s">
        <v>72</v>
      </c>
      <c r="C20">
        <v>2013</v>
      </c>
      <c r="D20" t="s">
        <v>69</v>
      </c>
      <c r="E20">
        <v>36094</v>
      </c>
      <c r="G20" t="s">
        <v>70</v>
      </c>
      <c r="K20" s="39"/>
      <c r="L20" s="50" t="s">
        <v>67</v>
      </c>
    </row>
    <row r="21" spans="1:15" x14ac:dyDescent="0.25">
      <c r="A21" t="s">
        <v>71</v>
      </c>
      <c r="B21" t="s">
        <v>72</v>
      </c>
      <c r="C21">
        <v>2012</v>
      </c>
      <c r="D21" t="s">
        <v>69</v>
      </c>
      <c r="E21">
        <v>42435</v>
      </c>
      <c r="G21" t="s">
        <v>70</v>
      </c>
      <c r="K21" s="39"/>
      <c r="L21" s="51" t="s">
        <v>71</v>
      </c>
      <c r="M21" t="s">
        <v>422</v>
      </c>
      <c r="N21" t="s">
        <v>273</v>
      </c>
      <c r="O21">
        <f>(E24/2)*('Data herd'!E9)</f>
        <v>9256765</v>
      </c>
    </row>
    <row r="22" spans="1:15" x14ac:dyDescent="0.25">
      <c r="K22" s="39"/>
      <c r="M22" t="s">
        <v>423</v>
      </c>
      <c r="N22" t="s">
        <v>273</v>
      </c>
      <c r="O22">
        <f>(E24/2)*('Data herd'!E10)</f>
        <v>12028360</v>
      </c>
    </row>
    <row r="23" spans="1:15" x14ac:dyDescent="0.25">
      <c r="A23" t="s">
        <v>71</v>
      </c>
      <c r="B23" t="s">
        <v>233</v>
      </c>
      <c r="C23">
        <v>2007</v>
      </c>
      <c r="D23" t="s">
        <v>235</v>
      </c>
      <c r="E23">
        <v>36290</v>
      </c>
      <c r="G23" t="s">
        <v>236</v>
      </c>
      <c r="K23" s="39"/>
      <c r="M23" t="s">
        <v>378</v>
      </c>
      <c r="N23" t="s">
        <v>273</v>
      </c>
      <c r="O23">
        <f>SUM(O21:O22)</f>
        <v>21285125</v>
      </c>
    </row>
    <row r="24" spans="1:15" x14ac:dyDescent="0.25">
      <c r="A24" t="s">
        <v>71</v>
      </c>
      <c r="B24" t="s">
        <v>2</v>
      </c>
      <c r="C24">
        <v>2007</v>
      </c>
      <c r="D24" t="s">
        <v>235</v>
      </c>
      <c r="E24">
        <v>36230</v>
      </c>
      <c r="G24" t="s">
        <v>236</v>
      </c>
      <c r="K24" s="39"/>
      <c r="N24" t="s">
        <v>389</v>
      </c>
      <c r="O24">
        <f>O23/1000000</f>
        <v>21.285125000000001</v>
      </c>
    </row>
    <row r="25" spans="1:15" x14ac:dyDescent="0.25">
      <c r="A25" t="s">
        <v>71</v>
      </c>
      <c r="B25" t="s">
        <v>234</v>
      </c>
      <c r="C25">
        <v>2007</v>
      </c>
      <c r="D25" t="s">
        <v>235</v>
      </c>
      <c r="E25">
        <v>70</v>
      </c>
      <c r="G25" t="s">
        <v>236</v>
      </c>
      <c r="K25" s="39"/>
      <c r="M25" t="s">
        <v>3</v>
      </c>
      <c r="N25" t="s">
        <v>273</v>
      </c>
    </row>
    <row r="26" spans="1:15" x14ac:dyDescent="0.25">
      <c r="K26" s="39"/>
      <c r="M26" t="s">
        <v>4</v>
      </c>
      <c r="N26" t="s">
        <v>273</v>
      </c>
    </row>
    <row r="27" spans="1:15" x14ac:dyDescent="0.25">
      <c r="K27" s="39"/>
      <c r="N27" t="s">
        <v>389</v>
      </c>
    </row>
    <row r="28" spans="1:15" x14ac:dyDescent="0.25">
      <c r="A28" t="s">
        <v>82</v>
      </c>
      <c r="B28" t="s">
        <v>77</v>
      </c>
      <c r="C28">
        <v>2012</v>
      </c>
      <c r="D28" t="s">
        <v>83</v>
      </c>
      <c r="E28">
        <v>236300</v>
      </c>
      <c r="G28" t="s">
        <v>81</v>
      </c>
      <c r="K28" s="39"/>
    </row>
    <row r="29" spans="1:15" x14ac:dyDescent="0.25">
      <c r="B29" t="s">
        <v>76</v>
      </c>
      <c r="C29">
        <v>2012</v>
      </c>
      <c r="D29" t="s">
        <v>83</v>
      </c>
      <c r="E29">
        <v>89500</v>
      </c>
      <c r="G29" t="s">
        <v>81</v>
      </c>
      <c r="K29" s="39"/>
    </row>
    <row r="30" spans="1:15" x14ac:dyDescent="0.25">
      <c r="B30" t="s">
        <v>78</v>
      </c>
      <c r="C30">
        <v>2012</v>
      </c>
      <c r="D30" t="s">
        <v>83</v>
      </c>
      <c r="E30">
        <v>26700</v>
      </c>
      <c r="G30" t="s">
        <v>81</v>
      </c>
      <c r="K30" s="39"/>
    </row>
    <row r="31" spans="1:15" x14ac:dyDescent="0.25">
      <c r="A31" t="s">
        <v>82</v>
      </c>
      <c r="B31" t="s">
        <v>77</v>
      </c>
      <c r="C31">
        <v>2013</v>
      </c>
      <c r="D31" t="s">
        <v>83</v>
      </c>
      <c r="E31">
        <v>241300</v>
      </c>
      <c r="G31" t="s">
        <v>81</v>
      </c>
      <c r="K31" s="39"/>
    </row>
    <row r="32" spans="1:15" x14ac:dyDescent="0.25">
      <c r="B32" t="s">
        <v>76</v>
      </c>
      <c r="C32">
        <v>2013</v>
      </c>
      <c r="D32" t="s">
        <v>83</v>
      </c>
      <c r="E32">
        <v>74200</v>
      </c>
      <c r="G32" t="s">
        <v>81</v>
      </c>
      <c r="K32" s="39"/>
    </row>
    <row r="33" spans="1:12" x14ac:dyDescent="0.25">
      <c r="B33" t="s">
        <v>78</v>
      </c>
      <c r="C33">
        <v>2013</v>
      </c>
      <c r="D33" t="s">
        <v>83</v>
      </c>
      <c r="E33">
        <v>24500</v>
      </c>
      <c r="G33" t="s">
        <v>81</v>
      </c>
      <c r="K33" s="39"/>
    </row>
    <row r="34" spans="1:12" x14ac:dyDescent="0.25">
      <c r="A34" t="s">
        <v>82</v>
      </c>
      <c r="B34" t="s">
        <v>79</v>
      </c>
      <c r="C34">
        <v>2015</v>
      </c>
      <c r="D34" t="s">
        <v>83</v>
      </c>
      <c r="E34">
        <v>269600</v>
      </c>
      <c r="G34" t="s">
        <v>81</v>
      </c>
      <c r="K34" s="39"/>
    </row>
    <row r="35" spans="1:12" x14ac:dyDescent="0.25">
      <c r="B35" t="s">
        <v>80</v>
      </c>
      <c r="C35">
        <v>2015</v>
      </c>
      <c r="D35" t="s">
        <v>83</v>
      </c>
      <c r="E35">
        <v>77300</v>
      </c>
      <c r="G35" t="s">
        <v>81</v>
      </c>
      <c r="K35" s="39"/>
    </row>
    <row r="36" spans="1:12" x14ac:dyDescent="0.25">
      <c r="B36" t="s">
        <v>78</v>
      </c>
      <c r="C36">
        <v>2015</v>
      </c>
      <c r="D36" t="s">
        <v>83</v>
      </c>
      <c r="E36">
        <v>16800</v>
      </c>
      <c r="G36" t="s">
        <v>81</v>
      </c>
      <c r="K36" s="39"/>
    </row>
    <row r="37" spans="1:12" x14ac:dyDescent="0.25">
      <c r="A37" s="6" t="s">
        <v>93</v>
      </c>
      <c r="B37" s="6"/>
      <c r="C37" s="6">
        <v>2015</v>
      </c>
      <c r="D37" s="6" t="s">
        <v>84</v>
      </c>
      <c r="E37" s="8">
        <v>431000</v>
      </c>
      <c r="F37" s="6"/>
      <c r="G37" s="6" t="s">
        <v>81</v>
      </c>
      <c r="H37" s="6" t="s">
        <v>95</v>
      </c>
      <c r="K37" s="39"/>
    </row>
    <row r="38" spans="1:12" x14ac:dyDescent="0.25">
      <c r="K38" s="39"/>
    </row>
    <row r="39" spans="1:12" s="6" customFormat="1" x14ac:dyDescent="0.25">
      <c r="K39" s="42"/>
      <c r="L39" s="60"/>
    </row>
    <row r="40" spans="1:12" x14ac:dyDescent="0.25">
      <c r="K40" s="39"/>
    </row>
    <row r="41" spans="1:12" x14ac:dyDescent="0.25">
      <c r="K41" s="39"/>
    </row>
    <row r="42" spans="1:12" x14ac:dyDescent="0.25">
      <c r="K42" s="39"/>
    </row>
    <row r="43" spans="1:12" x14ac:dyDescent="0.25">
      <c r="K43" s="39"/>
    </row>
    <row r="44" spans="1:12" x14ac:dyDescent="0.25">
      <c r="K44" s="39"/>
    </row>
    <row r="45" spans="1:12" x14ac:dyDescent="0.25">
      <c r="K45" s="39"/>
    </row>
    <row r="46" spans="1:12" x14ac:dyDescent="0.25">
      <c r="K46" s="39"/>
    </row>
    <row r="47" spans="1:12" x14ac:dyDescent="0.25">
      <c r="K47" s="39"/>
    </row>
    <row r="48" spans="1:12" x14ac:dyDescent="0.25">
      <c r="K48" s="39"/>
    </row>
    <row r="49" spans="11:11" x14ac:dyDescent="0.25">
      <c r="K49" s="39"/>
    </row>
    <row r="50" spans="11:11" x14ac:dyDescent="0.25">
      <c r="K50" s="39"/>
    </row>
    <row r="51" spans="11:11" x14ac:dyDescent="0.25">
      <c r="K51" s="39"/>
    </row>
    <row r="52" spans="11:11" x14ac:dyDescent="0.25">
      <c r="K52" s="39"/>
    </row>
    <row r="53" spans="11:11" x14ac:dyDescent="0.25">
      <c r="K53" s="39"/>
    </row>
    <row r="54" spans="11:11" x14ac:dyDescent="0.25">
      <c r="K54" s="39"/>
    </row>
    <row r="55" spans="11:11" x14ac:dyDescent="0.25">
      <c r="K55" s="39"/>
    </row>
    <row r="56" spans="11:11" x14ac:dyDescent="0.25">
      <c r="K56" s="39"/>
    </row>
    <row r="57" spans="11:11" x14ac:dyDescent="0.25">
      <c r="K57" s="39"/>
    </row>
    <row r="58" spans="11:11" x14ac:dyDescent="0.25">
      <c r="K58" s="39"/>
    </row>
    <row r="59" spans="11:11" x14ac:dyDescent="0.25">
      <c r="K59" s="39"/>
    </row>
    <row r="60" spans="11:11" x14ac:dyDescent="0.25">
      <c r="K60" s="39"/>
    </row>
    <row r="61" spans="11:11" x14ac:dyDescent="0.25">
      <c r="K61" s="39"/>
    </row>
    <row r="62" spans="11:11" x14ac:dyDescent="0.25">
      <c r="K62" s="39"/>
    </row>
    <row r="63" spans="11:11" x14ac:dyDescent="0.25">
      <c r="K63" s="39"/>
    </row>
    <row r="64" spans="11:11" x14ac:dyDescent="0.25">
      <c r="K64" s="39"/>
    </row>
    <row r="65" spans="11:11" x14ac:dyDescent="0.25">
      <c r="K65" s="39"/>
    </row>
    <row r="66" spans="11:11" x14ac:dyDescent="0.25">
      <c r="K66" s="39"/>
    </row>
    <row r="67" spans="11:11" x14ac:dyDescent="0.25">
      <c r="K67" s="39"/>
    </row>
    <row r="68" spans="11:11" x14ac:dyDescent="0.25">
      <c r="K68" s="39"/>
    </row>
    <row r="69" spans="11:11" x14ac:dyDescent="0.25">
      <c r="K69" s="39"/>
    </row>
    <row r="70" spans="11:11" x14ac:dyDescent="0.25">
      <c r="K70" s="39"/>
    </row>
    <row r="71" spans="11:11" x14ac:dyDescent="0.25">
      <c r="K71" s="39"/>
    </row>
    <row r="72" spans="11:11" x14ac:dyDescent="0.25">
      <c r="K72" s="39"/>
    </row>
    <row r="73" spans="11:11" x14ac:dyDescent="0.25">
      <c r="K73" s="39"/>
    </row>
    <row r="74" spans="11:11" x14ac:dyDescent="0.25">
      <c r="K74" s="39"/>
    </row>
    <row r="75" spans="11:11" x14ac:dyDescent="0.25">
      <c r="K75" s="39"/>
    </row>
    <row r="76" spans="11:11" x14ac:dyDescent="0.25">
      <c r="K76" s="39"/>
    </row>
    <row r="77" spans="11:11" x14ac:dyDescent="0.25">
      <c r="K77" s="39"/>
    </row>
    <row r="78" spans="11:11" x14ac:dyDescent="0.25">
      <c r="K78" s="39"/>
    </row>
    <row r="79" spans="11:11" x14ac:dyDescent="0.25">
      <c r="K79" s="39"/>
    </row>
    <row r="80" spans="11:11" x14ac:dyDescent="0.25">
      <c r="K80" s="39"/>
    </row>
    <row r="81" spans="11:11" x14ac:dyDescent="0.25">
      <c r="K81" s="39"/>
    </row>
    <row r="82" spans="11:11" x14ac:dyDescent="0.25">
      <c r="K82" s="39"/>
    </row>
    <row r="83" spans="11:11" x14ac:dyDescent="0.25">
      <c r="K83" s="39"/>
    </row>
    <row r="84" spans="11:11" x14ac:dyDescent="0.25">
      <c r="K84" s="39"/>
    </row>
    <row r="85" spans="11:11" x14ac:dyDescent="0.25">
      <c r="K85" s="39"/>
    </row>
    <row r="86" spans="11:11" x14ac:dyDescent="0.25">
      <c r="K86" s="39"/>
    </row>
    <row r="87" spans="11:11" x14ac:dyDescent="0.25">
      <c r="K87" s="39"/>
    </row>
    <row r="88" spans="11:11" x14ac:dyDescent="0.25">
      <c r="K88" s="39"/>
    </row>
    <row r="89" spans="11:11" x14ac:dyDescent="0.25">
      <c r="K89" s="39"/>
    </row>
    <row r="90" spans="11:11" x14ac:dyDescent="0.25">
      <c r="K90" s="39"/>
    </row>
    <row r="91" spans="11:11" x14ac:dyDescent="0.25">
      <c r="K91" s="39"/>
    </row>
    <row r="92" spans="11:11" x14ac:dyDescent="0.25">
      <c r="K92" s="39"/>
    </row>
    <row r="93" spans="11:11" x14ac:dyDescent="0.25">
      <c r="K93" s="39"/>
    </row>
    <row r="94" spans="11:11" x14ac:dyDescent="0.25">
      <c r="K94" s="39"/>
    </row>
    <row r="95" spans="11:11" x14ac:dyDescent="0.25">
      <c r="K95" s="39"/>
    </row>
    <row r="96" spans="11:11" x14ac:dyDescent="0.25">
      <c r="K96" s="39"/>
    </row>
    <row r="97" spans="11:11" x14ac:dyDescent="0.25">
      <c r="K97" s="39"/>
    </row>
    <row r="98" spans="11:11" x14ac:dyDescent="0.25">
      <c r="K98" s="39"/>
    </row>
    <row r="99" spans="11:11" x14ac:dyDescent="0.25">
      <c r="K99" s="39"/>
    </row>
    <row r="100" spans="11:11" x14ac:dyDescent="0.25">
      <c r="K100" s="39"/>
    </row>
    <row r="101" spans="11:11" x14ac:dyDescent="0.25">
      <c r="K101" s="39"/>
    </row>
    <row r="102" spans="11:11" x14ac:dyDescent="0.25">
      <c r="K102" s="39"/>
    </row>
    <row r="103" spans="11:11" x14ac:dyDescent="0.25">
      <c r="K103" s="39"/>
    </row>
    <row r="104" spans="11:11" x14ac:dyDescent="0.25">
      <c r="K104" s="39"/>
    </row>
    <row r="105" spans="11:11" x14ac:dyDescent="0.25">
      <c r="K105" s="39"/>
    </row>
    <row r="106" spans="11:11" x14ac:dyDescent="0.25">
      <c r="K106" s="39"/>
    </row>
    <row r="107" spans="11:11" x14ac:dyDescent="0.25">
      <c r="K107" s="39"/>
    </row>
    <row r="108" spans="11:11" x14ac:dyDescent="0.25">
      <c r="K108" s="39"/>
    </row>
    <row r="109" spans="11:11" x14ac:dyDescent="0.25">
      <c r="K109" s="39"/>
    </row>
    <row r="110" spans="11:11" x14ac:dyDescent="0.25">
      <c r="K110" s="39"/>
    </row>
    <row r="111" spans="11:11" x14ac:dyDescent="0.25">
      <c r="K111" s="39"/>
    </row>
    <row r="112" spans="11:11" x14ac:dyDescent="0.25">
      <c r="K112" s="39"/>
    </row>
    <row r="113" spans="11:11" x14ac:dyDescent="0.25">
      <c r="K113" s="39"/>
    </row>
    <row r="114" spans="11:11" x14ac:dyDescent="0.25">
      <c r="K114" s="39"/>
    </row>
    <row r="115" spans="11:11" x14ac:dyDescent="0.25">
      <c r="K115" s="39"/>
    </row>
    <row r="116" spans="11:11" x14ac:dyDescent="0.25">
      <c r="K116" s="39"/>
    </row>
    <row r="117" spans="11:11" x14ac:dyDescent="0.25">
      <c r="K117" s="39"/>
    </row>
    <row r="118" spans="11:11" x14ac:dyDescent="0.25">
      <c r="K118" s="39"/>
    </row>
    <row r="119" spans="11:11" x14ac:dyDescent="0.25">
      <c r="K119" s="39"/>
    </row>
    <row r="120" spans="11:11" x14ac:dyDescent="0.25">
      <c r="K120" s="39"/>
    </row>
    <row r="121" spans="11:11" x14ac:dyDescent="0.25">
      <c r="K121" s="39"/>
    </row>
    <row r="122" spans="11:11" x14ac:dyDescent="0.25">
      <c r="K122" s="39"/>
    </row>
    <row r="123" spans="11:11" x14ac:dyDescent="0.25">
      <c r="K123" s="39"/>
    </row>
    <row r="124" spans="11:11" x14ac:dyDescent="0.25">
      <c r="K124" s="39"/>
    </row>
    <row r="125" spans="11:11" x14ac:dyDescent="0.25">
      <c r="K125" s="39"/>
    </row>
    <row r="126" spans="11:11" x14ac:dyDescent="0.25">
      <c r="K126" s="39"/>
    </row>
    <row r="127" spans="11:11" x14ac:dyDescent="0.25">
      <c r="K127" s="39"/>
    </row>
    <row r="128" spans="11:11" x14ac:dyDescent="0.25">
      <c r="K128" s="39"/>
    </row>
    <row r="129" spans="11:11" x14ac:dyDescent="0.25">
      <c r="K129" s="39"/>
    </row>
    <row r="130" spans="11:11" x14ac:dyDescent="0.25">
      <c r="K130" s="39"/>
    </row>
    <row r="131" spans="11:11" x14ac:dyDescent="0.25">
      <c r="K131" s="39"/>
    </row>
    <row r="132" spans="11:11" x14ac:dyDescent="0.25">
      <c r="K132" s="39"/>
    </row>
    <row r="133" spans="11:11" x14ac:dyDescent="0.25">
      <c r="K133" s="39"/>
    </row>
    <row r="134" spans="11:11" x14ac:dyDescent="0.25">
      <c r="K134" s="39"/>
    </row>
    <row r="135" spans="11:11" x14ac:dyDescent="0.25">
      <c r="K135" s="39"/>
    </row>
    <row r="136" spans="11:11" x14ac:dyDescent="0.25">
      <c r="K13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48"/>
  <sheetViews>
    <sheetView topLeftCell="A17" workbookViewId="0">
      <selection activeCell="B31" sqref="B31"/>
    </sheetView>
  </sheetViews>
  <sheetFormatPr defaultRowHeight="15" x14ac:dyDescent="0.25"/>
  <cols>
    <col min="1" max="1" width="35.85546875" customWidth="1"/>
    <col min="2" max="2" width="41.28515625" customWidth="1"/>
    <col min="3" max="3" width="34.85546875" customWidth="1"/>
    <col min="4" max="4" width="28.5703125" customWidth="1"/>
    <col min="5" max="5" width="26.85546875" customWidth="1"/>
    <col min="6" max="6" width="20.42578125" customWidth="1"/>
    <col min="7" max="7" width="22.5703125" customWidth="1"/>
    <col min="9" max="9" width="33.5703125" customWidth="1"/>
    <col min="10" max="10" width="27.140625" customWidth="1"/>
  </cols>
  <sheetData>
    <row r="1" spans="1:5" x14ac:dyDescent="0.25">
      <c r="A1" s="1" t="s">
        <v>31</v>
      </c>
      <c r="C1" t="s">
        <v>8</v>
      </c>
      <c r="D1" t="s">
        <v>9</v>
      </c>
      <c r="E1" t="s">
        <v>11</v>
      </c>
    </row>
    <row r="2" spans="1:5" x14ac:dyDescent="0.25">
      <c r="A2" t="s">
        <v>37</v>
      </c>
      <c r="B2" t="s">
        <v>32</v>
      </c>
      <c r="C2" t="s">
        <v>33</v>
      </c>
      <c r="D2">
        <v>0.32200000000000001</v>
      </c>
      <c r="E2" t="s">
        <v>34</v>
      </c>
    </row>
    <row r="3" spans="1:5" x14ac:dyDescent="0.25">
      <c r="B3" t="s">
        <v>35</v>
      </c>
      <c r="C3" t="s">
        <v>33</v>
      </c>
      <c r="D3">
        <v>0.38600000000000001</v>
      </c>
      <c r="E3" t="s">
        <v>34</v>
      </c>
    </row>
    <row r="4" spans="1:5" x14ac:dyDescent="0.25">
      <c r="B4" t="s">
        <v>36</v>
      </c>
      <c r="C4" t="s">
        <v>33</v>
      </c>
      <c r="D4">
        <v>0.37</v>
      </c>
      <c r="E4" t="s">
        <v>34</v>
      </c>
    </row>
    <row r="6" spans="1:5" x14ac:dyDescent="0.25">
      <c r="A6" t="s">
        <v>275</v>
      </c>
      <c r="B6" t="s">
        <v>276</v>
      </c>
      <c r="C6" t="s">
        <v>29</v>
      </c>
      <c r="D6">
        <v>0.17</v>
      </c>
      <c r="E6" t="s">
        <v>34</v>
      </c>
    </row>
    <row r="9" spans="1:5" x14ac:dyDescent="0.25">
      <c r="A9" t="s">
        <v>277</v>
      </c>
      <c r="B9" t="s">
        <v>278</v>
      </c>
      <c r="C9" t="s">
        <v>29</v>
      </c>
      <c r="D9">
        <v>0.8</v>
      </c>
      <c r="E9" t="s">
        <v>34</v>
      </c>
    </row>
    <row r="10" spans="1:5" x14ac:dyDescent="0.25">
      <c r="B10" t="s">
        <v>279</v>
      </c>
      <c r="C10" t="s">
        <v>29</v>
      </c>
      <c r="D10">
        <v>1.2</v>
      </c>
      <c r="E10" t="s">
        <v>34</v>
      </c>
    </row>
    <row r="12" spans="1:5" x14ac:dyDescent="0.25">
      <c r="A12" t="s">
        <v>307</v>
      </c>
      <c r="B12" t="s">
        <v>296</v>
      </c>
      <c r="C12" t="s">
        <v>110</v>
      </c>
      <c r="D12" s="32">
        <v>65</v>
      </c>
      <c r="E12" t="s">
        <v>34</v>
      </c>
    </row>
    <row r="13" spans="1:5" x14ac:dyDescent="0.25">
      <c r="A13" t="s">
        <v>307</v>
      </c>
      <c r="B13" t="s">
        <v>298</v>
      </c>
      <c r="C13" t="s">
        <v>110</v>
      </c>
      <c r="D13" s="32">
        <v>75</v>
      </c>
      <c r="E13" t="s">
        <v>34</v>
      </c>
    </row>
    <row r="14" spans="1:5" x14ac:dyDescent="0.25">
      <c r="A14" t="s">
        <v>307</v>
      </c>
      <c r="B14" t="s">
        <v>297</v>
      </c>
      <c r="C14" t="s">
        <v>110</v>
      </c>
      <c r="D14" s="32">
        <v>70</v>
      </c>
      <c r="E14" t="s">
        <v>34</v>
      </c>
    </row>
    <row r="17" spans="1:9" x14ac:dyDescent="0.25">
      <c r="A17" t="s">
        <v>308</v>
      </c>
      <c r="B17" t="s">
        <v>306</v>
      </c>
      <c r="C17" t="s">
        <v>110</v>
      </c>
      <c r="D17">
        <v>4.0599999999999996</v>
      </c>
      <c r="E17" t="s">
        <v>39</v>
      </c>
    </row>
    <row r="18" spans="1:9" x14ac:dyDescent="0.25">
      <c r="A18" t="s">
        <v>308</v>
      </c>
      <c r="B18" t="s">
        <v>310</v>
      </c>
      <c r="C18" t="s">
        <v>309</v>
      </c>
      <c r="D18" s="31">
        <f>7556/365</f>
        <v>20.701369863013699</v>
      </c>
      <c r="E18" t="s">
        <v>39</v>
      </c>
    </row>
    <row r="20" spans="1:9" x14ac:dyDescent="0.25">
      <c r="A20" t="s">
        <v>311</v>
      </c>
      <c r="B20" t="s">
        <v>312</v>
      </c>
      <c r="C20" t="s">
        <v>313</v>
      </c>
      <c r="D20">
        <v>0.1</v>
      </c>
      <c r="E20" t="s">
        <v>34</v>
      </c>
    </row>
    <row r="22" spans="1:9" x14ac:dyDescent="0.25">
      <c r="A22" s="1" t="s">
        <v>325</v>
      </c>
    </row>
    <row r="23" spans="1:9" x14ac:dyDescent="0.25">
      <c r="A23" s="2" t="s">
        <v>2</v>
      </c>
    </row>
    <row r="24" spans="1:9" x14ac:dyDescent="0.25">
      <c r="A24" s="45" t="s">
        <v>349</v>
      </c>
      <c r="B24" s="46">
        <f>'Data herd'!E81</f>
        <v>349.52815051269971</v>
      </c>
    </row>
    <row r="25" spans="1:9" x14ac:dyDescent="0.25">
      <c r="A25" s="45" t="s">
        <v>350</v>
      </c>
      <c r="B25" s="46">
        <f>'Data herd'!E82</f>
        <v>124.73659434237554</v>
      </c>
    </row>
    <row r="26" spans="1:9" x14ac:dyDescent="0.25">
      <c r="A26" s="44" t="s">
        <v>346</v>
      </c>
      <c r="C26" t="s">
        <v>366</v>
      </c>
      <c r="D26" t="s">
        <v>343</v>
      </c>
      <c r="E26" t="s">
        <v>348</v>
      </c>
      <c r="G26" t="s">
        <v>356</v>
      </c>
      <c r="I26" t="s">
        <v>355</v>
      </c>
    </row>
    <row r="27" spans="1:9" x14ac:dyDescent="0.25">
      <c r="B27" s="43" t="s">
        <v>326</v>
      </c>
      <c r="C27">
        <v>18.7</v>
      </c>
      <c r="D27">
        <v>57.7</v>
      </c>
      <c r="E27">
        <f t="shared" ref="E27:E42" si="0">D27/100</f>
        <v>0.57700000000000007</v>
      </c>
      <c r="F27">
        <f t="shared" ref="F27:F42" si="1">$B$24*E27</f>
        <v>201.67774284582777</v>
      </c>
      <c r="G27">
        <f>F27/C27</f>
        <v>10.784906034536245</v>
      </c>
      <c r="H27">
        <f t="shared" ref="H27:H42" si="2">$B$25*E27</f>
        <v>71.973014935550694</v>
      </c>
      <c r="I27">
        <f>H27/C27</f>
        <v>3.8488243281043153</v>
      </c>
    </row>
    <row r="28" spans="1:9" x14ac:dyDescent="0.25">
      <c r="B28" s="43" t="s">
        <v>373</v>
      </c>
      <c r="C28">
        <f>(C31+C27)/2</f>
        <v>18.799999999999997</v>
      </c>
      <c r="D28">
        <v>17.3</v>
      </c>
      <c r="E28">
        <f t="shared" si="0"/>
        <v>0.17300000000000001</v>
      </c>
      <c r="F28">
        <f t="shared" si="1"/>
        <v>60.468370038697053</v>
      </c>
      <c r="G28">
        <f t="shared" ref="G28:G42" si="3">F28/C28</f>
        <v>3.2164026616328223</v>
      </c>
      <c r="H28">
        <f t="shared" si="2"/>
        <v>21.579430821230972</v>
      </c>
      <c r="I28">
        <f t="shared" ref="I28:I42" si="4">H28/C28</f>
        <v>1.1478420649590944</v>
      </c>
    </row>
    <row r="29" spans="1:9" x14ac:dyDescent="0.25">
      <c r="B29" s="43" t="s">
        <v>372</v>
      </c>
      <c r="C29">
        <v>18.5</v>
      </c>
      <c r="D29">
        <v>6.4</v>
      </c>
      <c r="E29">
        <f t="shared" si="0"/>
        <v>6.4000000000000001E-2</v>
      </c>
      <c r="F29">
        <f t="shared" si="1"/>
        <v>22.369801632812781</v>
      </c>
      <c r="G29">
        <f t="shared" si="3"/>
        <v>1.2091784666385288</v>
      </c>
      <c r="H29">
        <f t="shared" si="2"/>
        <v>7.9831420379120344</v>
      </c>
      <c r="I29">
        <f t="shared" si="4"/>
        <v>0.43152119123848837</v>
      </c>
    </row>
    <row r="30" spans="1:9" x14ac:dyDescent="0.25">
      <c r="B30" s="43" t="s">
        <v>374</v>
      </c>
      <c r="C30">
        <f>(C31+C29)/2</f>
        <v>18.7</v>
      </c>
      <c r="D30">
        <v>1.9</v>
      </c>
      <c r="E30">
        <f t="shared" si="0"/>
        <v>1.9E-2</v>
      </c>
      <c r="F30">
        <f t="shared" si="1"/>
        <v>6.6410348597412945</v>
      </c>
      <c r="G30">
        <f t="shared" si="3"/>
        <v>0.3551355539968607</v>
      </c>
      <c r="H30">
        <f t="shared" si="2"/>
        <v>2.3699952925051351</v>
      </c>
      <c r="I30">
        <f t="shared" si="4"/>
        <v>0.1267377161767452</v>
      </c>
    </row>
    <row r="31" spans="1:9" x14ac:dyDescent="0.25">
      <c r="B31" s="43" t="s">
        <v>330</v>
      </c>
      <c r="C31">
        <v>18.899999999999999</v>
      </c>
      <c r="D31">
        <v>3.9</v>
      </c>
      <c r="E31">
        <f t="shared" si="0"/>
        <v>3.9E-2</v>
      </c>
      <c r="F31">
        <f t="shared" si="1"/>
        <v>13.631597869995289</v>
      </c>
      <c r="G31">
        <f t="shared" si="3"/>
        <v>0.7212485645500154</v>
      </c>
      <c r="H31">
        <f t="shared" si="2"/>
        <v>4.8647271793526459</v>
      </c>
      <c r="I31">
        <f t="shared" si="4"/>
        <v>0.25739297245252096</v>
      </c>
    </row>
    <row r="32" spans="1:9" x14ac:dyDescent="0.25">
      <c r="B32" s="43" t="s">
        <v>370</v>
      </c>
      <c r="C32">
        <v>18.899999999999999</v>
      </c>
      <c r="D32">
        <v>6.4</v>
      </c>
      <c r="E32">
        <f t="shared" si="0"/>
        <v>6.4000000000000001E-2</v>
      </c>
      <c r="F32">
        <f t="shared" si="1"/>
        <v>22.369801632812781</v>
      </c>
      <c r="G32">
        <f t="shared" si="3"/>
        <v>1.1835873879795122</v>
      </c>
      <c r="H32">
        <f t="shared" si="2"/>
        <v>7.9831420379120344</v>
      </c>
      <c r="I32">
        <f t="shared" si="4"/>
        <v>0.42238846761439336</v>
      </c>
    </row>
    <row r="33" spans="1:9" x14ac:dyDescent="0.25">
      <c r="B33" s="43" t="s">
        <v>332</v>
      </c>
      <c r="C33">
        <v>16.7</v>
      </c>
      <c r="D33">
        <v>2.6</v>
      </c>
      <c r="E33">
        <f t="shared" si="0"/>
        <v>2.6000000000000002E-2</v>
      </c>
      <c r="F33">
        <f t="shared" si="1"/>
        <v>9.0877319133301935</v>
      </c>
      <c r="G33">
        <f t="shared" si="3"/>
        <v>0.54417556367246667</v>
      </c>
      <c r="H33">
        <f t="shared" si="2"/>
        <v>3.2431514529017642</v>
      </c>
      <c r="I33">
        <f t="shared" si="4"/>
        <v>0.19420068580250086</v>
      </c>
    </row>
    <row r="34" spans="1:9" x14ac:dyDescent="0.25">
      <c r="B34" s="43" t="s">
        <v>333</v>
      </c>
      <c r="C34">
        <v>18.600000000000001</v>
      </c>
      <c r="D34">
        <v>0</v>
      </c>
      <c r="E34">
        <f t="shared" si="0"/>
        <v>0</v>
      </c>
      <c r="F34">
        <f t="shared" si="1"/>
        <v>0</v>
      </c>
      <c r="G34">
        <f t="shared" si="3"/>
        <v>0</v>
      </c>
      <c r="H34">
        <f t="shared" si="2"/>
        <v>0</v>
      </c>
      <c r="I34">
        <f t="shared" si="4"/>
        <v>0</v>
      </c>
    </row>
    <row r="35" spans="1:9" x14ac:dyDescent="0.25">
      <c r="B35" s="43" t="s">
        <v>367</v>
      </c>
      <c r="C35">
        <v>18.3</v>
      </c>
      <c r="D35">
        <v>0</v>
      </c>
      <c r="E35">
        <f t="shared" si="0"/>
        <v>0</v>
      </c>
      <c r="F35">
        <f t="shared" si="1"/>
        <v>0</v>
      </c>
      <c r="G35">
        <f t="shared" si="3"/>
        <v>0</v>
      </c>
      <c r="H35">
        <f t="shared" si="2"/>
        <v>0</v>
      </c>
      <c r="I35">
        <f t="shared" si="4"/>
        <v>0</v>
      </c>
    </row>
    <row r="36" spans="1:9" x14ac:dyDescent="0.25">
      <c r="B36" s="43" t="s">
        <v>334</v>
      </c>
      <c r="C36">
        <v>19.7</v>
      </c>
      <c r="D36">
        <v>0</v>
      </c>
      <c r="E36">
        <f t="shared" si="0"/>
        <v>0</v>
      </c>
      <c r="F36">
        <f t="shared" si="1"/>
        <v>0</v>
      </c>
      <c r="G36">
        <f t="shared" si="3"/>
        <v>0</v>
      </c>
      <c r="H36">
        <f t="shared" si="2"/>
        <v>0</v>
      </c>
      <c r="I36">
        <f t="shared" si="4"/>
        <v>0</v>
      </c>
    </row>
    <row r="37" spans="1:9" x14ac:dyDescent="0.25">
      <c r="B37" s="43" t="s">
        <v>335</v>
      </c>
      <c r="C37">
        <v>21.5</v>
      </c>
      <c r="D37">
        <v>0</v>
      </c>
      <c r="E37">
        <f t="shared" si="0"/>
        <v>0</v>
      </c>
      <c r="F37">
        <f t="shared" si="1"/>
        <v>0</v>
      </c>
      <c r="G37">
        <f t="shared" si="3"/>
        <v>0</v>
      </c>
      <c r="H37">
        <f t="shared" si="2"/>
        <v>0</v>
      </c>
      <c r="I37">
        <f t="shared" si="4"/>
        <v>0</v>
      </c>
    </row>
    <row r="38" spans="1:9" x14ac:dyDescent="0.25">
      <c r="B38" s="43" t="s">
        <v>336</v>
      </c>
      <c r="C38">
        <v>17.100000000000001</v>
      </c>
      <c r="D38">
        <v>1.3</v>
      </c>
      <c r="E38">
        <f t="shared" si="0"/>
        <v>1.3000000000000001E-2</v>
      </c>
      <c r="F38">
        <f t="shared" si="1"/>
        <v>4.5438659566650967</v>
      </c>
      <c r="G38">
        <f t="shared" si="3"/>
        <v>0.26572315536053193</v>
      </c>
      <c r="H38">
        <f t="shared" si="2"/>
        <v>1.6215757264508821</v>
      </c>
      <c r="I38">
        <f t="shared" si="4"/>
        <v>9.4828989850928774E-2</v>
      </c>
    </row>
    <row r="39" spans="1:9" x14ac:dyDescent="0.25">
      <c r="B39" s="43" t="s">
        <v>371</v>
      </c>
      <c r="C39">
        <v>18.899999999999999</v>
      </c>
      <c r="D39">
        <v>2</v>
      </c>
      <c r="E39">
        <f t="shared" si="0"/>
        <v>0.02</v>
      </c>
      <c r="F39">
        <f t="shared" si="1"/>
        <v>6.990563010253994</v>
      </c>
      <c r="G39">
        <f t="shared" si="3"/>
        <v>0.3698710587435976</v>
      </c>
      <c r="H39">
        <f t="shared" si="2"/>
        <v>2.4947318868475108</v>
      </c>
      <c r="I39">
        <f t="shared" si="4"/>
        <v>0.13199639612949793</v>
      </c>
    </row>
    <row r="40" spans="1:9" x14ac:dyDescent="0.25">
      <c r="B40" s="43" t="s">
        <v>368</v>
      </c>
      <c r="C40">
        <v>15.5</v>
      </c>
      <c r="D40">
        <v>0</v>
      </c>
      <c r="E40">
        <f t="shared" si="0"/>
        <v>0</v>
      </c>
      <c r="F40">
        <f t="shared" si="1"/>
        <v>0</v>
      </c>
      <c r="G40">
        <f t="shared" si="3"/>
        <v>0</v>
      </c>
      <c r="H40">
        <f t="shared" si="2"/>
        <v>0</v>
      </c>
      <c r="I40">
        <f t="shared" si="4"/>
        <v>0</v>
      </c>
    </row>
    <row r="41" spans="1:9" x14ac:dyDescent="0.25">
      <c r="B41" s="43" t="s">
        <v>339</v>
      </c>
      <c r="C41">
        <v>18.7</v>
      </c>
      <c r="D41">
        <v>0</v>
      </c>
      <c r="E41">
        <f t="shared" si="0"/>
        <v>0</v>
      </c>
      <c r="F41">
        <f t="shared" si="1"/>
        <v>0</v>
      </c>
      <c r="G41">
        <f t="shared" si="3"/>
        <v>0</v>
      </c>
      <c r="H41">
        <f t="shared" si="2"/>
        <v>0</v>
      </c>
      <c r="I41">
        <f t="shared" si="4"/>
        <v>0</v>
      </c>
    </row>
    <row r="42" spans="1:9" x14ac:dyDescent="0.25">
      <c r="B42" s="43" t="s">
        <v>369</v>
      </c>
      <c r="C42">
        <v>19.100000000000001</v>
      </c>
      <c r="D42">
        <v>0.6</v>
      </c>
      <c r="E42">
        <f t="shared" si="0"/>
        <v>6.0000000000000001E-3</v>
      </c>
      <c r="F42">
        <f t="shared" si="1"/>
        <v>2.0971689030761982</v>
      </c>
      <c r="G42">
        <f t="shared" si="3"/>
        <v>0.10979941900922503</v>
      </c>
      <c r="H42">
        <f t="shared" si="2"/>
        <v>0.7484195660542533</v>
      </c>
      <c r="I42">
        <f t="shared" si="4"/>
        <v>3.9184270474044672E-2</v>
      </c>
    </row>
    <row r="43" spans="1:9" ht="15.75" thickBot="1" x14ac:dyDescent="0.3"/>
    <row r="44" spans="1:9" ht="15.75" thickBot="1" x14ac:dyDescent="0.3">
      <c r="A44" s="47" t="s">
        <v>362</v>
      </c>
      <c r="B44" s="47"/>
      <c r="C44" s="47" t="s">
        <v>361</v>
      </c>
      <c r="D44" s="47" t="s">
        <v>364</v>
      </c>
    </row>
    <row r="45" spans="1:9" ht="15.75" thickBot="1" x14ac:dyDescent="0.3">
      <c r="A45" s="47"/>
      <c r="B45" s="47" t="s">
        <v>216</v>
      </c>
      <c r="C45" s="47">
        <f>SUM(D27:D33)</f>
        <v>96.200000000000017</v>
      </c>
      <c r="D45" s="47">
        <f>SUM(G27:G33)</f>
        <v>18.014634233006451</v>
      </c>
    </row>
    <row r="46" spans="1:9" ht="15.75" thickBot="1" x14ac:dyDescent="0.3">
      <c r="A46" s="47"/>
      <c r="B46" s="47" t="s">
        <v>217</v>
      </c>
      <c r="C46" s="47">
        <f>SUM(D34:D35)</f>
        <v>0</v>
      </c>
      <c r="D46" s="47">
        <f>SUM(G34:G35)</f>
        <v>0</v>
      </c>
    </row>
    <row r="47" spans="1:9" ht="15.75" thickBot="1" x14ac:dyDescent="0.3">
      <c r="A47" s="47"/>
      <c r="B47" s="47" t="s">
        <v>341</v>
      </c>
      <c r="C47" s="47">
        <f>SUM(D36:D42)</f>
        <v>3.9</v>
      </c>
      <c r="D47" s="47">
        <f>SUM(G36:G42)</f>
        <v>0.7453936331133546</v>
      </c>
    </row>
    <row r="48" spans="1:9" ht="15.75" thickBot="1" x14ac:dyDescent="0.3">
      <c r="A48" s="47" t="s">
        <v>74</v>
      </c>
      <c r="B48" s="47"/>
      <c r="C48" s="47">
        <f>SUM(C45:C47)</f>
        <v>100.10000000000002</v>
      </c>
      <c r="D48" s="47">
        <f>SUM(D45:D47)</f>
        <v>18.760027866119806</v>
      </c>
    </row>
    <row r="49" spans="1:7" ht="15.75" thickBot="1" x14ac:dyDescent="0.3"/>
    <row r="50" spans="1:7" ht="15.75" thickBot="1" x14ac:dyDescent="0.3">
      <c r="A50" s="47" t="s">
        <v>363</v>
      </c>
      <c r="B50" s="47"/>
      <c r="C50" s="47" t="s">
        <v>361</v>
      </c>
      <c r="D50" s="47" t="s">
        <v>364</v>
      </c>
    </row>
    <row r="51" spans="1:7" ht="15.75" thickBot="1" x14ac:dyDescent="0.3">
      <c r="A51" s="47"/>
      <c r="B51" s="47" t="s">
        <v>216</v>
      </c>
      <c r="C51" s="47">
        <f>SUM(D27:D33)</f>
        <v>96.200000000000017</v>
      </c>
      <c r="D51" s="47">
        <f>SUM(I27:I33)</f>
        <v>6.428907426348057</v>
      </c>
    </row>
    <row r="52" spans="1:7" ht="15.75" thickBot="1" x14ac:dyDescent="0.3">
      <c r="A52" s="47"/>
      <c r="B52" s="47" t="s">
        <v>217</v>
      </c>
      <c r="C52" s="47">
        <f>SUM(D34:D35)</f>
        <v>0</v>
      </c>
      <c r="D52" s="47">
        <f>SUM(I34:I35)</f>
        <v>0</v>
      </c>
    </row>
    <row r="53" spans="1:7" ht="15.75" thickBot="1" x14ac:dyDescent="0.3">
      <c r="A53" s="47"/>
      <c r="B53" s="47" t="s">
        <v>341</v>
      </c>
      <c r="C53" s="47">
        <f>SUM(D35:D42)</f>
        <v>3.9</v>
      </c>
      <c r="D53" s="47">
        <f>SUM(I36:I42)</f>
        <v>0.26600965645447139</v>
      </c>
    </row>
    <row r="54" spans="1:7" ht="15.75" thickBot="1" x14ac:dyDescent="0.3">
      <c r="A54" s="47" t="s">
        <v>74</v>
      </c>
      <c r="B54" s="47"/>
      <c r="C54" s="47">
        <f>SUM(C51:C53)</f>
        <v>100.10000000000002</v>
      </c>
      <c r="D54" s="47">
        <f>SUM(D51:D53)</f>
        <v>6.6949170828025286</v>
      </c>
    </row>
    <row r="56" spans="1:7" x14ac:dyDescent="0.25">
      <c r="A56" s="2" t="s">
        <v>347</v>
      </c>
    </row>
    <row r="57" spans="1:7" x14ac:dyDescent="0.25">
      <c r="A57" s="2" t="s">
        <v>351</v>
      </c>
      <c r="B57" s="45">
        <f>'Data herd'!E83</f>
        <v>169.54526889775016</v>
      </c>
    </row>
    <row r="58" spans="1:7" x14ac:dyDescent="0.25">
      <c r="C58" t="s">
        <v>366</v>
      </c>
      <c r="D58" t="s">
        <v>343</v>
      </c>
      <c r="E58" t="s">
        <v>342</v>
      </c>
      <c r="G58" t="s">
        <v>344</v>
      </c>
    </row>
    <row r="59" spans="1:7" x14ac:dyDescent="0.25">
      <c r="B59" s="43" t="s">
        <v>326</v>
      </c>
      <c r="C59">
        <v>18.7</v>
      </c>
      <c r="D59">
        <v>57.7</v>
      </c>
      <c r="E59">
        <f t="shared" ref="E59:E74" si="5">D59/100</f>
        <v>0.57700000000000007</v>
      </c>
      <c r="F59">
        <f t="shared" ref="F59:F74" si="6">$B$57*E59</f>
        <v>97.827620154001849</v>
      </c>
      <c r="G59">
        <f>F59/C59</f>
        <v>5.2314235376471583</v>
      </c>
    </row>
    <row r="60" spans="1:7" x14ac:dyDescent="0.25">
      <c r="B60" s="43" t="s">
        <v>327</v>
      </c>
      <c r="C60">
        <f>(C63+C59)/2</f>
        <v>18.799999999999997</v>
      </c>
      <c r="D60">
        <v>17.3</v>
      </c>
      <c r="E60">
        <f t="shared" si="5"/>
        <v>0.17300000000000001</v>
      </c>
      <c r="F60">
        <f t="shared" si="6"/>
        <v>29.33133151931078</v>
      </c>
      <c r="G60">
        <f t="shared" ref="G60:G74" si="7">F60/C60</f>
        <v>1.5601772084739778</v>
      </c>
    </row>
    <row r="61" spans="1:7" x14ac:dyDescent="0.25">
      <c r="B61" s="43" t="s">
        <v>328</v>
      </c>
      <c r="C61">
        <v>18.5</v>
      </c>
      <c r="D61">
        <v>6.4</v>
      </c>
      <c r="E61">
        <f t="shared" si="5"/>
        <v>6.4000000000000001E-2</v>
      </c>
      <c r="F61">
        <f t="shared" si="6"/>
        <v>10.850897209456011</v>
      </c>
      <c r="G61">
        <f t="shared" si="7"/>
        <v>0.58653498429491957</v>
      </c>
    </row>
    <row r="62" spans="1:7" x14ac:dyDescent="0.25">
      <c r="B62" s="43" t="s">
        <v>329</v>
      </c>
      <c r="C62">
        <f>(C63+C61)/2</f>
        <v>18.7</v>
      </c>
      <c r="D62">
        <v>1.9</v>
      </c>
      <c r="E62">
        <f t="shared" si="5"/>
        <v>1.9E-2</v>
      </c>
      <c r="F62">
        <f t="shared" si="6"/>
        <v>3.2213601090572528</v>
      </c>
      <c r="G62">
        <f t="shared" si="7"/>
        <v>0.17226524647364988</v>
      </c>
    </row>
    <row r="63" spans="1:7" x14ac:dyDescent="0.25">
      <c r="B63" s="43" t="s">
        <v>330</v>
      </c>
      <c r="C63">
        <v>18.899999999999999</v>
      </c>
      <c r="D63">
        <v>3.9</v>
      </c>
      <c r="E63">
        <f t="shared" si="5"/>
        <v>3.9E-2</v>
      </c>
      <c r="F63">
        <f t="shared" si="6"/>
        <v>6.6122654870122561</v>
      </c>
      <c r="G63">
        <f t="shared" si="7"/>
        <v>0.34985531677313525</v>
      </c>
    </row>
    <row r="64" spans="1:7" x14ac:dyDescent="0.25">
      <c r="B64" s="43" t="s">
        <v>331</v>
      </c>
      <c r="C64">
        <v>18.899999999999999</v>
      </c>
      <c r="D64">
        <v>6.4</v>
      </c>
      <c r="E64">
        <f t="shared" si="5"/>
        <v>6.4000000000000001E-2</v>
      </c>
      <c r="F64">
        <f t="shared" si="6"/>
        <v>10.850897209456011</v>
      </c>
      <c r="G64">
        <f t="shared" si="7"/>
        <v>0.57412154547386307</v>
      </c>
    </row>
    <row r="65" spans="1:7" x14ac:dyDescent="0.25">
      <c r="B65" s="43" t="s">
        <v>332</v>
      </c>
      <c r="C65">
        <v>16.7</v>
      </c>
      <c r="D65">
        <v>2.6</v>
      </c>
      <c r="E65">
        <f t="shared" si="5"/>
        <v>2.6000000000000002E-2</v>
      </c>
      <c r="F65">
        <f t="shared" si="6"/>
        <v>4.408176991341505</v>
      </c>
      <c r="G65">
        <f t="shared" si="7"/>
        <v>0.26396269409230572</v>
      </c>
    </row>
    <row r="66" spans="1:7" x14ac:dyDescent="0.25">
      <c r="B66" s="43" t="s">
        <v>333</v>
      </c>
      <c r="C66">
        <v>18.600000000000001</v>
      </c>
      <c r="D66">
        <v>0</v>
      </c>
      <c r="E66">
        <f t="shared" si="5"/>
        <v>0</v>
      </c>
      <c r="F66">
        <f t="shared" si="6"/>
        <v>0</v>
      </c>
      <c r="G66">
        <f t="shared" si="7"/>
        <v>0</v>
      </c>
    </row>
    <row r="67" spans="1:7" x14ac:dyDescent="0.25">
      <c r="B67" s="43" t="s">
        <v>217</v>
      </c>
      <c r="C67">
        <v>18.3</v>
      </c>
      <c r="D67">
        <v>0</v>
      </c>
      <c r="E67">
        <f t="shared" si="5"/>
        <v>0</v>
      </c>
      <c r="F67">
        <f t="shared" si="6"/>
        <v>0</v>
      </c>
      <c r="G67">
        <f t="shared" si="7"/>
        <v>0</v>
      </c>
    </row>
    <row r="68" spans="1:7" x14ac:dyDescent="0.25">
      <c r="B68" s="43" t="s">
        <v>334</v>
      </c>
      <c r="C68">
        <v>19.7</v>
      </c>
      <c r="D68">
        <v>0</v>
      </c>
      <c r="E68">
        <f t="shared" si="5"/>
        <v>0</v>
      </c>
      <c r="F68">
        <f t="shared" si="6"/>
        <v>0</v>
      </c>
      <c r="G68">
        <f t="shared" si="7"/>
        <v>0</v>
      </c>
    </row>
    <row r="69" spans="1:7" x14ac:dyDescent="0.25">
      <c r="B69" s="43" t="s">
        <v>335</v>
      </c>
      <c r="C69">
        <v>21.5</v>
      </c>
      <c r="D69">
        <v>0</v>
      </c>
      <c r="E69">
        <f t="shared" si="5"/>
        <v>0</v>
      </c>
      <c r="F69">
        <f t="shared" si="6"/>
        <v>0</v>
      </c>
      <c r="G69">
        <f t="shared" si="7"/>
        <v>0</v>
      </c>
    </row>
    <row r="70" spans="1:7" x14ac:dyDescent="0.25">
      <c r="B70" s="43" t="s">
        <v>336</v>
      </c>
      <c r="C70">
        <v>17.100000000000001</v>
      </c>
      <c r="D70">
        <v>1.3</v>
      </c>
      <c r="E70">
        <f t="shared" si="5"/>
        <v>1.3000000000000001E-2</v>
      </c>
      <c r="F70">
        <f t="shared" si="6"/>
        <v>2.2040884956707525</v>
      </c>
      <c r="G70">
        <f t="shared" si="7"/>
        <v>0.128894064074313</v>
      </c>
    </row>
    <row r="71" spans="1:7" x14ac:dyDescent="0.25">
      <c r="B71" s="43" t="s">
        <v>337</v>
      </c>
      <c r="C71">
        <v>18.899999999999999</v>
      </c>
      <c r="D71">
        <v>0</v>
      </c>
      <c r="E71">
        <f t="shared" si="5"/>
        <v>0</v>
      </c>
      <c r="F71">
        <f t="shared" si="6"/>
        <v>0</v>
      </c>
      <c r="G71">
        <f t="shared" si="7"/>
        <v>0</v>
      </c>
    </row>
    <row r="72" spans="1:7" x14ac:dyDescent="0.25">
      <c r="B72" s="43" t="s">
        <v>338</v>
      </c>
      <c r="C72">
        <v>15.5</v>
      </c>
      <c r="D72">
        <v>0</v>
      </c>
      <c r="E72">
        <f t="shared" si="5"/>
        <v>0</v>
      </c>
      <c r="F72">
        <f t="shared" si="6"/>
        <v>0</v>
      </c>
      <c r="G72">
        <f t="shared" si="7"/>
        <v>0</v>
      </c>
    </row>
    <row r="73" spans="1:7" x14ac:dyDescent="0.25">
      <c r="B73" s="43" t="s">
        <v>339</v>
      </c>
      <c r="C73">
        <v>18.7</v>
      </c>
      <c r="D73">
        <v>0</v>
      </c>
      <c r="E73">
        <f t="shared" si="5"/>
        <v>0</v>
      </c>
      <c r="F73">
        <f t="shared" si="6"/>
        <v>0</v>
      </c>
      <c r="G73">
        <f t="shared" si="7"/>
        <v>0</v>
      </c>
    </row>
    <row r="74" spans="1:7" x14ac:dyDescent="0.25">
      <c r="B74" s="43" t="s">
        <v>340</v>
      </c>
      <c r="C74">
        <v>19.100000000000001</v>
      </c>
      <c r="D74">
        <v>2.6</v>
      </c>
      <c r="E74">
        <f t="shared" si="5"/>
        <v>2.6000000000000002E-2</v>
      </c>
      <c r="F74">
        <f t="shared" si="6"/>
        <v>4.408176991341505</v>
      </c>
      <c r="G74">
        <f t="shared" si="7"/>
        <v>0.23079460687651857</v>
      </c>
    </row>
    <row r="75" spans="1:7" ht="15.75" thickBot="1" x14ac:dyDescent="0.3">
      <c r="C75" s="48"/>
      <c r="D75" s="48"/>
    </row>
    <row r="76" spans="1:7" ht="15.75" thickBot="1" x14ac:dyDescent="0.3">
      <c r="A76" s="47" t="s">
        <v>365</v>
      </c>
      <c r="B76" s="47"/>
      <c r="C76" s="47" t="s">
        <v>361</v>
      </c>
      <c r="D76" s="47" t="s">
        <v>364</v>
      </c>
    </row>
    <row r="77" spans="1:7" ht="15.75" thickBot="1" x14ac:dyDescent="0.3">
      <c r="A77" s="47"/>
      <c r="B77" s="47" t="s">
        <v>216</v>
      </c>
      <c r="C77" s="47">
        <f>SUM(D59:D65)</f>
        <v>96.200000000000017</v>
      </c>
      <c r="D77" s="47">
        <f>SUM(G59:G65)</f>
        <v>8.7383405332290103</v>
      </c>
    </row>
    <row r="78" spans="1:7" ht="15.75" thickBot="1" x14ac:dyDescent="0.3">
      <c r="A78" s="47"/>
      <c r="B78" s="47" t="s">
        <v>217</v>
      </c>
      <c r="C78" s="47">
        <f>SUM(D66:D67)</f>
        <v>0</v>
      </c>
      <c r="D78" s="47">
        <f>SUM(G66:G67)</f>
        <v>0</v>
      </c>
    </row>
    <row r="79" spans="1:7" ht="15.75" thickBot="1" x14ac:dyDescent="0.3">
      <c r="A79" s="47"/>
      <c r="B79" s="47" t="s">
        <v>341</v>
      </c>
      <c r="C79" s="47">
        <f>SUM(D68:D74)</f>
        <v>3.9000000000000004</v>
      </c>
      <c r="D79" s="47">
        <f>SUM(G68:G74)</f>
        <v>0.35968867095083157</v>
      </c>
    </row>
    <row r="80" spans="1:7" ht="15.75" thickBot="1" x14ac:dyDescent="0.3">
      <c r="A80" s="47" t="s">
        <v>74</v>
      </c>
      <c r="B80" s="47"/>
      <c r="C80" s="47">
        <f>SUM(C77:C79)</f>
        <v>100.10000000000002</v>
      </c>
      <c r="D80" s="47">
        <f>SUM(D77:D79)</f>
        <v>9.0980292041798414</v>
      </c>
    </row>
    <row r="82" spans="1:7" x14ac:dyDescent="0.25">
      <c r="A82" s="2" t="s">
        <v>3</v>
      </c>
    </row>
    <row r="83" spans="1:7" x14ac:dyDescent="0.25">
      <c r="A83" s="2" t="s">
        <v>377</v>
      </c>
      <c r="B83" s="49">
        <f>'Data herd'!E84-C103</f>
        <v>54.295599705361965</v>
      </c>
    </row>
    <row r="84" spans="1:7" x14ac:dyDescent="0.25">
      <c r="A84" s="2" t="s">
        <v>352</v>
      </c>
      <c r="B84" s="49">
        <f>'Data herd'!E84</f>
        <v>77.795599705361965</v>
      </c>
    </row>
    <row r="85" spans="1:7" x14ac:dyDescent="0.25">
      <c r="C85" t="s">
        <v>366</v>
      </c>
      <c r="D85" t="s">
        <v>343</v>
      </c>
      <c r="E85" t="s">
        <v>342</v>
      </c>
      <c r="G85" t="s">
        <v>344</v>
      </c>
    </row>
    <row r="86" spans="1:7" x14ac:dyDescent="0.25">
      <c r="B86" s="43" t="s">
        <v>326</v>
      </c>
      <c r="C86">
        <v>18.7</v>
      </c>
      <c r="D86">
        <v>70.400000000000006</v>
      </c>
      <c r="E86">
        <f>D86/100</f>
        <v>0.70400000000000007</v>
      </c>
      <c r="F86">
        <f>$B$83*E86</f>
        <v>38.224102192574826</v>
      </c>
      <c r="G86">
        <f>F86/C86</f>
        <v>2.0440696359665682</v>
      </c>
    </row>
    <row r="87" spans="1:7" x14ac:dyDescent="0.25">
      <c r="B87" s="43" t="s">
        <v>327</v>
      </c>
      <c r="C87">
        <f>(C90+C86)/2</f>
        <v>18.799999999999997</v>
      </c>
      <c r="D87">
        <v>9.9</v>
      </c>
      <c r="E87">
        <f t="shared" ref="E87:E101" si="8">D87/100</f>
        <v>9.9000000000000005E-2</v>
      </c>
      <c r="F87">
        <f t="shared" ref="F87:F101" si="9">$B$83*E87</f>
        <v>5.375264370830835</v>
      </c>
      <c r="G87">
        <f t="shared" ref="G87:G101" si="10">F87/C87</f>
        <v>0.2859183175973849</v>
      </c>
    </row>
    <row r="88" spans="1:7" x14ac:dyDescent="0.25">
      <c r="B88" s="43" t="s">
        <v>328</v>
      </c>
      <c r="C88">
        <v>18.5</v>
      </c>
      <c r="D88">
        <v>3.7</v>
      </c>
      <c r="E88">
        <f t="shared" si="8"/>
        <v>3.7000000000000005E-2</v>
      </c>
      <c r="F88">
        <f t="shared" si="9"/>
        <v>2.0089371890983929</v>
      </c>
      <c r="G88">
        <f t="shared" si="10"/>
        <v>0.10859119941072394</v>
      </c>
    </row>
    <row r="89" spans="1:7" x14ac:dyDescent="0.25">
      <c r="B89" s="43" t="s">
        <v>329</v>
      </c>
      <c r="C89">
        <f>(C90+C88)/2</f>
        <v>18.7</v>
      </c>
      <c r="D89">
        <v>1.1000000000000001</v>
      </c>
      <c r="E89">
        <f t="shared" si="8"/>
        <v>1.1000000000000001E-2</v>
      </c>
      <c r="F89">
        <f t="shared" si="9"/>
        <v>0.59725159675898165</v>
      </c>
      <c r="G89">
        <f t="shared" si="10"/>
        <v>3.1938588061977628E-2</v>
      </c>
    </row>
    <row r="90" spans="1:7" x14ac:dyDescent="0.25">
      <c r="B90" s="43" t="s">
        <v>330</v>
      </c>
      <c r="C90">
        <v>18.899999999999999</v>
      </c>
      <c r="D90">
        <v>2.2000000000000002</v>
      </c>
      <c r="E90">
        <f t="shared" si="8"/>
        <v>2.2000000000000002E-2</v>
      </c>
      <c r="F90">
        <f t="shared" si="9"/>
        <v>1.1945031935179633</v>
      </c>
      <c r="G90">
        <f t="shared" si="10"/>
        <v>6.3201227170262608E-2</v>
      </c>
    </row>
    <row r="91" spans="1:7" x14ac:dyDescent="0.25">
      <c r="B91" s="43" t="s">
        <v>331</v>
      </c>
      <c r="C91">
        <v>18.899999999999999</v>
      </c>
      <c r="D91">
        <v>3.7</v>
      </c>
      <c r="E91">
        <f t="shared" si="8"/>
        <v>3.7000000000000005E-2</v>
      </c>
      <c r="F91">
        <f t="shared" si="9"/>
        <v>2.0089371890983929</v>
      </c>
      <c r="G91">
        <f t="shared" si="10"/>
        <v>0.10629297296816895</v>
      </c>
    </row>
    <row r="92" spans="1:7" x14ac:dyDescent="0.25">
      <c r="B92" s="43" t="s">
        <v>332</v>
      </c>
      <c r="C92">
        <v>16.7</v>
      </c>
      <c r="D92">
        <v>1.5</v>
      </c>
      <c r="E92">
        <f t="shared" si="8"/>
        <v>1.4999999999999999E-2</v>
      </c>
      <c r="F92">
        <f t="shared" si="9"/>
        <v>0.8144339955804295</v>
      </c>
      <c r="G92">
        <f t="shared" si="10"/>
        <v>4.8768502729367037E-2</v>
      </c>
    </row>
    <row r="93" spans="1:7" x14ac:dyDescent="0.25">
      <c r="B93" s="43" t="s">
        <v>333</v>
      </c>
      <c r="C93">
        <v>18.600000000000001</v>
      </c>
      <c r="D93">
        <v>0</v>
      </c>
      <c r="E93">
        <f t="shared" si="8"/>
        <v>0</v>
      </c>
      <c r="F93">
        <f t="shared" si="9"/>
        <v>0</v>
      </c>
      <c r="G93">
        <f t="shared" si="10"/>
        <v>0</v>
      </c>
    </row>
    <row r="94" spans="1:7" x14ac:dyDescent="0.25">
      <c r="B94" s="43" t="s">
        <v>217</v>
      </c>
      <c r="C94">
        <v>18.3</v>
      </c>
      <c r="D94">
        <v>5</v>
      </c>
      <c r="E94">
        <f t="shared" si="8"/>
        <v>0.05</v>
      </c>
      <c r="F94">
        <f t="shared" si="9"/>
        <v>2.7147799852680983</v>
      </c>
      <c r="G94">
        <f t="shared" si="10"/>
        <v>0.14834863307475946</v>
      </c>
    </row>
    <row r="95" spans="1:7" x14ac:dyDescent="0.25">
      <c r="B95" s="43" t="s">
        <v>334</v>
      </c>
      <c r="C95">
        <v>19.7</v>
      </c>
      <c r="D95">
        <v>0</v>
      </c>
      <c r="E95">
        <f t="shared" si="8"/>
        <v>0</v>
      </c>
      <c r="F95">
        <f t="shared" si="9"/>
        <v>0</v>
      </c>
      <c r="G95">
        <f t="shared" si="10"/>
        <v>0</v>
      </c>
    </row>
    <row r="96" spans="1:7" x14ac:dyDescent="0.25">
      <c r="B96" s="43" t="s">
        <v>335</v>
      </c>
      <c r="C96">
        <v>21.5</v>
      </c>
      <c r="D96">
        <v>0</v>
      </c>
      <c r="E96">
        <f t="shared" si="8"/>
        <v>0</v>
      </c>
      <c r="F96">
        <f t="shared" si="9"/>
        <v>0</v>
      </c>
      <c r="G96">
        <f t="shared" si="10"/>
        <v>0</v>
      </c>
    </row>
    <row r="97" spans="1:7" x14ac:dyDescent="0.25">
      <c r="B97" s="43" t="s">
        <v>336</v>
      </c>
      <c r="C97">
        <v>17.100000000000001</v>
      </c>
      <c r="D97">
        <v>0.7</v>
      </c>
      <c r="E97">
        <f t="shared" si="8"/>
        <v>6.9999999999999993E-3</v>
      </c>
      <c r="F97">
        <f t="shared" si="9"/>
        <v>0.38006919793753374</v>
      </c>
      <c r="G97">
        <f t="shared" si="10"/>
        <v>2.2226268885235888E-2</v>
      </c>
    </row>
    <row r="98" spans="1:7" x14ac:dyDescent="0.25">
      <c r="B98" s="43" t="s">
        <v>337</v>
      </c>
      <c r="C98">
        <v>18.899999999999999</v>
      </c>
      <c r="D98">
        <v>2</v>
      </c>
      <c r="E98">
        <f t="shared" si="8"/>
        <v>0.02</v>
      </c>
      <c r="F98">
        <f t="shared" si="9"/>
        <v>1.0859119941072393</v>
      </c>
      <c r="G98">
        <f t="shared" si="10"/>
        <v>5.7455661063875098E-2</v>
      </c>
    </row>
    <row r="99" spans="1:7" x14ac:dyDescent="0.25">
      <c r="B99" s="43" t="s">
        <v>338</v>
      </c>
      <c r="C99">
        <v>15.5</v>
      </c>
      <c r="D99">
        <v>0</v>
      </c>
      <c r="E99">
        <f t="shared" si="8"/>
        <v>0</v>
      </c>
      <c r="F99">
        <f t="shared" si="9"/>
        <v>0</v>
      </c>
      <c r="G99">
        <f t="shared" si="10"/>
        <v>0</v>
      </c>
    </row>
    <row r="100" spans="1:7" x14ac:dyDescent="0.25">
      <c r="B100" s="43" t="s">
        <v>339</v>
      </c>
      <c r="C100">
        <v>18.7</v>
      </c>
      <c r="D100">
        <v>0</v>
      </c>
      <c r="E100">
        <f t="shared" si="8"/>
        <v>0</v>
      </c>
      <c r="F100">
        <f t="shared" si="9"/>
        <v>0</v>
      </c>
      <c r="G100">
        <f t="shared" si="10"/>
        <v>0</v>
      </c>
    </row>
    <row r="101" spans="1:7" x14ac:dyDescent="0.25">
      <c r="B101" s="43" t="s">
        <v>340</v>
      </c>
      <c r="C101">
        <v>19.100000000000001</v>
      </c>
      <c r="D101">
        <v>0</v>
      </c>
      <c r="E101">
        <f t="shared" si="8"/>
        <v>0</v>
      </c>
      <c r="F101">
        <f t="shared" si="9"/>
        <v>0</v>
      </c>
      <c r="G101">
        <f t="shared" si="10"/>
        <v>0</v>
      </c>
    </row>
    <row r="102" spans="1:7" x14ac:dyDescent="0.25">
      <c r="B102" s="43"/>
    </row>
    <row r="103" spans="1:7" x14ac:dyDescent="0.25">
      <c r="B103" s="43" t="s">
        <v>376</v>
      </c>
      <c r="C103">
        <v>23.5</v>
      </c>
      <c r="D103">
        <f>(C103*100)/B83</f>
        <v>43.281592113401516</v>
      </c>
      <c r="E103">
        <f>D103/100</f>
        <v>0.43281592113401518</v>
      </c>
      <c r="F103">
        <f>B84*E103</f>
        <v>33.671174146649356</v>
      </c>
      <c r="G103">
        <f>F103/C103</f>
        <v>1.4328159211340152</v>
      </c>
    </row>
    <row r="104" spans="1:7" ht="15.75" thickBot="1" x14ac:dyDescent="0.3"/>
    <row r="105" spans="1:7" ht="15.75" thickBot="1" x14ac:dyDescent="0.3">
      <c r="A105" s="47" t="s">
        <v>3</v>
      </c>
      <c r="B105" s="47"/>
      <c r="C105" s="47" t="s">
        <v>361</v>
      </c>
      <c r="D105" s="47" t="s">
        <v>364</v>
      </c>
    </row>
    <row r="106" spans="1:7" ht="15.75" thickBot="1" x14ac:dyDescent="0.3">
      <c r="A106" s="47"/>
      <c r="B106" s="47" t="s">
        <v>216</v>
      </c>
      <c r="C106" s="47"/>
      <c r="D106" s="47">
        <f>SUM(G86:G92)</f>
        <v>2.6887804439044531</v>
      </c>
    </row>
    <row r="107" spans="1:7" ht="15.75" thickBot="1" x14ac:dyDescent="0.3">
      <c r="A107" s="47"/>
      <c r="B107" s="47" t="s">
        <v>217</v>
      </c>
      <c r="C107" s="47"/>
      <c r="D107" s="47">
        <f>SUM(G93:G94)</f>
        <v>0.14834863307475946</v>
      </c>
    </row>
    <row r="108" spans="1:7" ht="15.75" thickBot="1" x14ac:dyDescent="0.3">
      <c r="A108" s="47"/>
      <c r="B108" s="47" t="s">
        <v>341</v>
      </c>
      <c r="C108" s="47"/>
      <c r="D108" s="47">
        <f>SUM(G95:G101)</f>
        <v>7.9681929949110983E-2</v>
      </c>
    </row>
    <row r="109" spans="1:7" ht="15.75" thickBot="1" x14ac:dyDescent="0.3">
      <c r="A109" s="47"/>
      <c r="B109" s="47" t="s">
        <v>376</v>
      </c>
      <c r="C109" s="47"/>
      <c r="D109" s="47">
        <f>G103</f>
        <v>1.4328159211340152</v>
      </c>
    </row>
    <row r="110" spans="1:7" ht="15.75" thickBot="1" x14ac:dyDescent="0.3">
      <c r="A110" s="47" t="s">
        <v>74</v>
      </c>
      <c r="B110" s="47"/>
      <c r="C110" s="47"/>
      <c r="D110" s="47">
        <f>SUM(D106:D109)</f>
        <v>4.3496269280623387</v>
      </c>
    </row>
    <row r="116" spans="1:11" x14ac:dyDescent="0.25">
      <c r="A116" s="2" t="s">
        <v>345</v>
      </c>
    </row>
    <row r="117" spans="1:11" x14ac:dyDescent="0.25">
      <c r="A117" s="45" t="s">
        <v>353</v>
      </c>
      <c r="B117" s="45">
        <f>'Data herd'!E85</f>
        <v>107.32445747953835</v>
      </c>
    </row>
    <row r="118" spans="1:11" x14ac:dyDescent="0.25">
      <c r="A118" s="45" t="s">
        <v>354</v>
      </c>
      <c r="B118" s="45">
        <f>'Data herd'!E86</f>
        <v>110.78377209916093</v>
      </c>
    </row>
    <row r="119" spans="1:11" x14ac:dyDescent="0.25">
      <c r="C119" t="s">
        <v>366</v>
      </c>
      <c r="D119" t="s">
        <v>343</v>
      </c>
      <c r="E119" t="s">
        <v>342</v>
      </c>
      <c r="G119" t="s">
        <v>357</v>
      </c>
      <c r="I119" t="s">
        <v>375</v>
      </c>
      <c r="K119" t="s">
        <v>358</v>
      </c>
    </row>
    <row r="120" spans="1:11" x14ac:dyDescent="0.25">
      <c r="B120" s="43" t="s">
        <v>326</v>
      </c>
      <c r="C120">
        <v>18.7</v>
      </c>
      <c r="D120">
        <v>57.7</v>
      </c>
      <c r="E120">
        <f t="shared" ref="E120:E135" si="11">D120/100</f>
        <v>0.57700000000000007</v>
      </c>
      <c r="F120">
        <f t="shared" ref="F120:F135" si="12">$B$117*E120</f>
        <v>61.926211965693639</v>
      </c>
      <c r="G120">
        <f>F120/C120</f>
        <v>3.3115621372028685</v>
      </c>
      <c r="H120">
        <f>$B$118*E120</f>
        <v>63.922236501215863</v>
      </c>
      <c r="I120">
        <f>H120/C120</f>
        <v>3.4183014171773189</v>
      </c>
      <c r="J120">
        <f t="shared" ref="J120:J135" si="13">$B$118*E120</f>
        <v>63.922236501215863</v>
      </c>
      <c r="K120" t="e">
        <f>J120/#REF!</f>
        <v>#REF!</v>
      </c>
    </row>
    <row r="121" spans="1:11" x14ac:dyDescent="0.25">
      <c r="B121" s="43" t="s">
        <v>327</v>
      </c>
      <c r="C121">
        <f>(C124+C120)/2</f>
        <v>18.799999999999997</v>
      </c>
      <c r="D121">
        <v>17.3</v>
      </c>
      <c r="E121">
        <f t="shared" si="11"/>
        <v>0.17300000000000001</v>
      </c>
      <c r="F121">
        <f t="shared" si="12"/>
        <v>18.567131143960136</v>
      </c>
      <c r="G121">
        <f t="shared" ref="G121:G135" si="14">F121/C121</f>
        <v>0.98761335872128397</v>
      </c>
      <c r="H121">
        <f t="shared" ref="H121:H135" si="15">$B$118*E121</f>
        <v>19.165592573154843</v>
      </c>
      <c r="I121">
        <f t="shared" ref="I121:I135" si="16">H121/C121</f>
        <v>1.0194464134656833</v>
      </c>
      <c r="J121">
        <f t="shared" si="13"/>
        <v>19.165592573154843</v>
      </c>
      <c r="K121" t="e">
        <f>J121/#REF!</f>
        <v>#REF!</v>
      </c>
    </row>
    <row r="122" spans="1:11" x14ac:dyDescent="0.25">
      <c r="B122" s="43" t="s">
        <v>328</v>
      </c>
      <c r="C122">
        <v>18.5</v>
      </c>
      <c r="D122">
        <v>6.4</v>
      </c>
      <c r="E122">
        <f t="shared" si="11"/>
        <v>6.4000000000000001E-2</v>
      </c>
      <c r="F122">
        <f t="shared" si="12"/>
        <v>6.8687652786904545</v>
      </c>
      <c r="G122">
        <f t="shared" si="14"/>
        <v>0.3712846096589435</v>
      </c>
      <c r="H122">
        <f t="shared" si="15"/>
        <v>7.0901614143462997</v>
      </c>
      <c r="I122">
        <f t="shared" si="16"/>
        <v>0.3832519683430432</v>
      </c>
      <c r="J122">
        <f t="shared" si="13"/>
        <v>7.0901614143462997</v>
      </c>
      <c r="K122" t="e">
        <f>J122/#REF!</f>
        <v>#REF!</v>
      </c>
    </row>
    <row r="123" spans="1:11" x14ac:dyDescent="0.25">
      <c r="B123" s="43" t="s">
        <v>329</v>
      </c>
      <c r="C123">
        <f>(C124+C122)/2</f>
        <v>18.7</v>
      </c>
      <c r="D123">
        <v>1.9</v>
      </c>
      <c r="E123">
        <f t="shared" si="11"/>
        <v>1.9E-2</v>
      </c>
      <c r="F123">
        <f t="shared" si="12"/>
        <v>2.0391646921112287</v>
      </c>
      <c r="G123">
        <f t="shared" si="14"/>
        <v>0.10904624021985181</v>
      </c>
      <c r="H123">
        <f t="shared" si="15"/>
        <v>2.1048916698840574</v>
      </c>
      <c r="I123">
        <f t="shared" si="16"/>
        <v>0.11256105186545762</v>
      </c>
      <c r="J123">
        <f t="shared" si="13"/>
        <v>2.1048916698840574</v>
      </c>
      <c r="K123" t="e">
        <f>J123/#REF!</f>
        <v>#REF!</v>
      </c>
    </row>
    <row r="124" spans="1:11" x14ac:dyDescent="0.25">
      <c r="B124" s="43" t="s">
        <v>330</v>
      </c>
      <c r="C124">
        <v>18.899999999999999</v>
      </c>
      <c r="D124">
        <v>3.9</v>
      </c>
      <c r="E124">
        <f t="shared" si="11"/>
        <v>3.9E-2</v>
      </c>
      <c r="F124">
        <f t="shared" si="12"/>
        <v>4.1856538417019955</v>
      </c>
      <c r="G124">
        <f t="shared" si="14"/>
        <v>0.22146316622761883</v>
      </c>
      <c r="H124">
        <f t="shared" si="15"/>
        <v>4.3205671118672759</v>
      </c>
      <c r="I124">
        <f t="shared" si="16"/>
        <v>0.22860143449033207</v>
      </c>
      <c r="J124">
        <f t="shared" si="13"/>
        <v>4.3205671118672759</v>
      </c>
      <c r="K124" t="e">
        <f>J124/#REF!</f>
        <v>#REF!</v>
      </c>
    </row>
    <row r="125" spans="1:11" x14ac:dyDescent="0.25">
      <c r="B125" s="43" t="s">
        <v>331</v>
      </c>
      <c r="C125">
        <v>18.899999999999999</v>
      </c>
      <c r="D125">
        <v>6.4</v>
      </c>
      <c r="E125">
        <f t="shared" si="11"/>
        <v>6.4000000000000001E-2</v>
      </c>
      <c r="F125">
        <f t="shared" si="12"/>
        <v>6.8687652786904545</v>
      </c>
      <c r="G125">
        <f t="shared" si="14"/>
        <v>0.36342673432224631</v>
      </c>
      <c r="H125">
        <f t="shared" si="15"/>
        <v>7.0901614143462997</v>
      </c>
      <c r="I125">
        <f t="shared" si="16"/>
        <v>0.37514081557387829</v>
      </c>
      <c r="J125">
        <f t="shared" si="13"/>
        <v>7.0901614143462997</v>
      </c>
      <c r="K125" t="e">
        <f>J125/#REF!</f>
        <v>#REF!</v>
      </c>
    </row>
    <row r="126" spans="1:11" x14ac:dyDescent="0.25">
      <c r="B126" s="43" t="s">
        <v>332</v>
      </c>
      <c r="C126">
        <v>16.7</v>
      </c>
      <c r="D126">
        <v>2.6</v>
      </c>
      <c r="E126">
        <f t="shared" si="11"/>
        <v>2.6000000000000002E-2</v>
      </c>
      <c r="F126">
        <f t="shared" si="12"/>
        <v>2.7904358944679974</v>
      </c>
      <c r="G126">
        <f t="shared" si="14"/>
        <v>0.16709196972862261</v>
      </c>
      <c r="H126">
        <f t="shared" si="15"/>
        <v>2.8803780745781844</v>
      </c>
      <c r="I126">
        <f t="shared" si="16"/>
        <v>0.17247772901665775</v>
      </c>
      <c r="J126">
        <f t="shared" si="13"/>
        <v>2.8803780745781844</v>
      </c>
      <c r="K126" t="e">
        <f>J126/#REF!</f>
        <v>#REF!</v>
      </c>
    </row>
    <row r="127" spans="1:11" x14ac:dyDescent="0.25">
      <c r="B127" s="43" t="s">
        <v>333</v>
      </c>
      <c r="C127">
        <v>18.600000000000001</v>
      </c>
      <c r="D127">
        <v>0</v>
      </c>
      <c r="E127">
        <f t="shared" si="11"/>
        <v>0</v>
      </c>
      <c r="F127">
        <f t="shared" si="12"/>
        <v>0</v>
      </c>
      <c r="G127">
        <f t="shared" si="14"/>
        <v>0</v>
      </c>
      <c r="H127">
        <f t="shared" si="15"/>
        <v>0</v>
      </c>
      <c r="I127">
        <f t="shared" si="16"/>
        <v>0</v>
      </c>
      <c r="J127">
        <f t="shared" si="13"/>
        <v>0</v>
      </c>
      <c r="K127" t="e">
        <f>J127/#REF!</f>
        <v>#REF!</v>
      </c>
    </row>
    <row r="128" spans="1:11" x14ac:dyDescent="0.25">
      <c r="B128" s="43" t="s">
        <v>217</v>
      </c>
      <c r="C128">
        <v>18.3</v>
      </c>
      <c r="D128">
        <v>0</v>
      </c>
      <c r="E128">
        <f t="shared" si="11"/>
        <v>0</v>
      </c>
      <c r="F128">
        <f t="shared" si="12"/>
        <v>0</v>
      </c>
      <c r="G128">
        <f t="shared" si="14"/>
        <v>0</v>
      </c>
      <c r="H128">
        <f t="shared" si="15"/>
        <v>0</v>
      </c>
      <c r="I128">
        <f t="shared" si="16"/>
        <v>0</v>
      </c>
      <c r="J128">
        <f t="shared" si="13"/>
        <v>0</v>
      </c>
      <c r="K128" t="e">
        <f>J128/#REF!</f>
        <v>#REF!</v>
      </c>
    </row>
    <row r="129" spans="1:11" x14ac:dyDescent="0.25">
      <c r="B129" s="43" t="s">
        <v>334</v>
      </c>
      <c r="C129">
        <v>19.7</v>
      </c>
      <c r="D129">
        <v>0</v>
      </c>
      <c r="E129">
        <f t="shared" si="11"/>
        <v>0</v>
      </c>
      <c r="F129">
        <f t="shared" si="12"/>
        <v>0</v>
      </c>
      <c r="G129">
        <f t="shared" si="14"/>
        <v>0</v>
      </c>
      <c r="H129">
        <f t="shared" si="15"/>
        <v>0</v>
      </c>
      <c r="I129">
        <f t="shared" si="16"/>
        <v>0</v>
      </c>
      <c r="J129">
        <f t="shared" si="13"/>
        <v>0</v>
      </c>
      <c r="K129" t="e">
        <f>J129/#REF!</f>
        <v>#REF!</v>
      </c>
    </row>
    <row r="130" spans="1:11" x14ac:dyDescent="0.25">
      <c r="B130" s="43" t="s">
        <v>335</v>
      </c>
      <c r="C130">
        <v>21.5</v>
      </c>
      <c r="D130">
        <v>0</v>
      </c>
      <c r="E130">
        <f t="shared" si="11"/>
        <v>0</v>
      </c>
      <c r="F130">
        <f t="shared" si="12"/>
        <v>0</v>
      </c>
      <c r="G130">
        <f t="shared" si="14"/>
        <v>0</v>
      </c>
      <c r="H130">
        <f t="shared" si="15"/>
        <v>0</v>
      </c>
      <c r="I130">
        <f t="shared" si="16"/>
        <v>0</v>
      </c>
      <c r="J130">
        <f t="shared" si="13"/>
        <v>0</v>
      </c>
      <c r="K130" t="e">
        <f>J130/#REF!</f>
        <v>#REF!</v>
      </c>
    </row>
    <row r="131" spans="1:11" x14ac:dyDescent="0.25">
      <c r="B131" s="43" t="s">
        <v>336</v>
      </c>
      <c r="C131">
        <v>17.100000000000001</v>
      </c>
      <c r="D131">
        <v>1.3</v>
      </c>
      <c r="E131">
        <f t="shared" si="11"/>
        <v>1.3000000000000001E-2</v>
      </c>
      <c r="F131">
        <f t="shared" si="12"/>
        <v>1.3952179472339987</v>
      </c>
      <c r="G131">
        <f t="shared" si="14"/>
        <v>8.1591692820701667E-2</v>
      </c>
      <c r="H131">
        <f t="shared" si="15"/>
        <v>1.4401890372890922</v>
      </c>
      <c r="I131">
        <f t="shared" si="16"/>
        <v>8.4221581128017087E-2</v>
      </c>
      <c r="J131">
        <f t="shared" si="13"/>
        <v>1.4401890372890922</v>
      </c>
      <c r="K131" t="e">
        <f>J131/#REF!</f>
        <v>#REF!</v>
      </c>
    </row>
    <row r="132" spans="1:11" x14ac:dyDescent="0.25">
      <c r="B132" s="43" t="s">
        <v>337</v>
      </c>
      <c r="C132">
        <v>18.899999999999999</v>
      </c>
      <c r="D132">
        <v>0</v>
      </c>
      <c r="E132">
        <f t="shared" si="11"/>
        <v>0</v>
      </c>
      <c r="F132">
        <f t="shared" si="12"/>
        <v>0</v>
      </c>
      <c r="G132">
        <f t="shared" si="14"/>
        <v>0</v>
      </c>
      <c r="H132">
        <f t="shared" si="15"/>
        <v>0</v>
      </c>
      <c r="I132">
        <f t="shared" si="16"/>
        <v>0</v>
      </c>
      <c r="J132">
        <f t="shared" si="13"/>
        <v>0</v>
      </c>
      <c r="K132" t="e">
        <f>J132/#REF!</f>
        <v>#REF!</v>
      </c>
    </row>
    <row r="133" spans="1:11" x14ac:dyDescent="0.25">
      <c r="B133" s="43" t="s">
        <v>338</v>
      </c>
      <c r="C133">
        <v>15.5</v>
      </c>
      <c r="D133">
        <v>0</v>
      </c>
      <c r="E133">
        <f t="shared" si="11"/>
        <v>0</v>
      </c>
      <c r="F133">
        <f t="shared" si="12"/>
        <v>0</v>
      </c>
      <c r="G133">
        <f t="shared" si="14"/>
        <v>0</v>
      </c>
      <c r="H133">
        <f t="shared" si="15"/>
        <v>0</v>
      </c>
      <c r="I133">
        <f t="shared" si="16"/>
        <v>0</v>
      </c>
      <c r="J133">
        <f t="shared" si="13"/>
        <v>0</v>
      </c>
      <c r="K133" t="e">
        <f>J133/#REF!</f>
        <v>#REF!</v>
      </c>
    </row>
    <row r="134" spans="1:11" x14ac:dyDescent="0.25">
      <c r="B134" s="43" t="s">
        <v>339</v>
      </c>
      <c r="C134">
        <v>18.7</v>
      </c>
      <c r="D134">
        <v>0</v>
      </c>
      <c r="E134">
        <f t="shared" si="11"/>
        <v>0</v>
      </c>
      <c r="F134">
        <f t="shared" si="12"/>
        <v>0</v>
      </c>
      <c r="G134">
        <f t="shared" si="14"/>
        <v>0</v>
      </c>
      <c r="H134">
        <f t="shared" si="15"/>
        <v>0</v>
      </c>
      <c r="I134">
        <f t="shared" si="16"/>
        <v>0</v>
      </c>
      <c r="J134">
        <f t="shared" si="13"/>
        <v>0</v>
      </c>
      <c r="K134" t="e">
        <f>J134/#REF!</f>
        <v>#REF!</v>
      </c>
    </row>
    <row r="135" spans="1:11" x14ac:dyDescent="0.25">
      <c r="B135" s="43" t="s">
        <v>340</v>
      </c>
      <c r="C135">
        <v>19.100000000000001</v>
      </c>
      <c r="D135">
        <v>2.6</v>
      </c>
      <c r="E135">
        <f t="shared" si="11"/>
        <v>2.6000000000000002E-2</v>
      </c>
      <c r="F135">
        <f t="shared" si="12"/>
        <v>2.7904358944679974</v>
      </c>
      <c r="G135">
        <f t="shared" si="14"/>
        <v>0.14609612012921452</v>
      </c>
      <c r="H135">
        <f t="shared" si="15"/>
        <v>2.8803780745781844</v>
      </c>
      <c r="I135">
        <f t="shared" si="16"/>
        <v>0.15080513479466934</v>
      </c>
      <c r="J135">
        <f t="shared" si="13"/>
        <v>2.8803780745781844</v>
      </c>
      <c r="K135" t="e">
        <f>J135/#REF!</f>
        <v>#REF!</v>
      </c>
    </row>
    <row r="136" spans="1:11" ht="15.75" thickBot="1" x14ac:dyDescent="0.3"/>
    <row r="137" spans="1:11" ht="15.75" thickBot="1" x14ac:dyDescent="0.3">
      <c r="A137" s="47" t="s">
        <v>359</v>
      </c>
      <c r="B137" s="47"/>
      <c r="C137" s="47" t="s">
        <v>361</v>
      </c>
      <c r="D137" s="47" t="s">
        <v>364</v>
      </c>
    </row>
    <row r="138" spans="1:11" ht="15.75" thickBot="1" x14ac:dyDescent="0.3">
      <c r="A138" s="47"/>
      <c r="B138" s="47" t="s">
        <v>216</v>
      </c>
      <c r="C138" s="47">
        <f>SUM(D120:D126)</f>
        <v>96.200000000000017</v>
      </c>
      <c r="D138" s="47">
        <f>SUM(G120:G126)</f>
        <v>5.5314882160814367</v>
      </c>
    </row>
    <row r="139" spans="1:11" ht="15.75" thickBot="1" x14ac:dyDescent="0.3">
      <c r="A139" s="47"/>
      <c r="B139" s="47" t="s">
        <v>217</v>
      </c>
      <c r="C139" s="47">
        <f>SUM(D127:D128)</f>
        <v>0</v>
      </c>
      <c r="D139" s="47">
        <f>SUM(G127:G128)</f>
        <v>0</v>
      </c>
    </row>
    <row r="140" spans="1:11" ht="15.75" thickBot="1" x14ac:dyDescent="0.3">
      <c r="A140" s="47"/>
      <c r="B140" s="47" t="s">
        <v>341</v>
      </c>
      <c r="C140" s="47">
        <f>SUM(D129:D135)</f>
        <v>3.9000000000000004</v>
      </c>
      <c r="D140" s="47">
        <f>SUM(G129:G135)</f>
        <v>0.22768781294991619</v>
      </c>
    </row>
    <row r="141" spans="1:11" ht="15.75" thickBot="1" x14ac:dyDescent="0.3">
      <c r="A141" s="47" t="s">
        <v>74</v>
      </c>
      <c r="B141" s="47"/>
      <c r="C141" s="47">
        <f>SUM(C138:C140)</f>
        <v>100.10000000000002</v>
      </c>
      <c r="D141" s="47">
        <f>SUM(D138:D140)</f>
        <v>5.7591760290313525</v>
      </c>
    </row>
    <row r="143" spans="1:11" ht="15.75" thickBot="1" x14ac:dyDescent="0.3"/>
    <row r="144" spans="1:11" ht="15.75" thickBot="1" x14ac:dyDescent="0.3">
      <c r="A144" s="47" t="s">
        <v>360</v>
      </c>
      <c r="B144" s="47"/>
      <c r="C144" s="47" t="s">
        <v>361</v>
      </c>
      <c r="D144" s="47" t="s">
        <v>364</v>
      </c>
    </row>
    <row r="145" spans="1:4" ht="15.75" thickBot="1" x14ac:dyDescent="0.3">
      <c r="A145" s="47"/>
      <c r="B145" s="47" t="s">
        <v>216</v>
      </c>
      <c r="C145" s="47">
        <f>SUM(D120:D126)</f>
        <v>96.200000000000017</v>
      </c>
      <c r="D145" s="47">
        <f>SUM(I120:I126)</f>
        <v>5.7097808299323711</v>
      </c>
    </row>
    <row r="146" spans="1:4" ht="15.75" thickBot="1" x14ac:dyDescent="0.3">
      <c r="A146" s="47"/>
      <c r="B146" s="47" t="s">
        <v>217</v>
      </c>
      <c r="C146" s="47">
        <f>SUM(D127:D128)</f>
        <v>0</v>
      </c>
      <c r="D146" s="47">
        <f>SUM(I127:I128)</f>
        <v>0</v>
      </c>
    </row>
    <row r="147" spans="1:4" ht="15.75" thickBot="1" x14ac:dyDescent="0.3">
      <c r="A147" s="47"/>
      <c r="B147" s="47" t="s">
        <v>341</v>
      </c>
      <c r="C147" s="47">
        <f>SUM(D129:D135)</f>
        <v>3.9000000000000004</v>
      </c>
      <c r="D147" s="47">
        <f>SUM(I129:I135)</f>
        <v>0.23502671592268642</v>
      </c>
    </row>
    <row r="148" spans="1:4" ht="15.75" thickBot="1" x14ac:dyDescent="0.3">
      <c r="A148" s="47" t="s">
        <v>74</v>
      </c>
      <c r="B148" s="47"/>
      <c r="C148" s="47">
        <f>SUM(C145:C147)</f>
        <v>100.10000000000002</v>
      </c>
      <c r="D148" s="47">
        <f>SUM(D145:D147)</f>
        <v>5.944807545855058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zoomScale="40" zoomScaleNormal="40" workbookViewId="0">
      <selection activeCell="H24" sqref="H24:BF75"/>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2"/>
  <sheetViews>
    <sheetView topLeftCell="D24" zoomScale="50" zoomScaleNormal="50" workbookViewId="0">
      <selection activeCell="AT62" sqref="AT62"/>
    </sheetView>
  </sheetViews>
  <sheetFormatPr defaultRowHeight="15" x14ac:dyDescent="0.25"/>
  <sheetData>
    <row r="32" spans="1:1" x14ac:dyDescent="0.25">
      <c r="A32" s="3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30" zoomScaleNormal="30" workbookViewId="0">
      <selection activeCell="AR34" sqref="AR3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Data herd</vt:lpstr>
      <vt:lpstr>Input</vt:lpstr>
      <vt:lpstr>Output</vt:lpstr>
      <vt:lpstr>Import &amp; Export</vt:lpstr>
      <vt:lpstr>Coefficients</vt:lpstr>
      <vt:lpstr>SEM per week</vt:lpstr>
      <vt:lpstr>SEM per year (Statistics)</vt:lpstr>
      <vt:lpstr>SEM per year (Potential)</vt:lpstr>
      <vt:lpstr>SEM Total</vt:lpstr>
      <vt:lpstr>Database Box 1 Adult Cattle</vt:lpstr>
      <vt:lpstr>Database box 2 Calves</vt:lpstr>
      <vt:lpstr>Database box 3 Young Cattle</vt:lpstr>
      <vt:lpstr>Database Country Level</vt:lpstr>
      <vt:lpstr>Database</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Muscat, Abigail</dc:creator>
  <cp:lastModifiedBy>Muscat, Abigail</cp:lastModifiedBy>
  <dcterms:created xsi:type="dcterms:W3CDTF">2017-12-14T11:11:21Z</dcterms:created>
  <dcterms:modified xsi:type="dcterms:W3CDTF">2018-02-12T16:46:53Z</dcterms:modified>
</cp:coreProperties>
</file>