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gaot3_uw_edu/Documents/ChemE 486 Project/L2 Simulation/"/>
    </mc:Choice>
  </mc:AlternateContent>
  <xr:revisionPtr revIDLastSave="465" documentId="13_ncr:1_{09CA6E86-B6E7-4330-9935-D6D4DE9479DA}" xr6:coauthVersionLast="45" xr6:coauthVersionMax="45" xr10:uidLastSave="{6D098C44-E541-4DA7-AB34-0499678750C5}"/>
  <bookViews>
    <workbookView xWindow="-110" yWindow="-110" windowWidth="19420" windowHeight="10420" xr2:uid="{F8FC8645-616D-4581-B7A6-08ACF40E2B2A}"/>
  </bookViews>
  <sheets>
    <sheet name="Unit Specifications &amp; Results" sheetId="1" r:id="rId1"/>
    <sheet name="Utiliti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10" i="2"/>
  <c r="E3" i="2"/>
  <c r="D37" i="1" l="1"/>
  <c r="D35" i="1" l="1"/>
  <c r="D38" i="1" s="1"/>
  <c r="C14" i="1" l="1"/>
  <c r="C15" i="1"/>
  <c r="C16" i="1"/>
  <c r="C17" i="1"/>
  <c r="C18" i="1"/>
  <c r="C19" i="1"/>
  <c r="C20" i="1"/>
  <c r="C13" i="1"/>
  <c r="I44" i="1" l="1"/>
  <c r="B57" i="1"/>
  <c r="C57" i="1" s="1"/>
  <c r="D57" i="1" s="1"/>
  <c r="D14" i="1" l="1"/>
  <c r="D15" i="1"/>
  <c r="D16" i="1"/>
  <c r="D17" i="1"/>
  <c r="E17" i="1" s="1"/>
  <c r="D18" i="1"/>
  <c r="D19" i="1"/>
  <c r="E19" i="1" s="1"/>
  <c r="D20" i="1"/>
  <c r="E20" i="1" s="1"/>
  <c r="D13" i="1"/>
  <c r="E13" i="1" s="1"/>
  <c r="E14" i="1"/>
  <c r="E15" i="1"/>
  <c r="E16" i="1"/>
  <c r="E18" i="1"/>
  <c r="B38" i="1"/>
  <c r="B35" i="1"/>
  <c r="E50" i="1"/>
  <c r="B56" i="1" s="1"/>
  <c r="C56" i="1" s="1"/>
  <c r="D56" i="1" s="1"/>
  <c r="E49" i="1"/>
  <c r="B55" i="1" s="1"/>
  <c r="E48" i="1"/>
  <c r="B54" i="1" s="1"/>
  <c r="C54" i="1" s="1"/>
  <c r="D54" i="1" s="1"/>
  <c r="C55" i="1" l="1"/>
  <c r="D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tc={B03F5096-B4F1-4D46-8FFD-5D30075539A2}</author>
  </authors>
  <commentList>
    <comment ref="A57" authorId="0" shapeId="0" xr:uid="{B03F5096-B4F1-4D46-8FFD-5D30075539A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size this</t>
      </text>
    </comment>
  </commentList>
</comments>
</file>

<file path=xl/sharedStrings.xml><?xml version="1.0" encoding="utf-8"?>
<sst xmlns="http://schemas.openxmlformats.org/spreadsheetml/2006/main" count="156" uniqueCount="133">
  <si>
    <t>Heat Exchangers</t>
  </si>
  <si>
    <t>Heat Duty (MJ/hr)</t>
  </si>
  <si>
    <t>Temp stream 1 in (C)</t>
  </si>
  <si>
    <t>Temp stream 1 out (C)</t>
  </si>
  <si>
    <t>Temp stream 2 in (C)</t>
  </si>
  <si>
    <t>Temp stream 2 out (C)</t>
  </si>
  <si>
    <t>Max Pressure (bar)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</si>
  <si>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</si>
  <si>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</si>
  <si>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</si>
  <si>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</si>
  <si>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</si>
  <si>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</si>
  <si>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</si>
  <si>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</si>
  <si>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sizing heat exchangers:</t>
  </si>
  <si>
    <t>estimated U (W/m2*K)</t>
  </si>
  <si>
    <t>Heat Duty (W, J/s)</t>
  </si>
  <si>
    <t>log-mean temp (K)</t>
  </si>
  <si>
    <t>Area (m2)</t>
  </si>
  <si>
    <t>E-105 (condenser)</t>
  </si>
  <si>
    <t xml:space="preserve">E-108 </t>
  </si>
  <si>
    <t>Pumps</t>
  </si>
  <si>
    <t>efficiency</t>
  </si>
  <si>
    <t>net work (kW)</t>
  </si>
  <si>
    <t>max temperature (C)</t>
  </si>
  <si>
    <t>P-101</t>
  </si>
  <si>
    <t>Compressors</t>
  </si>
  <si>
    <t>Efficiency</t>
  </si>
  <si>
    <t>Work Required (kW) including efficiency</t>
  </si>
  <si>
    <t>Max Temperature (C)</t>
  </si>
  <si>
    <t>C-101</t>
  </si>
  <si>
    <t>C-102</t>
  </si>
  <si>
    <t>Electrolysis Unit</t>
  </si>
  <si>
    <t>Cathode: untreated iron ; Anode: nickel-plated iron</t>
  </si>
  <si>
    <t>Hydrogen Production (kmol/hr):</t>
  </si>
  <si>
    <t>Cell voltage (V):</t>
  </si>
  <si>
    <t>Hydrogen Production (kg/hr):</t>
  </si>
  <si>
    <t>Current Density (A/cm2):</t>
  </si>
  <si>
    <t>Hydrogen Production (m3/hr):</t>
  </si>
  <si>
    <t>Oxygen Production (kmol/hr):</t>
  </si>
  <si>
    <t>Oxygen Production (kg/hr):</t>
  </si>
  <si>
    <t>Oxygen Production (m3/hr):</t>
  </si>
  <si>
    <t>Temperatuer (C) :</t>
  </si>
  <si>
    <t>electrolyzer type:</t>
  </si>
  <si>
    <t xml:space="preserve"> Alkaline electrolyzer</t>
  </si>
  <si>
    <t>Assume using Norsk Hydro Brand</t>
  </si>
  <si>
    <t>Reactor (already sized)</t>
  </si>
  <si>
    <t>Residence Time (sec)</t>
  </si>
  <si>
    <t>length (m)</t>
  </si>
  <si>
    <t>diameter (m)</t>
  </si>
  <si>
    <t>bed voidage</t>
  </si>
  <si>
    <t>catalyst density (kg/m3)</t>
  </si>
  <si>
    <t>Max Temp (C)</t>
  </si>
  <si>
    <t>Vol m^3</t>
  </si>
  <si>
    <t>R-101</t>
  </si>
  <si>
    <t>Vessels</t>
  </si>
  <si>
    <t xml:space="preserve">Temperature (C) </t>
  </si>
  <si>
    <t>Pressure (bar)</t>
  </si>
  <si>
    <t>Flowrate in (kg/hr)</t>
  </si>
  <si>
    <t>Flowrate in (m3/min)</t>
  </si>
  <si>
    <t>Orientation</t>
  </si>
  <si>
    <t>L/D ratio</t>
  </si>
  <si>
    <t>hold up time (min)</t>
  </si>
  <si>
    <t>*assume vessels are half full</t>
  </si>
  <si>
    <t>V-101 (phase sep)</t>
  </si>
  <si>
    <t>vertical</t>
  </si>
  <si>
    <t>V-102 (phase sep)</t>
  </si>
  <si>
    <t>V-103 (phase sep)</t>
  </si>
  <si>
    <t>V-104 (ammonia storage tank)</t>
  </si>
  <si>
    <t>Sizing vessels:</t>
  </si>
  <si>
    <t>Volume (m3)</t>
  </si>
  <si>
    <t>V-104 (ammonia storage tank) assuming 85% storage capacity</t>
  </si>
  <si>
    <t>Absorber</t>
  </si>
  <si>
    <t>Temperature (C) :</t>
  </si>
  <si>
    <t>170 for absorption of ammonia, 400 for desorption of impurities</t>
  </si>
  <si>
    <t>Flowrate in (kg/hr):</t>
  </si>
  <si>
    <t>Absorbent Density (kg/m3):</t>
  </si>
  <si>
    <t>Flowrate out (ammonia), (kg/hr):</t>
  </si>
  <si>
    <t>Bed void fraction:</t>
  </si>
  <si>
    <t>Flowrate out (recycle), (kg/hr):</t>
  </si>
  <si>
    <t>total void fraction:</t>
  </si>
  <si>
    <t>Ammonia purity out (weight %):</t>
  </si>
  <si>
    <t>absorbent particle diameter (m):</t>
  </si>
  <si>
    <t>2*10^-4</t>
  </si>
  <si>
    <t>Absorbent:</t>
  </si>
  <si>
    <t>MgCl2</t>
  </si>
  <si>
    <t>Absorbent capacity:</t>
  </si>
  <si>
    <t>4.2 mol ammonia/kg MgCl2</t>
  </si>
  <si>
    <t>Absorber sizing (from absorber simulation paper):</t>
  </si>
  <si>
    <t>number of tubes:</t>
  </si>
  <si>
    <t>tube length (m):</t>
  </si>
  <si>
    <t>diameter length (m):</t>
  </si>
  <si>
    <t>PSA</t>
  </si>
  <si>
    <t>PSA sizing:</t>
  </si>
  <si>
    <t>CMS-240 can produce 240 L/hr*(kg adsorbent) at 0.8 Mpa and 99.5% purity</t>
  </si>
  <si>
    <t>Pressure (bar):</t>
  </si>
  <si>
    <t>N2 production rate (kg/hr):</t>
  </si>
  <si>
    <t>N2 purity (weight %):</t>
  </si>
  <si>
    <t>388 kg N2/hr = 310,152 L N2/hr</t>
  </si>
  <si>
    <t>Adsorbent:</t>
  </si>
  <si>
    <t>CMS-240</t>
  </si>
  <si>
    <t>310,152 L N2/hr / 240 L/hr*kg = 1292.3 kg adsorbent</t>
  </si>
  <si>
    <t>CMS-240 bulk density (kg/m3):</t>
  </si>
  <si>
    <t>1292.3 kg /676 kg/m3 = 1.92 m3 of CMS-240</t>
  </si>
  <si>
    <t>Assuming 80% bed saturation before switching towers and a porosity of 0.615, volume of tower is 1,92 m3/0.8/0.615 = 3.9 m3</t>
  </si>
  <si>
    <t>Assume height/diamter ratio of 9 and a cylindrical tower so D = 0.82 m and H = 7.38 m</t>
  </si>
  <si>
    <t>Utility stream number</t>
  </si>
  <si>
    <t xml:space="preserve">Temperature in to HeatX (C) </t>
  </si>
  <si>
    <t xml:space="preserve">Temperature out of HeatX (C) </t>
  </si>
  <si>
    <t>Flowrate (kg/hr):</t>
  </si>
  <si>
    <t>CW-1</t>
  </si>
  <si>
    <t>CW-2</t>
  </si>
  <si>
    <t>CW-3</t>
  </si>
  <si>
    <t>CW-4</t>
  </si>
  <si>
    <t>CW-5</t>
  </si>
  <si>
    <t>CW-6</t>
  </si>
  <si>
    <t>MPS-1</t>
  </si>
  <si>
    <t>Hydrogen Production by Water Electrolysis: A</t>
  </si>
  <si>
    <t>Review of Alkaline Water Electrolysis, PEM Water</t>
  </si>
  <si>
    <t>Electrolysis and High Temperature Water</t>
  </si>
  <si>
    <t xml:space="preserve">Electrolysis </t>
  </si>
  <si>
    <t>current (A):</t>
  </si>
  <si>
    <t>Area [cm^2]</t>
  </si>
  <si>
    <t>Operating electricity [kW]</t>
  </si>
  <si>
    <t>utility</t>
  </si>
  <si>
    <t>cooling water</t>
  </si>
  <si>
    <t>N/A</t>
  </si>
  <si>
    <t>MPS</t>
  </si>
  <si>
    <t>Operating electricity [kWh/kmol]</t>
  </si>
  <si>
    <t>C-103</t>
  </si>
  <si>
    <t>C-104</t>
  </si>
  <si>
    <t>Flowrate (tonne/hr):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</si>
</sst>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88899</xdr:colOff>
      <xdr:row>11</xdr:row>
      <xdr:rowOff>165101</xdr:rowOff>
    </xdr:from>
    <xdr:to>
      <xdr:col>7</xdr:col>
      <xdr:colOff>136524</xdr:colOff>
      <xdr:row>17</xdr:row>
      <xdr:rowOff>63499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E789D3-F9BC-4FA4-959C-6FC2C75AA38A}"/>
            </a:ext>
          </a:extLst>
        </xdr:cNvPr>
        <xdr:cNvSpPr txBox="1"/>
      </xdr:nvSpPr>
      <xdr:spPr>
        <a:xfrm>
          <a:off x="9637712" y="2228851"/>
          <a:ext cx="3024187" cy="993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</a:t>
          </a:r>
          <a:r>
            <a:rPr lang="en-US" sz="1100" b="1"/>
            <a:t>The unit</a:t>
          </a:r>
          <a:r>
            <a:rPr lang="en-US" sz="1100" b="1" baseline="0"/>
            <a:t> numbers correspond to the name in Aspen, not in the Visio PFD so we have to match these with the correct unit on our PFD</a:t>
          </a:r>
          <a:endParaRPr lang="en-US" sz="1100"/>
        </a:p>
      </xdr:txBody>
    </xdr:sp>
    <xdr:clientData/>
  </xdr:twoCellAnchor>
  <xdr:twoCellAnchor>
    <xdr:from>
      <xdr:col>2</xdr:col>
      <xdr:colOff>1919288</xdr:colOff>
      <xdr:row>72</xdr:row>
      <xdr:rowOff>73026</xdr:rowOff>
    </xdr:from>
    <xdr:to>
      <xdr:col>5</xdr:col>
      <xdr:colOff>301625</xdr:colOff>
      <xdr:row>75</xdr:row>
      <xdr:rowOff>166689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ED0A1299-2DFE-421C-AE4A-0D45B5CDE02A}"/>
            </a:ext>
            <a:ext uri="{147F2762-F138-4A5C-976F-8EAC2B608ADB}">
              <a16:predDERef xmlns:a16="http://schemas.microsoft.com/office/drawing/2014/main" pred="{BBE789D3-F9BC-4FA4-959C-6FC2C75AA38A}"/>
            </a:ext>
          </a:extLst>
        </xdr:cNvPr>
        <xdr:cNvSpPr txBox="1"/>
      </xdr:nvSpPr>
      <xdr:spPr>
        <a:xfrm>
          <a:off x="5434013" y="13084176"/>
          <a:ext cx="3983037" cy="636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*Absorber can be costed using correlation in this paper:</a:t>
          </a:r>
        </a:p>
        <a:p>
          <a:r>
            <a:rPr lang="en-US">
              <a:hlinkClick xmlns:r="http://schemas.openxmlformats.org/officeDocument/2006/relationships" r:id=""/>
            </a:rPr>
            <a:t>https://www.mdpi.com/2227-9717/6/7/91/htm#B17-processes-06-00091</a:t>
          </a:r>
          <a:endParaRPr lang="en-US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4</xdr:col>
      <xdr:colOff>41275</xdr:colOff>
      <xdr:row>79</xdr:row>
      <xdr:rowOff>9526</xdr:rowOff>
    </xdr:from>
    <xdr:to>
      <xdr:col>5</xdr:col>
      <xdr:colOff>682625</xdr:colOff>
      <xdr:row>82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D6ADD7-E42D-4790-A280-64FC518238B5}"/>
            </a:ext>
          </a:extLst>
        </xdr:cNvPr>
        <xdr:cNvSpPr txBox="1"/>
      </xdr:nvSpPr>
      <xdr:spPr>
        <a:xfrm>
          <a:off x="8232775" y="11145839"/>
          <a:ext cx="2617788" cy="585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*cost absorbers either using vendor quotes or as</a:t>
          </a:r>
          <a:r>
            <a:rPr lang="en-US" sz="1100" baseline="0"/>
            <a:t> a tower in capcost?</a:t>
          </a:r>
          <a:endParaRPr lang="en-US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857250</xdr:colOff>
      <xdr:row>52</xdr:row>
      <xdr:rowOff>47625</xdr:rowOff>
    </xdr:from>
    <xdr:to>
      <xdr:col>7</xdr:col>
      <xdr:colOff>904875</xdr:colOff>
      <xdr:row>57</xdr:row>
      <xdr:rowOff>128585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703647-9AF8-4A0C-B81B-486DA0E186F1}"/>
            </a:ext>
          </a:extLst>
        </xdr:cNvPr>
        <xdr:cNvSpPr txBox="1"/>
      </xdr:nvSpPr>
      <xdr:spPr>
        <a:xfrm>
          <a:off x="10406063" y="8905875"/>
          <a:ext cx="3024187" cy="993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</a:t>
          </a:r>
          <a:r>
            <a:rPr lang="en-US" sz="1100" b="1"/>
            <a:t>The unit</a:t>
          </a:r>
          <a:r>
            <a:rPr lang="en-US" sz="1100" b="1" baseline="0"/>
            <a:t> numbers correspond to the name in Aspen, not in the Visio PFD so we have to match these with the correct unit on our PFD</a:t>
          </a:r>
          <a:endParaRPr lang="en-US" sz="1100"/>
        </a:p>
      </xdr:txBody>
    </xdr:sp>
    <xdr:clientData/>
  </xdr:twoCellAnchor>
  <xdr:twoCellAnchor>
    <xdr:from>
      <xdr:col>4</xdr:col>
      <xdr:colOff>3175</xdr:colOff>
      <xdr:row>25</xdr:row>
      <xdr:rowOff>7940</xdr:rowOff>
    </xdr:from>
    <xdr:to>
      <xdr:col>6</xdr:col>
      <xdr:colOff>241299</xdr:colOff>
      <xdr:row>28</xdr:row>
      <xdr:rowOff>111126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D53A73-7903-4D50-BE39-653A7FC8D171}"/>
            </a:ext>
          </a:extLst>
        </xdr:cNvPr>
        <xdr:cNvSpPr txBox="1"/>
      </xdr:nvSpPr>
      <xdr:spPr>
        <a:xfrm>
          <a:off x="8194675" y="4738690"/>
          <a:ext cx="3024187" cy="650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</a:t>
          </a:r>
          <a:r>
            <a:rPr lang="en-US" sz="1100" b="1"/>
            <a:t>The unit</a:t>
          </a:r>
          <a:r>
            <a:rPr lang="en-US" sz="1100" b="1" baseline="0"/>
            <a:t> numbers correspond to the name in Visio PFD for compressors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0</xdr:row>
      <xdr:rowOff>150813</xdr:rowOff>
    </xdr:from>
    <xdr:to>
      <xdr:col>11</xdr:col>
      <xdr:colOff>15875</xdr:colOff>
      <xdr:row>5</xdr:row>
      <xdr:rowOff>166686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0FE38A-E01C-475E-B0D1-F8499337EE33}"/>
            </a:ext>
          </a:extLst>
        </xdr:cNvPr>
        <xdr:cNvSpPr txBox="1"/>
      </xdr:nvSpPr>
      <xdr:spPr>
        <a:xfrm>
          <a:off x="3746500" y="150813"/>
          <a:ext cx="2992438" cy="928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***</a:t>
          </a:r>
          <a:r>
            <a:rPr lang="en-US" sz="1100" b="1"/>
            <a:t>The utility stream numbers </a:t>
          </a:r>
          <a:r>
            <a:rPr lang="en-US" sz="1100" b="1" baseline="0"/>
            <a:t>correspond to the name in Aspen, not in the Visio PFD so we have to match these with the correct stream on our PFD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ra A Gao" id="{3C8733F6-B3BD-40F1-A9A1-8DD40A9924B7}" userId="Tora A Ga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" dT="2020-04-30T16:55:15.06" personId="{3C8733F6-B3BD-40F1-A9A1-8DD40A9924B7}" id="{B03F5096-B4F1-4D46-8FFD-5D30075539A2}">
    <text>need to size this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04osti/36734.pdf?fbclid=IwAR1r4eRmt-8RJuexlLq3DaIXFZUsyaEjV-ew4B7PL9UTzj6hchS0TW4bvh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24C3-9CA2-45AE-9A50-A0AB584DC666}">
  <dimension ref="A1:K97"/>
  <sheetViews>
    <sheetView tabSelected="1" topLeftCell="A70" zoomScale="80" zoomScaleNormal="80" workbookViewId="0">
      <selection activeCell="D54" sqref="D54"/>
    </sheetView>
  </sheetViews>
  <sheetFormatPr defaultRowHeight="14.5" x14ac:dyDescent="0.35"/>
  <cols>
    <col min="1" max="1" width="28.54296875" style="2" bestFit="1" customWidth="1"/>
    <col min="2" max="2" width="24.1796875" style="2" bestFit="1" customWidth="1"/>
    <col min="3" max="3" width="36.26953125" style="2" bestFit="1" customWidth="1"/>
    <col min="4" max="4" width="28.26953125" style="2" bestFit="1" customWidth="1"/>
    <col min="5" max="5" width="19.453125" style="2" bestFit="1" customWidth="1"/>
    <col min="6" max="6" width="20.453125" style="2" bestFit="1" customWidth="1"/>
    <col min="7" max="7" width="22.1796875" bestFit="1" customWidth="1"/>
    <col min="8" max="8" width="17.26953125" style="2" bestFit="1" customWidth="1"/>
    <col min="9" max="9" width="17.26953125" bestFit="1" customWidth="1"/>
  </cols>
  <sheetData>
    <row r="1" spans="1:11" ht="18.5" x14ac:dyDescent="0.45">
      <c r="A1" s="11" t="s">
        <v>0</v>
      </c>
      <c r="B1" s="15"/>
      <c r="C1" s="15"/>
      <c r="D1" s="15"/>
      <c r="E1" s="15"/>
      <c r="F1" s="15"/>
      <c r="H1" s="15"/>
    </row>
    <row r="2" spans="1:11" x14ac:dyDescent="0.35">
      <c r="A2" s="15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125</v>
      </c>
      <c r="I2" s="4"/>
      <c r="J2" s="4"/>
      <c r="K2" s="4"/>
    </row>
    <row r="3" spans="1:11" x14ac:dyDescent="0.35">
      <c r="A3" s="15" t="s">
        <v>7</v>
      </c>
      <c r="B3" s="15">
        <v>411.77</v>
      </c>
      <c r="C3" s="15">
        <v>49.43</v>
      </c>
      <c r="D3" s="15">
        <v>30</v>
      </c>
      <c r="E3" s="15">
        <v>332.51</v>
      </c>
      <c r="F3" s="15">
        <v>35</v>
      </c>
      <c r="G3" s="15">
        <v>8</v>
      </c>
      <c r="H3" s="15" t="s">
        <v>126</v>
      </c>
      <c r="I3" s="15"/>
      <c r="J3" s="15"/>
      <c r="K3" s="15"/>
    </row>
    <row r="4" spans="1:11" x14ac:dyDescent="0.35">
      <c r="A4" s="15" t="s">
        <v>8</v>
      </c>
      <c r="B4" s="15">
        <v>871.44</v>
      </c>
      <c r="C4" s="15">
        <v>382</v>
      </c>
      <c r="D4" s="15">
        <v>317.77</v>
      </c>
      <c r="E4" s="15">
        <v>468.18</v>
      </c>
      <c r="F4" s="15">
        <v>403.29</v>
      </c>
      <c r="G4" s="15">
        <v>30</v>
      </c>
      <c r="H4" s="15" t="s">
        <v>127</v>
      </c>
      <c r="I4" s="15"/>
      <c r="J4" s="15"/>
      <c r="K4" s="15"/>
    </row>
    <row r="5" spans="1:11" x14ac:dyDescent="0.35">
      <c r="A5" s="15" t="s">
        <v>9</v>
      </c>
      <c r="B5" s="15">
        <v>3081.96</v>
      </c>
      <c r="C5" s="15">
        <v>46.44</v>
      </c>
      <c r="D5" s="15">
        <v>30</v>
      </c>
      <c r="E5" s="15">
        <v>403.29</v>
      </c>
      <c r="F5" s="15">
        <v>170</v>
      </c>
      <c r="G5" s="15">
        <v>30</v>
      </c>
      <c r="H5" s="20" t="s">
        <v>126</v>
      </c>
      <c r="I5" s="15"/>
      <c r="J5" s="15"/>
      <c r="K5" s="15"/>
    </row>
    <row r="6" spans="1:11" x14ac:dyDescent="0.35">
      <c r="A6" s="15" t="s">
        <v>10</v>
      </c>
      <c r="B6" s="15">
        <v>486.14</v>
      </c>
      <c r="C6" s="15">
        <v>35.97</v>
      </c>
      <c r="D6" s="15">
        <v>30</v>
      </c>
      <c r="E6" s="15">
        <v>170</v>
      </c>
      <c r="F6" s="15">
        <v>130</v>
      </c>
      <c r="G6" s="15">
        <v>30</v>
      </c>
      <c r="H6" s="20" t="s">
        <v>126</v>
      </c>
      <c r="I6" s="15"/>
      <c r="J6" s="15"/>
      <c r="K6" s="15"/>
    </row>
    <row r="7" spans="1:11" x14ac:dyDescent="0.35">
      <c r="A7" s="15" t="s">
        <v>11</v>
      </c>
      <c r="B7" s="15">
        <v>791.99</v>
      </c>
      <c r="C7" s="15">
        <v>38.840000000000003</v>
      </c>
      <c r="D7" s="15">
        <v>30</v>
      </c>
      <c r="E7" s="15">
        <v>400</v>
      </c>
      <c r="F7" s="15">
        <v>32</v>
      </c>
      <c r="G7" s="15">
        <v>14</v>
      </c>
      <c r="H7" s="20" t="s">
        <v>126</v>
      </c>
      <c r="I7" s="15"/>
      <c r="J7" s="15"/>
      <c r="K7" s="15"/>
    </row>
    <row r="8" spans="1:11" x14ac:dyDescent="0.35">
      <c r="A8" s="15" t="s">
        <v>12</v>
      </c>
      <c r="B8" s="15">
        <v>337.19</v>
      </c>
      <c r="C8" s="15">
        <v>184</v>
      </c>
      <c r="D8" s="15">
        <v>180.4</v>
      </c>
      <c r="E8" s="15">
        <v>80</v>
      </c>
      <c r="F8" s="15">
        <v>19.7</v>
      </c>
      <c r="G8" s="15">
        <v>3</v>
      </c>
      <c r="H8" s="15" t="s">
        <v>128</v>
      </c>
      <c r="I8" s="15"/>
      <c r="J8" s="15"/>
      <c r="K8" s="15"/>
    </row>
    <row r="9" spans="1:11" x14ac:dyDescent="0.35">
      <c r="A9" s="15" t="s">
        <v>13</v>
      </c>
      <c r="B9" s="15">
        <v>888.18</v>
      </c>
      <c r="C9" s="15">
        <v>48.16</v>
      </c>
      <c r="D9" s="15">
        <v>30</v>
      </c>
      <c r="E9" s="15">
        <v>635</v>
      </c>
      <c r="F9" s="15">
        <v>35</v>
      </c>
      <c r="G9" s="15">
        <v>3</v>
      </c>
      <c r="H9" s="20" t="s">
        <v>126</v>
      </c>
      <c r="I9" s="15"/>
      <c r="J9" s="15"/>
      <c r="K9" s="15"/>
    </row>
    <row r="10" spans="1:11" x14ac:dyDescent="0.35">
      <c r="A10" s="15" t="s">
        <v>14</v>
      </c>
      <c r="B10" s="15">
        <v>747.6</v>
      </c>
      <c r="C10" s="15">
        <v>45.29</v>
      </c>
      <c r="D10" s="15">
        <v>30</v>
      </c>
      <c r="E10" s="15">
        <v>332.69</v>
      </c>
      <c r="F10" s="15">
        <v>35</v>
      </c>
      <c r="G10" s="15">
        <v>3</v>
      </c>
      <c r="H10" s="20" t="s">
        <v>126</v>
      </c>
      <c r="I10" s="15"/>
      <c r="J10" s="15"/>
      <c r="K10" s="15"/>
    </row>
    <row r="11" spans="1:11" x14ac:dyDescent="0.35">
      <c r="A11" s="15"/>
      <c r="B11" s="15"/>
      <c r="C11" s="15"/>
      <c r="D11" s="15"/>
      <c r="E11" s="15"/>
      <c r="F11" s="15"/>
      <c r="G11" s="15"/>
      <c r="H11" s="15"/>
    </row>
    <row r="12" spans="1:11" x14ac:dyDescent="0.35">
      <c r="A12" s="8" t="s">
        <v>15</v>
      </c>
      <c r="B12" s="4" t="s">
        <v>16</v>
      </c>
      <c r="C12" s="4" t="s">
        <v>17</v>
      </c>
      <c r="D12" s="4" t="s">
        <v>18</v>
      </c>
      <c r="E12" s="4" t="s">
        <v>19</v>
      </c>
      <c r="F12" s="15"/>
      <c r="G12" s="15"/>
      <c r="H12" s="15"/>
    </row>
    <row r="13" spans="1:11" x14ac:dyDescent="0.35">
      <c r="A13" s="15" t="s">
        <v>7</v>
      </c>
      <c r="B13" s="15">
        <v>60</v>
      </c>
      <c r="C13" s="10">
        <f>B3*10^6/3600</f>
        <v>114380.55555555556</v>
      </c>
      <c r="D13" s="9">
        <f>((C3-D3)-(E3-F3))/LN((C3-D3)/(E3-F3))</f>
        <v>101.91196437989237</v>
      </c>
      <c r="E13" s="14">
        <f>C13/B13/D13</f>
        <v>18.705778111453238</v>
      </c>
      <c r="F13" s="15"/>
      <c r="G13" s="15"/>
      <c r="H13" s="15"/>
    </row>
    <row r="14" spans="1:11" x14ac:dyDescent="0.35">
      <c r="A14" s="15" t="s">
        <v>8</v>
      </c>
      <c r="B14" s="15">
        <v>30</v>
      </c>
      <c r="C14" s="10">
        <f t="shared" ref="C14:C20" si="0">B4*10^6/3600</f>
        <v>242066.66666666666</v>
      </c>
      <c r="D14" s="9">
        <f t="shared" ref="D14:D20" si="1">((C4-D4)-(E4-F4))/LN((C4-D4)/(E4-F4))</f>
        <v>64.559437728424399</v>
      </c>
      <c r="E14" s="14">
        <f t="shared" ref="E14:E20" si="2">C14/B14/D14</f>
        <v>124.98387800140794</v>
      </c>
      <c r="F14" s="15"/>
      <c r="G14" s="15"/>
      <c r="H14" s="15"/>
    </row>
    <row r="15" spans="1:11" x14ac:dyDescent="0.35">
      <c r="A15" s="15" t="s">
        <v>9</v>
      </c>
      <c r="B15" s="15">
        <v>60</v>
      </c>
      <c r="C15" s="10">
        <f t="shared" si="0"/>
        <v>856100</v>
      </c>
      <c r="D15" s="9">
        <f t="shared" si="1"/>
        <v>81.751062128088449</v>
      </c>
      <c r="E15" s="14">
        <f t="shared" si="2"/>
        <v>174.53391995051459</v>
      </c>
      <c r="F15" s="15"/>
      <c r="G15" s="15"/>
      <c r="H15" s="15"/>
    </row>
    <row r="16" spans="1:11" x14ac:dyDescent="0.35">
      <c r="A16" s="15" t="s">
        <v>10</v>
      </c>
      <c r="B16" s="15">
        <v>60</v>
      </c>
      <c r="C16" s="10">
        <f t="shared" si="0"/>
        <v>135038.88888888888</v>
      </c>
      <c r="D16" s="9">
        <f t="shared" si="1"/>
        <v>17.890446392223701</v>
      </c>
      <c r="E16" s="14">
        <f t="shared" si="2"/>
        <v>125.80167642582799</v>
      </c>
      <c r="F16" s="15"/>
      <c r="G16" s="15"/>
      <c r="H16" s="15"/>
    </row>
    <row r="17" spans="1:8" x14ac:dyDescent="0.35">
      <c r="A17" s="15" t="s">
        <v>20</v>
      </c>
      <c r="B17" s="15">
        <v>850</v>
      </c>
      <c r="C17" s="10">
        <f t="shared" si="0"/>
        <v>219997.22222222222</v>
      </c>
      <c r="D17" s="9">
        <f t="shared" si="1"/>
        <v>96.320633811668543</v>
      </c>
      <c r="E17" s="14">
        <f t="shared" si="2"/>
        <v>2.6870697502257745</v>
      </c>
      <c r="F17" s="15"/>
      <c r="G17" s="15"/>
      <c r="H17" s="15"/>
    </row>
    <row r="18" spans="1:8" x14ac:dyDescent="0.35">
      <c r="A18" s="15" t="s">
        <v>12</v>
      </c>
      <c r="B18" s="15">
        <v>60</v>
      </c>
      <c r="C18" s="10">
        <f t="shared" si="0"/>
        <v>93663.888888888891</v>
      </c>
      <c r="D18" s="9">
        <f t="shared" si="1"/>
        <v>20.117809764324132</v>
      </c>
      <c r="E18" s="14">
        <f t="shared" si="2"/>
        <v>77.596161466002386</v>
      </c>
      <c r="F18" s="15"/>
      <c r="G18" s="15"/>
      <c r="H18" s="15"/>
    </row>
    <row r="19" spans="1:8" x14ac:dyDescent="0.35">
      <c r="A19" s="15" t="s">
        <v>13</v>
      </c>
      <c r="B19" s="15">
        <v>60</v>
      </c>
      <c r="C19" s="10">
        <f t="shared" si="0"/>
        <v>246716.66666666666</v>
      </c>
      <c r="D19" s="9">
        <f t="shared" si="1"/>
        <v>166.34892137435466</v>
      </c>
      <c r="E19" s="14">
        <f t="shared" si="2"/>
        <v>24.718792346064266</v>
      </c>
      <c r="F19" s="15"/>
      <c r="G19" s="15"/>
      <c r="H19" s="15"/>
    </row>
    <row r="20" spans="1:8" x14ac:dyDescent="0.35">
      <c r="A20" s="15" t="s">
        <v>21</v>
      </c>
      <c r="B20" s="15">
        <v>60</v>
      </c>
      <c r="C20" s="10">
        <f t="shared" si="0"/>
        <v>207666.66666666666</v>
      </c>
      <c r="D20" s="9">
        <f t="shared" si="1"/>
        <v>95.120889292449036</v>
      </c>
      <c r="E20" s="14">
        <f t="shared" si="2"/>
        <v>36.386446098815682</v>
      </c>
      <c r="F20" s="15"/>
      <c r="G20" s="15"/>
      <c r="H20" s="15"/>
    </row>
    <row r="21" spans="1:8" x14ac:dyDescent="0.35">
      <c r="A21" s="15"/>
      <c r="B21" s="15"/>
      <c r="C21" s="10"/>
      <c r="D21" s="9"/>
      <c r="E21" s="14"/>
      <c r="F21" s="15"/>
      <c r="G21" s="15"/>
      <c r="H21" s="15"/>
    </row>
    <row r="22" spans="1:8" ht="18.5" x14ac:dyDescent="0.45">
      <c r="A22" s="11" t="s">
        <v>22</v>
      </c>
      <c r="B22" s="4" t="s">
        <v>23</v>
      </c>
      <c r="C22" s="17" t="s">
        <v>24</v>
      </c>
      <c r="D22" s="18" t="s">
        <v>25</v>
      </c>
      <c r="E22" s="19" t="s">
        <v>6</v>
      </c>
      <c r="F22" s="15"/>
      <c r="G22" s="15"/>
      <c r="H22" s="15"/>
    </row>
    <row r="23" spans="1:8" x14ac:dyDescent="0.35">
      <c r="A23" s="15" t="s">
        <v>26</v>
      </c>
      <c r="B23" s="15">
        <v>0.4</v>
      </c>
      <c r="C23" s="7">
        <v>9.7000000000000003E-2</v>
      </c>
      <c r="D23" s="10">
        <v>20</v>
      </c>
      <c r="E23" s="14">
        <v>3</v>
      </c>
      <c r="F23" s="15"/>
      <c r="G23" s="15"/>
      <c r="H23" s="15"/>
    </row>
    <row r="25" spans="1:8" ht="18.5" x14ac:dyDescent="0.45">
      <c r="A25" s="11" t="s">
        <v>27</v>
      </c>
      <c r="B25" s="15"/>
      <c r="C25" s="15"/>
      <c r="D25" s="15"/>
      <c r="E25" s="15"/>
      <c r="F25" s="15"/>
      <c r="H25" s="15"/>
    </row>
    <row r="26" spans="1:8" x14ac:dyDescent="0.35">
      <c r="A26" s="1"/>
      <c r="B26" s="4" t="s">
        <v>28</v>
      </c>
      <c r="C26" s="4" t="s">
        <v>29</v>
      </c>
      <c r="D26" s="4" t="s">
        <v>30</v>
      </c>
      <c r="E26" s="4"/>
      <c r="F26" s="15"/>
      <c r="H26" s="15"/>
    </row>
    <row r="27" spans="1:8" x14ac:dyDescent="0.35">
      <c r="A27" s="15" t="s">
        <v>31</v>
      </c>
      <c r="B27" s="15">
        <v>0.9</v>
      </c>
      <c r="C27" s="15">
        <v>131</v>
      </c>
      <c r="D27" s="15">
        <v>332.5</v>
      </c>
      <c r="E27" s="15"/>
      <c r="F27" s="15"/>
      <c r="H27" s="15"/>
    </row>
    <row r="28" spans="1:8" x14ac:dyDescent="0.35">
      <c r="A28" s="15" t="s">
        <v>32</v>
      </c>
      <c r="B28" s="2">
        <v>0.72</v>
      </c>
      <c r="C28" s="2">
        <v>268</v>
      </c>
      <c r="D28" s="2">
        <v>635</v>
      </c>
      <c r="E28" s="15"/>
      <c r="F28" s="15"/>
      <c r="H28" s="15"/>
    </row>
    <row r="29" spans="1:8" x14ac:dyDescent="0.35">
      <c r="A29" s="21" t="s">
        <v>130</v>
      </c>
      <c r="B29" s="21">
        <v>0.72</v>
      </c>
      <c r="C29" s="21">
        <v>67.3</v>
      </c>
      <c r="D29" s="21">
        <v>332.7</v>
      </c>
      <c r="E29" s="21"/>
      <c r="F29" s="21"/>
      <c r="H29" s="21"/>
    </row>
    <row r="30" spans="1:8" x14ac:dyDescent="0.35">
      <c r="A30" s="21" t="s">
        <v>131</v>
      </c>
      <c r="B30" s="15">
        <v>0.72</v>
      </c>
      <c r="C30" s="15">
        <v>992.37</v>
      </c>
      <c r="D30" s="15">
        <v>317.77</v>
      </c>
      <c r="E30" s="21"/>
      <c r="F30" s="21"/>
      <c r="H30" s="21"/>
    </row>
    <row r="32" spans="1:8" ht="18.5" x14ac:dyDescent="0.45">
      <c r="A32" s="11" t="s">
        <v>33</v>
      </c>
      <c r="B32" s="15"/>
      <c r="C32" s="15"/>
      <c r="D32" s="15"/>
      <c r="E32" s="15" t="s">
        <v>34</v>
      </c>
      <c r="F32" s="15"/>
      <c r="H32" s="15"/>
    </row>
    <row r="33" spans="1:9" x14ac:dyDescent="0.35">
      <c r="A33" s="3" t="s">
        <v>35</v>
      </c>
      <c r="B33" s="15">
        <v>41.15</v>
      </c>
      <c r="C33" s="15" t="s">
        <v>36</v>
      </c>
      <c r="D33" s="15">
        <v>3.75</v>
      </c>
      <c r="E33" s="12" t="s">
        <v>118</v>
      </c>
      <c r="F33" s="15"/>
      <c r="H33" s="15"/>
    </row>
    <row r="34" spans="1:9" x14ac:dyDescent="0.35">
      <c r="A34" s="3" t="s">
        <v>37</v>
      </c>
      <c r="B34" s="15">
        <v>82.3</v>
      </c>
      <c r="C34" s="15" t="s">
        <v>38</v>
      </c>
      <c r="D34" s="15">
        <v>0.5</v>
      </c>
      <c r="E34" s="15" t="s">
        <v>119</v>
      </c>
      <c r="F34" s="15"/>
      <c r="H34" s="15"/>
    </row>
    <row r="35" spans="1:9" x14ac:dyDescent="0.35">
      <c r="A35" s="3" t="s">
        <v>39</v>
      </c>
      <c r="B35" s="9">
        <f>82.3/0.0899</f>
        <v>915.46162402669631</v>
      </c>
      <c r="C35" s="15" t="s">
        <v>122</v>
      </c>
      <c r="D35" s="15">
        <f>1000*(D37)/D33</f>
        <v>587073.33333333337</v>
      </c>
      <c r="E35" s="15" t="s">
        <v>120</v>
      </c>
      <c r="F35" s="15"/>
      <c r="H35" s="15"/>
    </row>
    <row r="36" spans="1:9" x14ac:dyDescent="0.35">
      <c r="A36" s="3" t="s">
        <v>40</v>
      </c>
      <c r="B36" s="15">
        <v>19.34</v>
      </c>
      <c r="C36" s="15" t="s">
        <v>129</v>
      </c>
      <c r="D36" s="15">
        <v>53.5</v>
      </c>
      <c r="E36" s="12" t="s">
        <v>121</v>
      </c>
      <c r="F36" s="15"/>
      <c r="H36" s="15"/>
    </row>
    <row r="37" spans="1:9" x14ac:dyDescent="0.35">
      <c r="A37" s="3" t="s">
        <v>41</v>
      </c>
      <c r="B37" s="15">
        <v>618.88</v>
      </c>
      <c r="C37" s="15" t="s">
        <v>124</v>
      </c>
      <c r="D37" s="15">
        <f>B33*D36</f>
        <v>2201.5250000000001</v>
      </c>
      <c r="E37" s="15"/>
      <c r="F37" s="15"/>
      <c r="H37" s="15"/>
    </row>
    <row r="38" spans="1:9" x14ac:dyDescent="0.35">
      <c r="A38" s="3" t="s">
        <v>42</v>
      </c>
      <c r="B38" s="9">
        <f>B37/1.429</f>
        <v>433.08607417774664</v>
      </c>
      <c r="C38" s="15" t="s">
        <v>123</v>
      </c>
      <c r="D38" s="15">
        <f>D35*2</f>
        <v>1174146.6666666667</v>
      </c>
      <c r="E38" s="15"/>
      <c r="F38" s="15"/>
      <c r="H38" s="15"/>
    </row>
    <row r="39" spans="1:9" x14ac:dyDescent="0.35">
      <c r="A39" s="3" t="s">
        <v>43</v>
      </c>
      <c r="B39" s="15">
        <v>80</v>
      </c>
      <c r="C39" s="15"/>
      <c r="D39" s="15"/>
      <c r="E39" s="15"/>
      <c r="F39" s="15"/>
      <c r="H39" s="15"/>
    </row>
    <row r="40" spans="1:9" x14ac:dyDescent="0.35">
      <c r="A40" s="3" t="s">
        <v>44</v>
      </c>
      <c r="B40" s="15" t="s">
        <v>45</v>
      </c>
      <c r="C40" s="15"/>
      <c r="D40" s="15"/>
      <c r="E40" s="15"/>
      <c r="F40" s="15"/>
      <c r="H40" s="15"/>
    </row>
    <row r="41" spans="1:9" x14ac:dyDescent="0.35">
      <c r="A41" s="3"/>
      <c r="B41" s="15" t="s">
        <v>46</v>
      </c>
      <c r="C41" s="15"/>
      <c r="D41" s="15"/>
      <c r="E41" s="15"/>
      <c r="F41" s="15"/>
      <c r="H41" s="15"/>
    </row>
    <row r="42" spans="1:9" ht="18.5" x14ac:dyDescent="0.45">
      <c r="A42" s="11" t="s">
        <v>47</v>
      </c>
      <c r="B42" s="15"/>
      <c r="C42" s="15"/>
      <c r="D42" s="15"/>
      <c r="E42" s="15"/>
      <c r="F42" s="15"/>
      <c r="H42" s="15"/>
    </row>
    <row r="43" spans="1:9" x14ac:dyDescent="0.35">
      <c r="A43" s="1"/>
      <c r="B43" s="4" t="s">
        <v>48</v>
      </c>
      <c r="C43" s="4" t="s">
        <v>49</v>
      </c>
      <c r="D43" s="4" t="s">
        <v>50</v>
      </c>
      <c r="E43" s="4" t="s">
        <v>51</v>
      </c>
      <c r="F43" s="5" t="s">
        <v>52</v>
      </c>
      <c r="G43" s="4" t="s">
        <v>53</v>
      </c>
      <c r="H43" s="5" t="s">
        <v>6</v>
      </c>
      <c r="I43" t="s">
        <v>54</v>
      </c>
    </row>
    <row r="44" spans="1:9" x14ac:dyDescent="0.35">
      <c r="A44" s="15" t="s">
        <v>55</v>
      </c>
      <c r="B44" s="15">
        <v>6.12</v>
      </c>
      <c r="C44" s="15">
        <v>2.68</v>
      </c>
      <c r="D44" s="15">
        <v>1.33</v>
      </c>
      <c r="E44" s="15">
        <v>0.4</v>
      </c>
      <c r="F44" s="15">
        <v>3000</v>
      </c>
      <c r="G44" s="15">
        <v>468.18</v>
      </c>
      <c r="H44" s="15">
        <v>30</v>
      </c>
      <c r="I44" s="15">
        <f>(D44/2)^2*PI()*C44</f>
        <v>3.7232993741064404</v>
      </c>
    </row>
    <row r="46" spans="1:9" ht="18.5" x14ac:dyDescent="0.45">
      <c r="A46" s="11" t="s">
        <v>56</v>
      </c>
      <c r="B46" s="15"/>
      <c r="C46" s="15"/>
      <c r="D46" s="15"/>
      <c r="E46" s="15"/>
      <c r="F46" s="15"/>
      <c r="H46" s="15"/>
    </row>
    <row r="47" spans="1:9" x14ac:dyDescent="0.35">
      <c r="A47" s="1"/>
      <c r="B47" s="4" t="s">
        <v>57</v>
      </c>
      <c r="C47" s="4" t="s">
        <v>58</v>
      </c>
      <c r="D47" s="4" t="s">
        <v>59</v>
      </c>
      <c r="E47" s="4" t="s">
        <v>60</v>
      </c>
      <c r="F47" s="4" t="s">
        <v>61</v>
      </c>
      <c r="G47" s="4" t="s">
        <v>62</v>
      </c>
      <c r="H47" s="4" t="s">
        <v>63</v>
      </c>
      <c r="I47" s="24" t="s">
        <v>64</v>
      </c>
    </row>
    <row r="48" spans="1:9" x14ac:dyDescent="0.35">
      <c r="A48" s="15" t="s">
        <v>65</v>
      </c>
      <c r="B48" s="15">
        <v>32</v>
      </c>
      <c r="C48" s="15">
        <v>13.8</v>
      </c>
      <c r="D48" s="15">
        <v>377.78</v>
      </c>
      <c r="E48" s="6">
        <f>1.25/60</f>
        <v>2.0833333333333332E-2</v>
      </c>
      <c r="F48" s="15" t="s">
        <v>66</v>
      </c>
      <c r="G48" s="15">
        <v>3</v>
      </c>
      <c r="H48" s="15">
        <v>5</v>
      </c>
      <c r="I48" s="25"/>
    </row>
    <row r="49" spans="1:8" x14ac:dyDescent="0.35">
      <c r="A49" s="15" t="s">
        <v>67</v>
      </c>
      <c r="B49" s="15">
        <v>35</v>
      </c>
      <c r="C49" s="15">
        <v>15</v>
      </c>
      <c r="D49" s="15">
        <v>128</v>
      </c>
      <c r="E49" s="14">
        <f>1107/60</f>
        <v>18.45</v>
      </c>
      <c r="F49" s="15" t="s">
        <v>66</v>
      </c>
      <c r="G49" s="15">
        <v>3</v>
      </c>
      <c r="H49" s="15">
        <v>5</v>
      </c>
    </row>
    <row r="50" spans="1:8" x14ac:dyDescent="0.35">
      <c r="A50" s="15" t="s">
        <v>68</v>
      </c>
      <c r="B50" s="15">
        <v>35</v>
      </c>
      <c r="C50" s="15">
        <v>5</v>
      </c>
      <c r="D50" s="15">
        <v>806.16</v>
      </c>
      <c r="E50" s="14">
        <f>520/60</f>
        <v>8.6666666666666661</v>
      </c>
      <c r="F50" s="15" t="s">
        <v>66</v>
      </c>
      <c r="G50" s="15">
        <v>3</v>
      </c>
      <c r="H50" s="15">
        <v>5</v>
      </c>
    </row>
    <row r="51" spans="1:8" x14ac:dyDescent="0.35">
      <c r="A51" s="15" t="s">
        <v>69</v>
      </c>
      <c r="B51" s="15">
        <v>32</v>
      </c>
      <c r="C51" s="15">
        <v>13.8</v>
      </c>
      <c r="D51" s="15"/>
      <c r="E51" s="14"/>
      <c r="F51" s="15"/>
      <c r="G51" s="15"/>
      <c r="H51" s="15"/>
    </row>
    <row r="52" spans="1:8" x14ac:dyDescent="0.35">
      <c r="A52" s="15"/>
      <c r="B52" s="15"/>
      <c r="C52" s="15"/>
      <c r="D52" s="15"/>
      <c r="E52" s="15"/>
      <c r="F52" s="15"/>
      <c r="G52" s="15"/>
      <c r="H52" s="15"/>
    </row>
    <row r="53" spans="1:8" x14ac:dyDescent="0.35">
      <c r="A53" s="8" t="s">
        <v>70</v>
      </c>
      <c r="B53" s="4" t="s">
        <v>71</v>
      </c>
      <c r="C53" s="4" t="s">
        <v>50</v>
      </c>
      <c r="D53" s="4" t="s">
        <v>49</v>
      </c>
      <c r="E53" s="15"/>
      <c r="F53" s="15"/>
      <c r="G53" s="15"/>
      <c r="H53" s="15"/>
    </row>
    <row r="54" spans="1:8" x14ac:dyDescent="0.35">
      <c r="A54" s="15" t="s">
        <v>65</v>
      </c>
      <c r="B54" s="7">
        <f>E48*H48*2</f>
        <v>0.20833333333333331</v>
      </c>
      <c r="C54" s="14">
        <f>(4*B54/3/3.14)^(1/3)</f>
        <v>0.44557684807581777</v>
      </c>
      <c r="D54" s="14">
        <f>3*C54</f>
        <v>1.3367305442274533</v>
      </c>
      <c r="E54" s="15"/>
      <c r="F54" s="15"/>
      <c r="G54" s="15"/>
      <c r="H54" s="15"/>
    </row>
    <row r="55" spans="1:8" x14ac:dyDescent="0.35">
      <c r="A55" s="15" t="s">
        <v>67</v>
      </c>
      <c r="B55" s="15">
        <f>E49*H49*2</f>
        <v>184.5</v>
      </c>
      <c r="C55" s="14">
        <f>(4*B55/3/3.14)^(1/3)</f>
        <v>4.2789297161596309</v>
      </c>
      <c r="D55" s="14">
        <f t="shared" ref="D55:D57" si="3">3*C55</f>
        <v>12.836789148478893</v>
      </c>
      <c r="E55" s="15"/>
      <c r="F55" s="15"/>
      <c r="G55" s="15"/>
      <c r="H55" s="15"/>
    </row>
    <row r="56" spans="1:8" x14ac:dyDescent="0.35">
      <c r="A56" s="15" t="s">
        <v>68</v>
      </c>
      <c r="B56" s="14">
        <f>E50*H50*2</f>
        <v>86.666666666666657</v>
      </c>
      <c r="C56" s="14">
        <f t="shared" ref="C56:C57" si="4">(4*B56/3/3.14)^(1/3)</f>
        <v>3.3262411133249077</v>
      </c>
      <c r="D56" s="14">
        <f t="shared" si="3"/>
        <v>9.9787233399747226</v>
      </c>
      <c r="E56" s="15"/>
      <c r="F56" s="15"/>
      <c r="G56" s="15"/>
      <c r="H56" s="15"/>
    </row>
    <row r="57" spans="1:8" x14ac:dyDescent="0.35">
      <c r="A57" s="23" t="s">
        <v>72</v>
      </c>
      <c r="B57" s="27">
        <f>10.5*0.001*60*0.85*24</f>
        <v>12.852</v>
      </c>
      <c r="C57" s="14">
        <f t="shared" si="4"/>
        <v>1.7605969093581615</v>
      </c>
      <c r="D57" s="14">
        <f t="shared" si="3"/>
        <v>5.2817907280744842</v>
      </c>
      <c r="E57" s="15"/>
      <c r="F57" s="15"/>
      <c r="G57" s="15"/>
      <c r="H57" s="15"/>
    </row>
    <row r="58" spans="1:8" x14ac:dyDescent="0.35">
      <c r="A58" s="23"/>
      <c r="B58" s="28"/>
      <c r="C58" s="14"/>
      <c r="D58" s="14"/>
      <c r="E58" s="15"/>
      <c r="F58" s="15"/>
      <c r="G58" s="15"/>
      <c r="H58" s="15"/>
    </row>
    <row r="60" spans="1:8" ht="18.5" x14ac:dyDescent="0.45">
      <c r="A60" s="11" t="s">
        <v>73</v>
      </c>
      <c r="B60" s="15"/>
      <c r="C60" s="15"/>
      <c r="D60" s="15"/>
      <c r="E60" s="15"/>
      <c r="F60" s="15"/>
      <c r="H60" s="15"/>
    </row>
    <row r="61" spans="1:8" x14ac:dyDescent="0.35">
      <c r="A61" s="3" t="s">
        <v>74</v>
      </c>
      <c r="B61" s="23" t="s">
        <v>75</v>
      </c>
      <c r="C61" s="15"/>
      <c r="D61" s="15"/>
      <c r="E61" s="15"/>
      <c r="F61" s="15"/>
      <c r="H61" s="15"/>
    </row>
    <row r="62" spans="1:8" x14ac:dyDescent="0.35">
      <c r="A62" s="3"/>
      <c r="B62" s="23"/>
      <c r="C62" s="15"/>
      <c r="D62" s="15"/>
      <c r="E62" s="15"/>
      <c r="F62" s="15"/>
      <c r="H62" s="15"/>
    </row>
    <row r="63" spans="1:8" x14ac:dyDescent="0.35">
      <c r="A63" s="3"/>
      <c r="B63" s="23"/>
      <c r="C63" s="15"/>
      <c r="D63" s="15"/>
      <c r="E63" s="15"/>
      <c r="F63" s="15"/>
      <c r="H63" s="15"/>
    </row>
    <row r="64" spans="1:8" x14ac:dyDescent="0.35">
      <c r="A64" s="3" t="s">
        <v>58</v>
      </c>
      <c r="B64" s="15">
        <v>13.8</v>
      </c>
      <c r="C64" s="15"/>
      <c r="D64" s="15"/>
      <c r="E64" s="15"/>
      <c r="F64" s="15"/>
      <c r="H64" s="15"/>
    </row>
    <row r="65" spans="1:8" x14ac:dyDescent="0.35">
      <c r="A65" s="15" t="s">
        <v>76</v>
      </c>
      <c r="B65" s="15">
        <v>4753.09</v>
      </c>
      <c r="C65" s="15"/>
      <c r="D65" s="15" t="s">
        <v>77</v>
      </c>
      <c r="E65" s="15">
        <v>2507</v>
      </c>
      <c r="F65" s="15"/>
      <c r="H65" s="15"/>
    </row>
    <row r="66" spans="1:8" x14ac:dyDescent="0.35">
      <c r="A66" s="15" t="s">
        <v>78</v>
      </c>
      <c r="B66" s="15">
        <v>377.78</v>
      </c>
      <c r="C66" s="15"/>
      <c r="D66" s="15" t="s">
        <v>79</v>
      </c>
      <c r="E66" s="15">
        <v>0.32</v>
      </c>
      <c r="F66" s="15"/>
      <c r="H66" s="15"/>
    </row>
    <row r="67" spans="1:8" x14ac:dyDescent="0.35">
      <c r="A67" s="15" t="s">
        <v>80</v>
      </c>
      <c r="B67" s="15">
        <v>4375.3100000000004</v>
      </c>
      <c r="C67" s="15"/>
      <c r="D67" s="15" t="s">
        <v>81</v>
      </c>
      <c r="E67" s="15">
        <v>0.72799999999999998</v>
      </c>
      <c r="F67" s="15"/>
    </row>
    <row r="68" spans="1:8" x14ac:dyDescent="0.35">
      <c r="A68" s="15" t="s">
        <v>82</v>
      </c>
      <c r="B68" s="15">
        <v>9.5</v>
      </c>
      <c r="C68" s="15"/>
      <c r="D68" s="15" t="s">
        <v>83</v>
      </c>
      <c r="E68" s="15" t="s">
        <v>84</v>
      </c>
      <c r="F68" s="15"/>
    </row>
    <row r="69" spans="1:8" x14ac:dyDescent="0.35">
      <c r="A69" s="15" t="s">
        <v>85</v>
      </c>
      <c r="B69" s="15" t="s">
        <v>86</v>
      </c>
      <c r="C69" s="15"/>
      <c r="D69" s="15"/>
      <c r="E69" s="15"/>
      <c r="F69" s="15"/>
    </row>
    <row r="70" spans="1:8" x14ac:dyDescent="0.35">
      <c r="A70" s="15" t="s">
        <v>87</v>
      </c>
      <c r="B70" s="15" t="s">
        <v>88</v>
      </c>
      <c r="C70" s="15"/>
      <c r="D70" s="15"/>
      <c r="E70" s="15"/>
      <c r="F70" s="15"/>
    </row>
    <row r="72" spans="1:8" x14ac:dyDescent="0.35">
      <c r="A72" s="26" t="s">
        <v>89</v>
      </c>
      <c r="B72" s="15"/>
      <c r="C72" s="15"/>
      <c r="D72" s="15"/>
      <c r="E72" s="15"/>
      <c r="F72" s="15"/>
    </row>
    <row r="73" spans="1:8" x14ac:dyDescent="0.35">
      <c r="A73" s="23"/>
      <c r="B73" s="15"/>
      <c r="C73" s="15"/>
      <c r="D73" s="15"/>
      <c r="E73" s="15"/>
      <c r="F73" s="15"/>
    </row>
    <row r="74" spans="1:8" x14ac:dyDescent="0.35">
      <c r="A74" s="15" t="s">
        <v>90</v>
      </c>
      <c r="B74" s="15">
        <v>29</v>
      </c>
      <c r="C74" s="15"/>
      <c r="D74" s="15"/>
      <c r="E74" s="15"/>
      <c r="F74" s="15"/>
    </row>
    <row r="75" spans="1:8" x14ac:dyDescent="0.35">
      <c r="A75" s="15" t="s">
        <v>91</v>
      </c>
      <c r="B75" s="15">
        <v>1</v>
      </c>
      <c r="C75" s="15"/>
      <c r="D75" s="15"/>
      <c r="E75" s="15"/>
      <c r="F75" s="15"/>
    </row>
    <row r="76" spans="1:8" x14ac:dyDescent="0.35">
      <c r="A76" s="15" t="s">
        <v>92</v>
      </c>
      <c r="B76" s="15">
        <v>0.5</v>
      </c>
      <c r="C76" s="15"/>
      <c r="D76" s="15"/>
      <c r="E76" s="15"/>
      <c r="F76" s="15"/>
    </row>
    <row r="78" spans="1:8" ht="18.5" x14ac:dyDescent="0.45">
      <c r="A78" s="11" t="s">
        <v>93</v>
      </c>
      <c r="B78" s="15"/>
      <c r="C78" s="15"/>
      <c r="D78" s="15"/>
      <c r="E78" s="15"/>
      <c r="F78" s="15"/>
    </row>
    <row r="79" spans="1:8" x14ac:dyDescent="0.35">
      <c r="A79" s="15" t="s">
        <v>74</v>
      </c>
      <c r="B79" s="15">
        <v>35</v>
      </c>
      <c r="C79" s="8" t="s">
        <v>94</v>
      </c>
      <c r="D79" s="29" t="s">
        <v>95</v>
      </c>
      <c r="E79" s="16"/>
      <c r="F79" s="15"/>
    </row>
    <row r="80" spans="1:8" x14ac:dyDescent="0.35">
      <c r="A80" s="15" t="s">
        <v>96</v>
      </c>
      <c r="B80" s="15">
        <v>8</v>
      </c>
      <c r="C80" s="15"/>
      <c r="D80" s="29"/>
      <c r="E80" s="16"/>
      <c r="F80" s="15"/>
    </row>
    <row r="81" spans="1:6" x14ac:dyDescent="0.35">
      <c r="A81" s="15" t="s">
        <v>76</v>
      </c>
      <c r="B81" s="15">
        <v>515.03</v>
      </c>
      <c r="C81" s="15"/>
      <c r="D81" s="29"/>
      <c r="E81" s="16"/>
      <c r="F81" s="15"/>
    </row>
    <row r="82" spans="1:6" x14ac:dyDescent="0.35">
      <c r="A82" s="15" t="s">
        <v>97</v>
      </c>
      <c r="B82" s="15">
        <v>387.38</v>
      </c>
      <c r="C82" s="15"/>
      <c r="D82" s="15"/>
      <c r="E82" s="15"/>
      <c r="F82" s="15"/>
    </row>
    <row r="83" spans="1:6" x14ac:dyDescent="0.35">
      <c r="A83" s="15" t="s">
        <v>98</v>
      </c>
      <c r="B83" s="15">
        <v>99.3</v>
      </c>
      <c r="C83" s="15"/>
      <c r="D83" s="15" t="s">
        <v>99</v>
      </c>
      <c r="E83" s="15"/>
    </row>
    <row r="84" spans="1:6" x14ac:dyDescent="0.35">
      <c r="A84" s="15" t="s">
        <v>100</v>
      </c>
      <c r="B84" s="15" t="s">
        <v>101</v>
      </c>
      <c r="C84" s="15"/>
      <c r="D84" s="23" t="s">
        <v>102</v>
      </c>
      <c r="E84" s="13"/>
    </row>
    <row r="85" spans="1:6" x14ac:dyDescent="0.35">
      <c r="A85" s="15" t="s">
        <v>103</v>
      </c>
      <c r="B85" s="15">
        <v>676</v>
      </c>
      <c r="C85" s="15"/>
      <c r="D85" s="23"/>
      <c r="E85" s="13"/>
    </row>
    <row r="86" spans="1:6" x14ac:dyDescent="0.35">
      <c r="A86" s="15"/>
      <c r="B86" s="15"/>
      <c r="C86" s="15"/>
      <c r="D86" s="23" t="s">
        <v>104</v>
      </c>
      <c r="E86" s="13"/>
    </row>
    <row r="87" spans="1:6" x14ac:dyDescent="0.35">
      <c r="A87" s="15"/>
      <c r="B87" s="15"/>
      <c r="C87" s="15"/>
      <c r="D87" s="23"/>
      <c r="E87" s="13"/>
    </row>
    <row r="89" spans="1:6" x14ac:dyDescent="0.35">
      <c r="A89" s="15"/>
      <c r="B89" s="15"/>
      <c r="C89" s="15"/>
      <c r="D89" s="23" t="s">
        <v>105</v>
      </c>
      <c r="E89" s="13"/>
    </row>
    <row r="90" spans="1:6" x14ac:dyDescent="0.35">
      <c r="A90" s="15"/>
      <c r="B90" s="15"/>
      <c r="C90" s="15"/>
      <c r="D90" s="23"/>
      <c r="E90" s="13"/>
    </row>
    <row r="91" spans="1:6" x14ac:dyDescent="0.35">
      <c r="A91" s="15"/>
      <c r="B91" s="15"/>
      <c r="C91" s="15"/>
      <c r="D91" s="23"/>
      <c r="E91" s="13"/>
    </row>
    <row r="92" spans="1:6" x14ac:dyDescent="0.35">
      <c r="A92" s="15"/>
      <c r="B92" s="15"/>
      <c r="C92" s="15"/>
      <c r="D92" s="23"/>
      <c r="E92" s="13"/>
    </row>
    <row r="93" spans="1:6" x14ac:dyDescent="0.35">
      <c r="A93" s="15"/>
      <c r="B93" s="15"/>
      <c r="C93" s="15"/>
      <c r="D93" s="23"/>
      <c r="E93" s="13"/>
    </row>
    <row r="95" spans="1:6" x14ac:dyDescent="0.35">
      <c r="A95" s="15"/>
      <c r="B95" s="15"/>
      <c r="C95" s="15"/>
      <c r="D95" s="23" t="s">
        <v>106</v>
      </c>
      <c r="E95" s="13"/>
    </row>
    <row r="96" spans="1:6" x14ac:dyDescent="0.35">
      <c r="A96" s="15"/>
      <c r="B96" s="15"/>
      <c r="C96" s="15"/>
      <c r="D96" s="23"/>
      <c r="E96" s="13"/>
    </row>
    <row r="97" spans="1:5" x14ac:dyDescent="0.35">
      <c r="A97" s="15"/>
      <c r="B97" s="15"/>
      <c r="C97" s="15"/>
      <c r="D97" s="23"/>
      <c r="E97" s="13"/>
    </row>
  </sheetData>
  <mergeCells count="10">
    <mergeCell ref="D95:D97"/>
    <mergeCell ref="I47:I48"/>
    <mergeCell ref="B61:B63"/>
    <mergeCell ref="A72:A73"/>
    <mergeCell ref="A57:A58"/>
    <mergeCell ref="B57:B58"/>
    <mergeCell ref="D79:D81"/>
    <mergeCell ref="D84:D85"/>
    <mergeCell ref="D86:D87"/>
    <mergeCell ref="D89:D93"/>
  </mergeCells>
  <phoneticPr fontId="3" type="noConversion"/>
  <hyperlinks>
    <hyperlink ref="E36" r:id="rId1" display="https://www.nrel.gov/docs/fy04osti/36734.pdf?fbclid=IwAR1r4eRmt-8RJuexlLq3DaIXFZUsyaEjV-ew4B7PL9UTzj6hchS0TW4bvhE" xr:uid="{D8D860B9-D70D-49FF-B5B5-16E12944BBB3}"/>
  </hyperlinks>
  <pageMargins left="0.7" right="0.7" top="0.75" bottom="0.75" header="0.3" footer="0.3"/>
  <pageSetup orientation="portrait" horizontalDpi="4294967293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0EA2-F74F-4721-B45C-7E1AAB9DC84B}">
  <dimension ref="A1:F10"/>
  <sheetViews>
    <sheetView zoomScale="80" zoomScaleNormal="80" workbookViewId="0">
      <selection activeCell="F6" sqref="F6"/>
    </sheetView>
  </sheetViews>
  <sheetFormatPr defaultRowHeight="14.5" x14ac:dyDescent="0.35"/>
  <cols>
    <col min="1" max="1" width="19.26953125" style="2" bestFit="1" customWidth="1"/>
    <col min="2" max="2" width="25" style="2" bestFit="1" customWidth="1"/>
    <col min="3" max="3" width="26.453125" style="2" bestFit="1" customWidth="1"/>
    <col min="4" max="4" width="15" style="2" bestFit="1" customWidth="1"/>
    <col min="5" max="5" width="18.1796875" style="2" bestFit="1" customWidth="1"/>
    <col min="6" max="6" width="8.7265625" style="2"/>
  </cols>
  <sheetData>
    <row r="1" spans="1:5" x14ac:dyDescent="0.35">
      <c r="A1" s="1" t="s">
        <v>107</v>
      </c>
      <c r="B1" s="15"/>
      <c r="C1" s="15"/>
      <c r="D1" s="15"/>
    </row>
    <row r="2" spans="1:5" x14ac:dyDescent="0.35">
      <c r="A2" s="15"/>
      <c r="B2" s="15" t="s">
        <v>108</v>
      </c>
      <c r="C2" s="15" t="s">
        <v>109</v>
      </c>
      <c r="D2" s="15" t="s">
        <v>110</v>
      </c>
      <c r="E2" s="22" t="s">
        <v>132</v>
      </c>
    </row>
    <row r="3" spans="1:5" x14ac:dyDescent="0.35">
      <c r="A3" s="15" t="s">
        <v>111</v>
      </c>
      <c r="B3" s="15">
        <v>30</v>
      </c>
      <c r="C3" s="15">
        <v>49.43</v>
      </c>
      <c r="D3" s="15">
        <v>4684</v>
      </c>
      <c r="E3" s="2">
        <f>D3/1000</f>
        <v>4.6840000000000002</v>
      </c>
    </row>
    <row r="4" spans="1:5" x14ac:dyDescent="0.35">
      <c r="A4" s="15" t="s">
        <v>112</v>
      </c>
      <c r="B4" s="15">
        <v>30</v>
      </c>
      <c r="C4" s="15">
        <v>46.44</v>
      </c>
      <c r="D4" s="15">
        <v>41435</v>
      </c>
      <c r="E4" s="22">
        <f t="shared" ref="E4:E10" si="0">D4/1000</f>
        <v>41.435000000000002</v>
      </c>
    </row>
    <row r="5" spans="1:5" x14ac:dyDescent="0.35">
      <c r="A5" s="15" t="s">
        <v>113</v>
      </c>
      <c r="B5" s="15">
        <v>30</v>
      </c>
      <c r="C5" s="15">
        <v>35.97</v>
      </c>
      <c r="D5" s="15">
        <v>18015</v>
      </c>
      <c r="E5" s="22">
        <f t="shared" si="0"/>
        <v>18.015000000000001</v>
      </c>
    </row>
    <row r="6" spans="1:5" x14ac:dyDescent="0.35">
      <c r="A6" s="15" t="s">
        <v>114</v>
      </c>
      <c r="B6" s="15">
        <v>30</v>
      </c>
      <c r="C6" s="15">
        <v>38.840000000000003</v>
      </c>
      <c r="D6" s="15">
        <v>19817</v>
      </c>
      <c r="E6" s="22">
        <f t="shared" si="0"/>
        <v>19.817</v>
      </c>
    </row>
    <row r="7" spans="1:5" x14ac:dyDescent="0.35">
      <c r="A7" s="15" t="s">
        <v>115</v>
      </c>
      <c r="B7" s="15">
        <v>30</v>
      </c>
      <c r="C7" s="15">
        <v>48.16</v>
      </c>
      <c r="D7" s="15">
        <v>10809</v>
      </c>
      <c r="E7" s="22">
        <f t="shared" si="0"/>
        <v>10.808999999999999</v>
      </c>
    </row>
    <row r="8" spans="1:5" x14ac:dyDescent="0.35">
      <c r="A8" s="15" t="s">
        <v>116</v>
      </c>
      <c r="B8" s="15">
        <v>30</v>
      </c>
      <c r="C8" s="15">
        <v>45.29</v>
      </c>
      <c r="D8" s="21">
        <v>10809</v>
      </c>
      <c r="E8" s="22">
        <f t="shared" si="0"/>
        <v>10.808999999999999</v>
      </c>
    </row>
    <row r="9" spans="1:5" x14ac:dyDescent="0.35">
      <c r="E9" s="22"/>
    </row>
    <row r="10" spans="1:5" x14ac:dyDescent="0.35">
      <c r="A10" s="15" t="s">
        <v>117</v>
      </c>
      <c r="B10" s="15">
        <v>184</v>
      </c>
      <c r="C10" s="15">
        <v>180</v>
      </c>
      <c r="D10" s="15">
        <v>47741</v>
      </c>
      <c r="E10" s="22">
        <f t="shared" si="0"/>
        <v>47.741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Specifications &amp; Results</vt:lpstr>
      <vt:lpstr>Utilities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Tora Gao</dc:creator>
  <cp:keywords/>
  <dc:description/>
  <cp:lastModifiedBy>Tora Gao</cp:lastModifiedBy>
  <cp:revision/>
  <dcterms:created xsi:type="dcterms:W3CDTF">2020-04-28T16:02:45Z</dcterms:created>
  <dcterms:modified xsi:type="dcterms:W3CDTF">2020-05-24T21:45:42Z</dcterms:modified>
  <cp:category/>
  <cp:contentStatus/>
</cp:coreProperties>
</file>