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73\AC\Temp\"/>
    </mc:Choice>
  </mc:AlternateContent>
  <xr:revisionPtr revIDLastSave="0" documentId="8_{5977A340-4D4D-4C5B-B589-8C0E23C61439}" xr6:coauthVersionLast="47" xr6:coauthVersionMax="47" xr10:uidLastSave="{00000000-0000-0000-0000-000000000000}"/>
  <bookViews>
    <workbookView xWindow="-60" yWindow="-60" windowWidth="15480" windowHeight="11640" tabRatio="734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4" i="2"/>
  <c r="L15" i="2"/>
  <c r="L16" i="2"/>
  <c r="L17" i="2"/>
  <c r="L18" i="2"/>
  <c r="L19" i="2"/>
  <c r="L20" i="2"/>
  <c r="L21" i="2"/>
  <c r="L22" i="2"/>
  <c r="L23" i="2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 s="1"/>
  <c r="F10" i="2"/>
  <c r="J10" i="2"/>
  <c r="L11" i="2"/>
  <c r="I11" i="2"/>
  <c r="H11" i="2" s="1"/>
  <c r="G11" i="2"/>
  <c r="J11" i="2"/>
  <c r="I12" i="2"/>
  <c r="G12" i="2"/>
  <c r="J12" i="2"/>
  <c r="L13" i="2"/>
  <c r="I13" i="2"/>
  <c r="G13" i="2"/>
  <c r="J13" i="2"/>
  <c r="I14" i="2"/>
  <c r="G14" i="2"/>
  <c r="J14" i="2"/>
  <c r="I15" i="2"/>
  <c r="G15" i="2"/>
  <c r="J15" i="2"/>
  <c r="I16" i="2"/>
  <c r="H16" i="2" s="1"/>
  <c r="K16" i="2" s="1"/>
  <c r="G16" i="2"/>
  <c r="J16" i="2"/>
  <c r="I17" i="2"/>
  <c r="H17" i="2" s="1"/>
  <c r="K17" i="2" s="1"/>
  <c r="G17" i="2"/>
  <c r="J17" i="2"/>
  <c r="I18" i="2"/>
  <c r="H18" i="2" s="1"/>
  <c r="F18" i="2"/>
  <c r="J18" i="2"/>
  <c r="I19" i="2"/>
  <c r="H19" i="2" s="1"/>
  <c r="K19" i="2" s="1"/>
  <c r="F19" i="2"/>
  <c r="J19" i="2"/>
  <c r="I20" i="2"/>
  <c r="G20" i="2"/>
  <c r="J20" i="2"/>
  <c r="I21" i="2"/>
  <c r="G21" i="2"/>
  <c r="J21" i="2"/>
  <c r="I22" i="2"/>
  <c r="G22" i="2"/>
  <c r="J22" i="2"/>
  <c r="I23" i="2"/>
  <c r="H23" i="2" s="1"/>
  <c r="F23" i="2"/>
  <c r="J23" i="2"/>
  <c r="I24" i="2"/>
  <c r="H24" i="2" s="1"/>
  <c r="G24" i="2"/>
  <c r="J24" i="2"/>
  <c r="I25" i="2"/>
  <c r="H25" i="2" s="1"/>
  <c r="G25" i="2"/>
  <c r="J25" i="2"/>
  <c r="I26" i="2"/>
  <c r="H26" i="2" s="1"/>
  <c r="G26" i="2"/>
  <c r="F26" i="2"/>
  <c r="J26" i="2"/>
  <c r="I27" i="2"/>
  <c r="H27" i="2" s="1"/>
  <c r="F27" i="2"/>
  <c r="J27" i="2"/>
  <c r="I28" i="2"/>
  <c r="G28" i="2"/>
  <c r="J28" i="2"/>
  <c r="I29" i="2"/>
  <c r="G29" i="2"/>
  <c r="J29" i="2"/>
  <c r="I30" i="2"/>
  <c r="G30" i="2"/>
  <c r="J30" i="2"/>
  <c r="I31" i="2"/>
  <c r="H31" i="2" s="1"/>
  <c r="G31" i="2"/>
  <c r="J31" i="2"/>
  <c r="I32" i="2"/>
  <c r="G32" i="2"/>
  <c r="F32" i="2"/>
  <c r="J32" i="2"/>
  <c r="L33" i="2"/>
  <c r="I33" i="2"/>
  <c r="F33" i="2"/>
  <c r="J33" i="2"/>
  <c r="F34" i="2"/>
  <c r="L34" i="2"/>
  <c r="I34" i="2"/>
  <c r="G34" i="2"/>
  <c r="J34" i="2"/>
  <c r="F35" i="2"/>
  <c r="I35" i="2"/>
  <c r="G35" i="2"/>
  <c r="J35" i="2"/>
  <c r="F36" i="2"/>
  <c r="I36" i="2"/>
  <c r="G36" i="2"/>
  <c r="J36" i="2"/>
  <c r="F37" i="2"/>
  <c r="K37" i="2"/>
  <c r="I37" i="2"/>
  <c r="G37" i="2"/>
  <c r="J37" i="2"/>
  <c r="F38" i="2"/>
  <c r="K38" i="2"/>
  <c r="I38" i="2"/>
  <c r="G38" i="2"/>
  <c r="J38" i="2"/>
  <c r="I39" i="2"/>
  <c r="G39" i="2"/>
  <c r="J39" i="2"/>
  <c r="F40" i="2"/>
  <c r="I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L46" i="2"/>
  <c r="L45" i="2"/>
  <c r="K45" i="2"/>
  <c r="F47" i="2"/>
  <c r="F46" i="2"/>
  <c r="G45" i="2"/>
  <c r="K41" i="2"/>
  <c r="K36" i="2"/>
  <c r="F25" i="2"/>
  <c r="F17" i="2"/>
  <c r="F16" i="2"/>
  <c r="G23" i="2"/>
  <c r="G18" i="2"/>
  <c r="K81" i="2"/>
  <c r="K93" i="2"/>
  <c r="K66" i="2"/>
  <c r="K33" i="2"/>
  <c r="K18" i="2"/>
  <c r="G10" i="2"/>
  <c r="K53" i="2"/>
  <c r="K34" i="2"/>
  <c r="L28" i="2"/>
  <c r="L12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L35" i="2"/>
  <c r="K35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  <c r="H30" i="2" l="1"/>
  <c r="K30" i="2" s="1"/>
  <c r="F30" i="2"/>
  <c r="H29" i="2"/>
  <c r="K29" i="2" s="1"/>
  <c r="F29" i="2"/>
  <c r="H28" i="2"/>
  <c r="K28" i="2" s="1"/>
  <c r="F28" i="2"/>
  <c r="H22" i="2"/>
  <c r="K22" i="2" s="1"/>
  <c r="F22" i="2"/>
  <c r="H21" i="2"/>
  <c r="K21" i="2" s="1"/>
  <c r="F21" i="2"/>
  <c r="H20" i="2"/>
  <c r="K20" i="2" s="1"/>
  <c r="F20" i="2"/>
  <c r="H15" i="2"/>
  <c r="K15" i="2" s="1"/>
  <c r="F15" i="2"/>
  <c r="H14" i="2"/>
  <c r="K14" i="2" s="1"/>
  <c r="F14" i="2"/>
  <c r="H13" i="2"/>
  <c r="K13" i="2" s="1"/>
  <c r="F13" i="2"/>
  <c r="H12" i="2"/>
  <c r="K12" i="2" s="1"/>
  <c r="F12" i="2"/>
  <c r="H9" i="2"/>
  <c r="F9" i="2"/>
  <c r="K9" i="2" l="1"/>
  <c r="L5" i="2" s="1"/>
  <c r="Q5" i="1" s="1"/>
  <c r="L4" i="2"/>
  <c r="Q4" i="1" s="1"/>
  <c r="L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<sst xmlns="http://schemas.openxmlformats.org/spreadsheetml/2006/main" count="314" uniqueCount="197">
  <si>
    <t>Identificação da Contagem</t>
  </si>
  <si>
    <t>Empresa</t>
  </si>
  <si>
    <t>-</t>
  </si>
  <si>
    <t>PF IFPUG</t>
  </si>
  <si>
    <t>Aplicação</t>
  </si>
  <si>
    <t>TCC</t>
  </si>
  <si>
    <t>PF Local do EM</t>
  </si>
  <si>
    <t>Tipo de Contagem</t>
  </si>
  <si>
    <t>Projeto de Desenvolvimento</t>
  </si>
  <si>
    <t>PF Local da FS</t>
  </si>
  <si>
    <t>Nível de Detalhe</t>
  </si>
  <si>
    <t>Tecnologia</t>
  </si>
  <si>
    <t>Projeto</t>
  </si>
  <si>
    <t>SGP - Sistema de Gerenciamento de Projetos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</si>
  <si>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</si>
  <si>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</si>
  <si>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</si>
  <si>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</si>
  <si>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</si>
  <si>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</si>
  <si>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</si>
  <si>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</si>
  <si>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</si>
  <si>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</si>
  <si>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</si>
  <si>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</si>
  <si>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</si>
  <si>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</si>
  <si>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</si>
  <si>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</si>
  <si>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</si>
  <si>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</si>
  <si>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</si>
  <si>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</si>
  <si>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</si>
  <si>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Usuário</t>
  </si>
  <si>
    <t>ALI</t>
  </si>
  <si>
    <t>Gestor</t>
  </si>
  <si>
    <t>Membro</t>
  </si>
  <si>
    <t>Administrador</t>
  </si>
  <si>
    <t>Cadastrar/Atualizar/Excluir Projeto</t>
  </si>
  <si>
    <t>EE</t>
  </si>
  <si>
    <t>Cadastrar/Editar/Excluir Tarefa</t>
  </si>
  <si>
    <t>Associar Equipe</t>
  </si>
  <si>
    <t>Atribuir Tarefas aos membros</t>
  </si>
  <si>
    <t>Consultar projeto</t>
  </si>
  <si>
    <t>CE</t>
  </si>
  <si>
    <t>Cadastrar/Editar marcos</t>
  </si>
  <si>
    <t>Criar listas de tarefas</t>
  </si>
  <si>
    <t>Priorizar tarefas</t>
  </si>
  <si>
    <t>Notificação de atraso</t>
  </si>
  <si>
    <t>Consultar Cronogramas</t>
  </si>
  <si>
    <t>Relatorio</t>
  </si>
  <si>
    <t>Definir Datas</t>
  </si>
  <si>
    <t>Marcos</t>
  </si>
  <si>
    <t>Notificar</t>
  </si>
  <si>
    <t>Tarefa</t>
  </si>
  <si>
    <t>Equipe</t>
  </si>
  <si>
    <t>Cadastrar/Editar/Excluir Equipe</t>
  </si>
  <si>
    <t>Consultar usuario</t>
  </si>
  <si>
    <t>Gerar Relatorio</t>
  </si>
  <si>
    <t>SE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</si>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</sst>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6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Border="1" applyAlignment="1" applyProtection="1"/>
    <xf numFmtId="166" fontId="5" fillId="0" borderId="14" xfId="2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1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2" applyNumberFormat="1" applyFont="1" applyBorder="1" applyAlignment="1" applyProtection="1">
      <alignment horizontal="center"/>
    </xf>
    <xf numFmtId="10" fontId="5" fillId="0" borderId="25" xfId="2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2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2" applyNumberFormat="1" applyFont="1" applyBorder="1" applyAlignment="1" applyProtection="1">
      <alignment horizontal="center"/>
    </xf>
    <xf numFmtId="10" fontId="5" fillId="0" borderId="0" xfId="2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6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7C7-4D96-A7AF-79EB6223E77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7-4D96-A7AF-79EB6223E77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C7-4D96-A7AF-79EB6223E775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7-4D96-A7AF-79EB6223E775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7C7-4D96-A7AF-79EB6223E775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C7-4D96-A7AF-79EB6223E775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7-4D96-A7AF-79EB6223E775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7-4D96-A7AF-79EB6223E77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C7-4D96-A7AF-79EB6223E77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C7-4D96-A7AF-79EB6223E7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0.31707317073170732</c:v>
                </c:pt>
                <c:pt idx="1">
                  <c:v>4.065040650406504E-2</c:v>
                </c:pt>
                <c:pt idx="2">
                  <c:v>7.3170731707317069E-2</c:v>
                </c:pt>
                <c:pt idx="3">
                  <c:v>0.56910569105691056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7-4D96-A7AF-79EB6223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3F73C787-CF78-4A9B-B632-4497CC3D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62BFC37E-8A9D-40DC-BA08-4EE6CFCC0EC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BF23D435-A4CB-4A75-888A-79C095FED7A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58B78DB0-DF9F-41E5-820B-2FAABBA4584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F13F63A8-3828-4ADB-B51C-A9C7931C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F896644B-5116-4B41-B907-ED7C48A53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786FC2E3-D310-4974-897F-E360D706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0696B445-44D0-437E-82E5-E6719933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DBA1F84D-F690-4B79-B724-619B7D7E8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tabSelected="1" zoomScaleSheetLayoutView="100" workbookViewId="0">
      <pane ySplit="3" topLeftCell="A4" activePane="bottomLeft" state="frozen"/>
      <selection pane="bottomLeft" activeCell="F6" sqref="F6:N6"/>
      <selection activeCell="B11" sqref="B11"/>
    </sheetView>
  </sheetViews>
  <sheetFormatPr defaultColWidth="8.85546875" defaultRowHeight="13.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2.7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2.7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>
      <c r="A4" s="124" t="s">
        <v>1</v>
      </c>
      <c r="B4" s="124"/>
      <c r="C4" s="124"/>
      <c r="D4" s="124"/>
      <c r="E4" s="124"/>
      <c r="F4" s="128" t="s">
        <v>2</v>
      </c>
      <c r="G4" s="128"/>
      <c r="H4" s="128"/>
      <c r="I4" s="128"/>
      <c r="J4" s="128"/>
      <c r="K4" s="128"/>
      <c r="L4" s="128"/>
      <c r="M4" s="128"/>
      <c r="N4" s="128"/>
      <c r="O4" s="134" t="s">
        <v>3</v>
      </c>
      <c r="P4" s="134"/>
      <c r="Q4" s="132">
        <f>Funções!L4</f>
        <v>123</v>
      </c>
      <c r="R4" s="132"/>
      <c r="S4" s="132"/>
      <c r="T4" s="132"/>
      <c r="U4" s="132"/>
      <c r="V4" s="132"/>
    </row>
    <row r="5" spans="1:22">
      <c r="A5" s="124" t="s">
        <v>4</v>
      </c>
      <c r="B5" s="124"/>
      <c r="C5" s="124"/>
      <c r="D5" s="124"/>
      <c r="E5" s="124"/>
      <c r="F5" s="131" t="s">
        <v>5</v>
      </c>
      <c r="G5" s="128"/>
      <c r="H5" s="128"/>
      <c r="I5" s="128"/>
      <c r="J5" s="128"/>
      <c r="K5" s="128"/>
      <c r="L5" s="128"/>
      <c r="M5" s="128"/>
      <c r="N5" s="128"/>
      <c r="O5" s="129" t="s">
        <v>6</v>
      </c>
      <c r="P5" s="129"/>
      <c r="Q5" s="132">
        <f>Funções!L5</f>
        <v>123</v>
      </c>
      <c r="R5" s="132"/>
      <c r="S5" s="132"/>
      <c r="T5" s="132"/>
      <c r="U5" s="132"/>
      <c r="V5" s="132"/>
    </row>
    <row r="6" spans="1:22">
      <c r="A6" s="124" t="s">
        <v>7</v>
      </c>
      <c r="B6" s="124"/>
      <c r="C6" s="124"/>
      <c r="D6" s="124"/>
      <c r="E6" s="124"/>
      <c r="F6" s="125" t="s">
        <v>8</v>
      </c>
      <c r="G6" s="125"/>
      <c r="H6" s="125"/>
      <c r="I6" s="125"/>
      <c r="J6" s="125"/>
      <c r="K6" s="125"/>
      <c r="L6" s="125"/>
      <c r="M6" s="125"/>
      <c r="N6" s="125"/>
      <c r="O6" s="129" t="s">
        <v>9</v>
      </c>
      <c r="P6" s="129"/>
      <c r="Q6" s="132">
        <f>Funções!L6</f>
        <v>0</v>
      </c>
      <c r="R6" s="132"/>
      <c r="S6" s="132"/>
      <c r="T6" s="132"/>
      <c r="U6" s="132"/>
      <c r="V6" s="132"/>
    </row>
    <row r="7" spans="1:22" ht="12.75">
      <c r="A7" s="124" t="s">
        <v>10</v>
      </c>
      <c r="B7" s="124"/>
      <c r="C7" s="124"/>
      <c r="D7" s="124"/>
      <c r="E7" s="124"/>
      <c r="F7" s="128"/>
      <c r="G7" s="128"/>
      <c r="H7" s="128"/>
      <c r="I7" s="128"/>
      <c r="J7" s="128"/>
      <c r="K7" s="128"/>
      <c r="L7" s="128"/>
      <c r="M7" s="128"/>
      <c r="N7" s="128"/>
      <c r="O7" s="129" t="s">
        <v>11</v>
      </c>
      <c r="P7" s="129"/>
      <c r="Q7" s="129"/>
      <c r="R7" s="130"/>
      <c r="S7" s="130"/>
      <c r="T7" s="130"/>
      <c r="U7" s="130"/>
      <c r="V7" s="130"/>
    </row>
    <row r="8" spans="1:22" ht="12.75">
      <c r="A8" s="124" t="s">
        <v>12</v>
      </c>
      <c r="B8" s="124"/>
      <c r="C8" s="124"/>
      <c r="D8" s="124"/>
      <c r="E8" s="124"/>
      <c r="F8" s="128" t="s">
        <v>13</v>
      </c>
      <c r="G8" s="128"/>
      <c r="H8" s="128"/>
      <c r="I8" s="128"/>
      <c r="J8" s="128"/>
      <c r="K8" s="128"/>
      <c r="L8" s="128"/>
      <c r="M8" s="128"/>
      <c r="N8" s="128"/>
      <c r="O8" s="129" t="s">
        <v>14</v>
      </c>
      <c r="P8" s="129"/>
      <c r="Q8" s="129"/>
      <c r="R8" s="130"/>
      <c r="S8" s="130"/>
      <c r="T8" s="130"/>
      <c r="U8" s="130"/>
      <c r="V8" s="130"/>
    </row>
    <row r="9" spans="1:22">
      <c r="A9" s="124" t="s">
        <v>15</v>
      </c>
      <c r="B9" s="124"/>
      <c r="C9" s="124"/>
      <c r="D9" s="124"/>
      <c r="E9" s="124"/>
      <c r="F9" s="125"/>
      <c r="G9" s="125"/>
      <c r="H9" s="125"/>
      <c r="I9" s="125"/>
      <c r="J9" s="125"/>
      <c r="K9" s="125"/>
      <c r="L9" s="125"/>
      <c r="M9" s="125"/>
      <c r="N9" s="125"/>
      <c r="O9" s="126" t="s">
        <v>16</v>
      </c>
      <c r="P9" s="126"/>
      <c r="Q9" s="126"/>
      <c r="R9" s="127"/>
      <c r="S9" s="127"/>
      <c r="T9" s="127"/>
      <c r="U9" s="127"/>
      <c r="V9" s="127"/>
    </row>
    <row r="10" spans="1:22">
      <c r="A10" s="124" t="s">
        <v>17</v>
      </c>
      <c r="B10" s="124"/>
      <c r="C10" s="124"/>
      <c r="D10" s="124"/>
      <c r="E10" s="124"/>
      <c r="F10" s="125"/>
      <c r="G10" s="125"/>
      <c r="H10" s="125"/>
      <c r="I10" s="125"/>
      <c r="J10" s="125"/>
      <c r="K10" s="125"/>
      <c r="L10" s="125"/>
      <c r="M10" s="125"/>
      <c r="N10" s="125"/>
      <c r="O10" s="126" t="s">
        <v>18</v>
      </c>
      <c r="P10" s="126"/>
      <c r="Q10" s="126"/>
      <c r="R10" s="127"/>
      <c r="S10" s="127"/>
      <c r="T10" s="127"/>
      <c r="U10" s="127"/>
      <c r="V10" s="127"/>
    </row>
    <row r="11" spans="1:22">
      <c r="A11" s="122" t="s">
        <v>19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</row>
    <row r="12" spans="1:22" ht="12.7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</row>
    <row r="13" spans="1:22" ht="12.75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22" ht="12.75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</row>
    <row r="15" spans="1:22" ht="12.7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</row>
    <row r="16" spans="1:22">
      <c r="A16" s="122" t="s">
        <v>20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</row>
    <row r="17" spans="1:22" ht="12.7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</row>
    <row r="18" spans="1:22" ht="12.75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2" ht="12.75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</row>
    <row r="20" spans="1:22" ht="12.75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</row>
    <row r="21" spans="1:22">
      <c r="A21" s="122" t="s">
        <v>21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</row>
    <row r="22" spans="1:22" ht="12.7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</row>
    <row r="23" spans="1:22" ht="12.7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</row>
    <row r="24" spans="1:22" ht="12.7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</row>
    <row r="25" spans="1:22" ht="12.7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</row>
    <row r="26" spans="1:22" ht="12.7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</row>
    <row r="27" spans="1:22" ht="12.7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</row>
    <row r="28" spans="1:22" ht="12.7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</row>
    <row r="29" spans="1:22" ht="12.7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ht="12.7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</row>
    <row r="31" spans="1:22" ht="12.7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</row>
    <row r="32" spans="1:22" ht="12.7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</row>
    <row r="33" spans="1:22" ht="12.7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</row>
    <row r="34" spans="1:22" ht="12.7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</row>
    <row r="35" spans="1:22" ht="12.7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ht="12.7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</row>
    <row r="37" spans="1:22" ht="12.7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</row>
    <row r="38" spans="1:22" ht="12.7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</row>
    <row r="39" spans="1:22" ht="12.7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</row>
    <row r="40" spans="1:22" ht="12.7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</row>
    <row r="41" spans="1:22" ht="12.7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</row>
    <row r="42" spans="1:22" ht="12.7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</row>
    <row r="43" spans="1:22" ht="12.7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</row>
    <row r="44" spans="1:22" ht="12.7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</row>
    <row r="45" spans="1:22" ht="12.7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zoomScaleSheetLayoutView="100" workbookViewId="0">
      <pane ySplit="7" topLeftCell="A8" activePane="bottomLeft" state="frozen"/>
      <selection pane="bottomLeft" activeCell="L5" sqref="L5"/>
      <selection activeCell="B11" sqref="B11"/>
    </sheetView>
  </sheetViews>
  <sheetFormatPr defaultColWidth="8.85546875" defaultRowHeight="12.75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35" t="s">
        <v>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15" ht="13.5" thickBot="1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</row>
    <row r="3" spans="1: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5">
      <c r="A4" s="3" t="str">
        <f>Contagem!A5&amp;" : "&amp;Contagem!F5</f>
        <v>Aplicação : TCC</v>
      </c>
      <c r="B4" s="138" t="str">
        <f>Contagem!A8&amp;" : "&amp;Contagem!F8</f>
        <v>Projeto : SGP - Sistema de Gerenciamento de Projetos</v>
      </c>
      <c r="C4" s="139"/>
      <c r="D4" s="139"/>
      <c r="E4" s="139"/>
      <c r="F4" s="139"/>
      <c r="G4" s="139"/>
      <c r="H4" s="139"/>
      <c r="I4" s="139"/>
      <c r="J4" s="140"/>
      <c r="K4" s="107" t="s">
        <v>3</v>
      </c>
      <c r="L4" s="110">
        <f>SUM(H8:H469)</f>
        <v>123</v>
      </c>
      <c r="M4" s="136"/>
      <c r="N4" s="136"/>
      <c r="O4" s="136"/>
    </row>
    <row r="5" spans="1:15">
      <c r="A5" s="3" t="str">
        <f>Contagem!A9&amp;" : "&amp;Contagem!F9</f>
        <v xml:space="preserve">Responsável : </v>
      </c>
      <c r="B5" s="138" t="str">
        <f>Contagem!A10&amp;" : "&amp;Contagem!F10</f>
        <v xml:space="preserve">Revisor : </v>
      </c>
      <c r="C5" s="139"/>
      <c r="D5" s="139"/>
      <c r="E5" s="139"/>
      <c r="F5" s="139"/>
      <c r="G5" s="139"/>
      <c r="H5" s="139"/>
      <c r="I5" s="139"/>
      <c r="J5" s="140"/>
      <c r="K5" s="109" t="s">
        <v>6</v>
      </c>
      <c r="L5" s="110">
        <f>SUM(K8:K469)</f>
        <v>123</v>
      </c>
      <c r="M5" s="137"/>
      <c r="N5" s="137"/>
      <c r="O5" s="137"/>
    </row>
    <row r="6" spans="1:15">
      <c r="A6" s="115" t="str">
        <f>Contagem!A4&amp;" : "&amp;Contagem!F4</f>
        <v>Empresa : -</v>
      </c>
      <c r="B6" s="141" t="str">
        <f>"Tipo da Contagem : "&amp;Contagem!F6</f>
        <v>Tipo da Contagem : Projeto de Desenvolvimento</v>
      </c>
      <c r="C6" s="142"/>
      <c r="D6" s="142"/>
      <c r="E6" s="142"/>
      <c r="F6" s="142"/>
      <c r="G6" s="142"/>
      <c r="H6" s="142"/>
      <c r="I6" s="142"/>
      <c r="J6" s="143"/>
      <c r="K6" s="108" t="s">
        <v>9</v>
      </c>
      <c r="L6" s="110">
        <f>SUM(L8:L469)</f>
        <v>0</v>
      </c>
      <c r="M6" s="136"/>
      <c r="N6" s="136"/>
      <c r="O6" s="136"/>
    </row>
    <row r="7" spans="1:15" ht="13.5" customHeight="1">
      <c r="A7" s="114" t="s">
        <v>23</v>
      </c>
      <c r="B7" s="67" t="s">
        <v>24</v>
      </c>
      <c r="C7" s="68" t="s">
        <v>25</v>
      </c>
      <c r="D7" s="69" t="s">
        <v>26</v>
      </c>
      <c r="E7" s="69" t="s">
        <v>27</v>
      </c>
      <c r="F7" s="69" t="s">
        <v>28</v>
      </c>
      <c r="G7" s="70" t="s">
        <v>29</v>
      </c>
      <c r="H7" s="70" t="s">
        <v>3</v>
      </c>
      <c r="I7" s="118" t="s">
        <v>30</v>
      </c>
      <c r="J7" s="118" t="s">
        <v>31</v>
      </c>
      <c r="K7" s="70" t="s">
        <v>6</v>
      </c>
      <c r="L7" s="71" t="s">
        <v>9</v>
      </c>
      <c r="M7" s="72" t="s">
        <v>32</v>
      </c>
      <c r="N7" s="72" t="s">
        <v>33</v>
      </c>
      <c r="O7" s="73" t="s">
        <v>34</v>
      </c>
    </row>
    <row r="8" spans="1:15">
      <c r="A8" s="119" t="s">
        <v>35</v>
      </c>
      <c r="B8" s="4" t="s">
        <v>36</v>
      </c>
      <c r="C8" s="4"/>
      <c r="D8" s="7">
        <v>7</v>
      </c>
      <c r="E8" s="7">
        <v>4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ALIL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16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ALI</v>
      </c>
      <c r="K8" s="9">
        <f t="shared" ref="K8:K63" si="5">IF(OR(H8="",H8=0),L8,H8)</f>
        <v>7</v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>
      <c r="A9" s="119" t="s">
        <v>37</v>
      </c>
      <c r="B9" s="4" t="s">
        <v>36</v>
      </c>
      <c r="C9" s="4"/>
      <c r="D9" s="7">
        <v>7</v>
      </c>
      <c r="E9" s="7">
        <v>1</v>
      </c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16" t="str">
        <f t="shared" si="3"/>
        <v>L</v>
      </c>
      <c r="J9" s="7" t="str">
        <f t="shared" si="4"/>
        <v>ALI</v>
      </c>
      <c r="K9" s="9">
        <f t="shared" si="5"/>
        <v>7</v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>
      <c r="A10" s="119" t="s">
        <v>38</v>
      </c>
      <c r="B10" s="4" t="s">
        <v>36</v>
      </c>
      <c r="C10" s="4"/>
      <c r="D10" s="7">
        <v>7</v>
      </c>
      <c r="E10" s="7">
        <v>1</v>
      </c>
      <c r="F10" s="8" t="str">
        <f t="shared" si="0"/>
        <v>Baixa</v>
      </c>
      <c r="G10" s="7" t="str">
        <f t="shared" si="1"/>
        <v>ALIL</v>
      </c>
      <c r="H10" s="5">
        <f t="shared" si="2"/>
        <v>7</v>
      </c>
      <c r="I10" s="116" t="str">
        <f t="shared" si="3"/>
        <v>L</v>
      </c>
      <c r="J10" s="7" t="str">
        <f t="shared" si="4"/>
        <v>ALI</v>
      </c>
      <c r="K10" s="9">
        <f t="shared" si="5"/>
        <v>7</v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>
      <c r="A11" s="119" t="s">
        <v>39</v>
      </c>
      <c r="B11" s="4" t="s">
        <v>36</v>
      </c>
      <c r="C11" s="4"/>
      <c r="D11" s="7">
        <v>7</v>
      </c>
      <c r="E11" s="7">
        <v>1</v>
      </c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16" t="str">
        <f t="shared" si="3"/>
        <v>L</v>
      </c>
      <c r="J11" s="7" t="str">
        <f t="shared" si="4"/>
        <v>ALI</v>
      </c>
      <c r="K11" s="9">
        <f t="shared" si="5"/>
        <v>7</v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>
      <c r="A12" s="119" t="s">
        <v>40</v>
      </c>
      <c r="B12" s="4" t="s">
        <v>41</v>
      </c>
      <c r="C12" s="4"/>
      <c r="D12" s="7">
        <v>6</v>
      </c>
      <c r="E12" s="7">
        <v>3</v>
      </c>
      <c r="F12" s="8" t="str">
        <f t="shared" si="0"/>
        <v>Alta</v>
      </c>
      <c r="G12" s="7" t="str">
        <f t="shared" si="1"/>
        <v>EEH</v>
      </c>
      <c r="H12" s="5">
        <f t="shared" si="2"/>
        <v>6</v>
      </c>
      <c r="I12" s="116" t="str">
        <f t="shared" si="3"/>
        <v>H</v>
      </c>
      <c r="J12" s="7" t="str">
        <f t="shared" si="4"/>
        <v>EE</v>
      </c>
      <c r="K12" s="9">
        <f t="shared" si="5"/>
        <v>6</v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>
      <c r="A13" s="119" t="s">
        <v>42</v>
      </c>
      <c r="B13" s="4" t="s">
        <v>41</v>
      </c>
      <c r="C13" s="4"/>
      <c r="D13" s="7">
        <v>6</v>
      </c>
      <c r="E13" s="7">
        <v>3</v>
      </c>
      <c r="F13" s="8" t="str">
        <f t="shared" si="0"/>
        <v>Alta</v>
      </c>
      <c r="G13" s="7" t="str">
        <f t="shared" si="1"/>
        <v>EEH</v>
      </c>
      <c r="H13" s="5">
        <f t="shared" si="2"/>
        <v>6</v>
      </c>
      <c r="I13" s="116" t="str">
        <f t="shared" si="3"/>
        <v>H</v>
      </c>
      <c r="J13" s="7" t="str">
        <f t="shared" si="4"/>
        <v>EE</v>
      </c>
      <c r="K13" s="9">
        <f t="shared" si="5"/>
        <v>6</v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>
      <c r="A14" s="119" t="s">
        <v>43</v>
      </c>
      <c r="B14" s="4" t="s">
        <v>41</v>
      </c>
      <c r="C14" s="4"/>
      <c r="D14" s="7">
        <v>2</v>
      </c>
      <c r="E14" s="7">
        <v>2</v>
      </c>
      <c r="F14" s="8" t="str">
        <f t="shared" si="0"/>
        <v>Baixa</v>
      </c>
      <c r="G14" s="7" t="str">
        <f t="shared" si="1"/>
        <v>EEL</v>
      </c>
      <c r="H14" s="5">
        <f t="shared" si="2"/>
        <v>3</v>
      </c>
      <c r="I14" s="116" t="str">
        <f t="shared" si="3"/>
        <v>L</v>
      </c>
      <c r="J14" s="7" t="str">
        <f t="shared" si="4"/>
        <v>EE</v>
      </c>
      <c r="K14" s="9">
        <f t="shared" si="5"/>
        <v>3</v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>
      <c r="A15" s="119" t="s">
        <v>44</v>
      </c>
      <c r="B15" s="4" t="s">
        <v>41</v>
      </c>
      <c r="C15" s="4"/>
      <c r="D15" s="7">
        <v>2</v>
      </c>
      <c r="E15" s="7">
        <v>3</v>
      </c>
      <c r="F15" s="8" t="str">
        <f t="shared" si="0"/>
        <v>Média</v>
      </c>
      <c r="G15" s="7" t="str">
        <f t="shared" si="1"/>
        <v>EEA</v>
      </c>
      <c r="H15" s="5">
        <f t="shared" si="2"/>
        <v>4</v>
      </c>
      <c r="I15" s="116" t="str">
        <f t="shared" si="3"/>
        <v>A</v>
      </c>
      <c r="J15" s="7" t="str">
        <f t="shared" si="4"/>
        <v>EE</v>
      </c>
      <c r="K15" s="9">
        <f t="shared" si="5"/>
        <v>4</v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>
      <c r="A16" s="119" t="s">
        <v>45</v>
      </c>
      <c r="B16" s="4" t="s">
        <v>46</v>
      </c>
      <c r="C16" s="4"/>
      <c r="D16" s="7">
        <v>1</v>
      </c>
      <c r="E16" s="7">
        <v>1</v>
      </c>
      <c r="F16" s="8" t="str">
        <f t="shared" si="0"/>
        <v>Baixa</v>
      </c>
      <c r="G16" s="7" t="str">
        <f t="shared" si="1"/>
        <v>CEL</v>
      </c>
      <c r="H16" s="5">
        <f t="shared" si="2"/>
        <v>3</v>
      </c>
      <c r="I16" s="116" t="str">
        <f t="shared" si="3"/>
        <v>L</v>
      </c>
      <c r="J16" s="7" t="str">
        <f t="shared" si="4"/>
        <v>CE</v>
      </c>
      <c r="K16" s="9">
        <f t="shared" si="5"/>
        <v>3</v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>
      <c r="A17" s="119" t="s">
        <v>47</v>
      </c>
      <c r="B17" s="4" t="s">
        <v>41</v>
      </c>
      <c r="C17" s="4"/>
      <c r="D17" s="7">
        <v>3</v>
      </c>
      <c r="E17" s="7">
        <v>2</v>
      </c>
      <c r="F17" s="8" t="str">
        <f t="shared" si="0"/>
        <v>Baixa</v>
      </c>
      <c r="G17" s="7" t="str">
        <f t="shared" si="1"/>
        <v>EEL</v>
      </c>
      <c r="H17" s="5">
        <f t="shared" si="2"/>
        <v>3</v>
      </c>
      <c r="I17" s="116" t="str">
        <f t="shared" si="3"/>
        <v>L</v>
      </c>
      <c r="J17" s="7" t="str">
        <f t="shared" si="4"/>
        <v>EE</v>
      </c>
      <c r="K17" s="9">
        <f t="shared" si="5"/>
        <v>3</v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>
      <c r="A18" s="119" t="s">
        <v>48</v>
      </c>
      <c r="B18" s="4" t="s">
        <v>41</v>
      </c>
      <c r="C18" s="4"/>
      <c r="D18" s="7">
        <v>3</v>
      </c>
      <c r="E18" s="7">
        <v>2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16" t="str">
        <f t="shared" si="3"/>
        <v>L</v>
      </c>
      <c r="J18" s="7" t="str">
        <f t="shared" si="4"/>
        <v>EE</v>
      </c>
      <c r="K18" s="9">
        <f t="shared" si="5"/>
        <v>3</v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>
      <c r="A19" s="119" t="s">
        <v>49</v>
      </c>
      <c r="B19" s="4" t="s">
        <v>41</v>
      </c>
      <c r="C19" s="4"/>
      <c r="D19" s="7">
        <v>2</v>
      </c>
      <c r="E19" s="7">
        <v>2</v>
      </c>
      <c r="F19" s="8" t="str">
        <f t="shared" si="0"/>
        <v>Baixa</v>
      </c>
      <c r="G19" s="7" t="str">
        <f t="shared" si="1"/>
        <v>EEL</v>
      </c>
      <c r="H19" s="5">
        <f t="shared" si="2"/>
        <v>3</v>
      </c>
      <c r="I19" s="116" t="str">
        <f t="shared" si="3"/>
        <v>L</v>
      </c>
      <c r="J19" s="7" t="str">
        <f t="shared" si="4"/>
        <v>EE</v>
      </c>
      <c r="K19" s="9">
        <f t="shared" si="5"/>
        <v>3</v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>
      <c r="A20" s="119" t="s">
        <v>50</v>
      </c>
      <c r="B20" s="4" t="s">
        <v>41</v>
      </c>
      <c r="C20" s="4"/>
      <c r="D20" s="7">
        <v>2</v>
      </c>
      <c r="E20" s="7">
        <v>4</v>
      </c>
      <c r="F20" s="8" t="str">
        <f t="shared" si="0"/>
        <v>Média</v>
      </c>
      <c r="G20" s="7" t="str">
        <f t="shared" si="1"/>
        <v>EEA</v>
      </c>
      <c r="H20" s="5">
        <f t="shared" si="2"/>
        <v>4</v>
      </c>
      <c r="I20" s="116" t="str">
        <f t="shared" si="3"/>
        <v>A</v>
      </c>
      <c r="J20" s="7" t="str">
        <f t="shared" si="4"/>
        <v>EE</v>
      </c>
      <c r="K20" s="9">
        <f t="shared" si="5"/>
        <v>4</v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>
      <c r="A21" s="119" t="s">
        <v>51</v>
      </c>
      <c r="B21" s="4" t="s">
        <v>46</v>
      </c>
      <c r="C21" s="4"/>
      <c r="D21" s="7">
        <v>4</v>
      </c>
      <c r="E21" s="7">
        <v>2</v>
      </c>
      <c r="F21" s="8" t="str">
        <f t="shared" si="0"/>
        <v>Baixa</v>
      </c>
      <c r="G21" s="7" t="str">
        <f t="shared" si="1"/>
        <v>CEL</v>
      </c>
      <c r="H21" s="5">
        <f t="shared" si="2"/>
        <v>3</v>
      </c>
      <c r="I21" s="116" t="str">
        <f t="shared" si="3"/>
        <v>L</v>
      </c>
      <c r="J21" s="7" t="str">
        <f t="shared" si="4"/>
        <v>CE</v>
      </c>
      <c r="K21" s="9">
        <f t="shared" si="5"/>
        <v>3</v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>
      <c r="A22" s="119" t="s">
        <v>12</v>
      </c>
      <c r="B22" s="4" t="s">
        <v>36</v>
      </c>
      <c r="C22" s="4"/>
      <c r="D22" s="7">
        <v>6</v>
      </c>
      <c r="E22" s="7">
        <v>5</v>
      </c>
      <c r="F22" s="8" t="str">
        <f t="shared" si="0"/>
        <v>Baixa</v>
      </c>
      <c r="G22" s="7" t="str">
        <f t="shared" si="1"/>
        <v>ALIL</v>
      </c>
      <c r="H22" s="5">
        <f t="shared" si="2"/>
        <v>7</v>
      </c>
      <c r="I22" s="116" t="str">
        <f t="shared" si="3"/>
        <v>L</v>
      </c>
      <c r="J22" s="7" t="str">
        <f t="shared" si="4"/>
        <v>ALI</v>
      </c>
      <c r="K22" s="9">
        <f t="shared" si="5"/>
        <v>7</v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>
      <c r="A23" s="119" t="s">
        <v>52</v>
      </c>
      <c r="B23" s="4" t="s">
        <v>36</v>
      </c>
      <c r="C23" s="4"/>
      <c r="D23" s="7">
        <v>7</v>
      </c>
      <c r="E23" s="7">
        <v>3</v>
      </c>
      <c r="F23" s="8" t="str">
        <f t="shared" si="0"/>
        <v>Baixa</v>
      </c>
      <c r="G23" s="7" t="str">
        <f t="shared" si="1"/>
        <v>ALIL</v>
      </c>
      <c r="H23" s="5">
        <f t="shared" si="2"/>
        <v>7</v>
      </c>
      <c r="I23" s="116" t="str">
        <f t="shared" si="3"/>
        <v>L</v>
      </c>
      <c r="J23" s="7" t="str">
        <f t="shared" si="4"/>
        <v>ALI</v>
      </c>
      <c r="K23" s="9">
        <f t="shared" si="5"/>
        <v>7</v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>
      <c r="A24" s="119" t="s">
        <v>53</v>
      </c>
      <c r="B24" s="4" t="s">
        <v>41</v>
      </c>
      <c r="C24" s="4"/>
      <c r="D24" s="7">
        <v>3</v>
      </c>
      <c r="E24" s="7">
        <v>2</v>
      </c>
      <c r="F24" s="8" t="str">
        <f t="shared" si="0"/>
        <v>Baixa</v>
      </c>
      <c r="G24" s="7" t="str">
        <f t="shared" si="1"/>
        <v>EEL</v>
      </c>
      <c r="H24" s="5">
        <f t="shared" si="2"/>
        <v>3</v>
      </c>
      <c r="I24" s="116" t="str">
        <f t="shared" si="3"/>
        <v>L</v>
      </c>
      <c r="J24" s="7" t="str">
        <f t="shared" si="4"/>
        <v>EE</v>
      </c>
      <c r="K24" s="9">
        <f t="shared" si="5"/>
        <v>3</v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>
      <c r="A25" s="119" t="s">
        <v>54</v>
      </c>
      <c r="B25" s="4" t="s">
        <v>36</v>
      </c>
      <c r="C25" s="4"/>
      <c r="D25" s="7">
        <v>3</v>
      </c>
      <c r="E25" s="7">
        <v>2</v>
      </c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16" t="str">
        <f t="shared" si="3"/>
        <v>L</v>
      </c>
      <c r="J25" s="7" t="str">
        <f t="shared" si="4"/>
        <v>ALI</v>
      </c>
      <c r="K25" s="9">
        <f t="shared" si="5"/>
        <v>7</v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>
      <c r="A26" s="119" t="s">
        <v>55</v>
      </c>
      <c r="B26" s="4" t="s">
        <v>36</v>
      </c>
      <c r="C26" s="4"/>
      <c r="D26" s="7">
        <v>1</v>
      </c>
      <c r="E26" s="7">
        <v>2</v>
      </c>
      <c r="F26" s="8" t="str">
        <f t="shared" si="0"/>
        <v>Baixa</v>
      </c>
      <c r="G26" s="7" t="str">
        <f t="shared" si="1"/>
        <v>ALIL</v>
      </c>
      <c r="H26" s="5">
        <f t="shared" si="2"/>
        <v>7</v>
      </c>
      <c r="I26" s="116" t="str">
        <f t="shared" si="3"/>
        <v>L</v>
      </c>
      <c r="J26" s="7" t="str">
        <f t="shared" si="4"/>
        <v>ALI</v>
      </c>
      <c r="K26" s="9">
        <f t="shared" si="5"/>
        <v>7</v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>
      <c r="A27" s="119" t="s">
        <v>56</v>
      </c>
      <c r="B27" s="4" t="s">
        <v>36</v>
      </c>
      <c r="C27" s="4"/>
      <c r="D27" s="7">
        <v>6</v>
      </c>
      <c r="E27" s="7">
        <v>2</v>
      </c>
      <c r="F27" s="8" t="str">
        <f t="shared" si="0"/>
        <v>Baixa</v>
      </c>
      <c r="G27" s="7" t="str">
        <f t="shared" si="1"/>
        <v>ALIL</v>
      </c>
      <c r="H27" s="5">
        <f t="shared" si="2"/>
        <v>7</v>
      </c>
      <c r="I27" s="116" t="str">
        <f t="shared" si="3"/>
        <v>L</v>
      </c>
      <c r="J27" s="7" t="str">
        <f t="shared" si="4"/>
        <v>ALI</v>
      </c>
      <c r="K27" s="9">
        <f t="shared" si="5"/>
        <v>7</v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>
      <c r="A28" s="119" t="s">
        <v>57</v>
      </c>
      <c r="B28" s="4" t="s">
        <v>36</v>
      </c>
      <c r="C28" s="4"/>
      <c r="D28" s="7">
        <v>3</v>
      </c>
      <c r="E28" s="7">
        <v>3</v>
      </c>
      <c r="F28" s="8" t="str">
        <f t="shared" si="0"/>
        <v>Baixa</v>
      </c>
      <c r="G28" s="7" t="str">
        <f t="shared" si="1"/>
        <v>ALIL</v>
      </c>
      <c r="H28" s="5">
        <f t="shared" si="2"/>
        <v>7</v>
      </c>
      <c r="I28" s="116" t="str">
        <f t="shared" si="3"/>
        <v>L</v>
      </c>
      <c r="J28" s="7" t="str">
        <f t="shared" si="4"/>
        <v>ALI</v>
      </c>
      <c r="K28" s="9">
        <f t="shared" si="5"/>
        <v>7</v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>
      <c r="A29" s="119" t="s">
        <v>58</v>
      </c>
      <c r="B29" s="4" t="s">
        <v>41</v>
      </c>
      <c r="C29" s="4"/>
      <c r="D29" s="7">
        <v>3</v>
      </c>
      <c r="E29" s="7">
        <v>3</v>
      </c>
      <c r="F29" s="8" t="str">
        <f t="shared" si="0"/>
        <v>Média</v>
      </c>
      <c r="G29" s="7" t="str">
        <f t="shared" si="1"/>
        <v>EEA</v>
      </c>
      <c r="H29" s="5">
        <f t="shared" si="2"/>
        <v>4</v>
      </c>
      <c r="I29" s="116" t="str">
        <f t="shared" si="3"/>
        <v>A</v>
      </c>
      <c r="J29" s="7" t="str">
        <f t="shared" si="4"/>
        <v>EE</v>
      </c>
      <c r="K29" s="9">
        <f t="shared" si="5"/>
        <v>4</v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>
      <c r="A30" s="119" t="s">
        <v>59</v>
      </c>
      <c r="B30" s="4" t="s">
        <v>46</v>
      </c>
      <c r="C30" s="4"/>
      <c r="D30" s="7">
        <v>1</v>
      </c>
      <c r="E30" s="7">
        <v>1</v>
      </c>
      <c r="F30" s="8" t="str">
        <f t="shared" si="0"/>
        <v>Baixa</v>
      </c>
      <c r="G30" s="7" t="str">
        <f t="shared" si="1"/>
        <v>CEL</v>
      </c>
      <c r="H30" s="5">
        <f t="shared" si="2"/>
        <v>3</v>
      </c>
      <c r="I30" s="116" t="str">
        <f t="shared" si="3"/>
        <v>L</v>
      </c>
      <c r="J30" s="7" t="str">
        <f t="shared" si="4"/>
        <v>CE</v>
      </c>
      <c r="K30" s="9">
        <f t="shared" si="5"/>
        <v>3</v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>
      <c r="A31" s="119" t="s">
        <v>60</v>
      </c>
      <c r="B31" s="4" t="s">
        <v>61</v>
      </c>
      <c r="C31" s="4"/>
      <c r="D31" s="7">
        <v>7</v>
      </c>
      <c r="E31" s="7">
        <v>3</v>
      </c>
      <c r="F31" s="8" t="str">
        <f t="shared" si="0"/>
        <v>Média</v>
      </c>
      <c r="G31" s="7" t="str">
        <f t="shared" si="1"/>
        <v>SEA</v>
      </c>
      <c r="H31" s="5">
        <f t="shared" si="2"/>
        <v>5</v>
      </c>
      <c r="I31" s="116" t="str">
        <f t="shared" si="3"/>
        <v>A</v>
      </c>
      <c r="J31" s="7" t="str">
        <f t="shared" si="4"/>
        <v>SE</v>
      </c>
      <c r="K31" s="9">
        <f t="shared" si="5"/>
        <v>5</v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>
      <c r="A32" s="119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16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>
      <c r="A33" s="119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16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>
      <c r="A34" s="119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16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>
      <c r="A35" s="119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16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>
      <c r="A36" s="119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16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>
      <c r="A37" s="119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16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>
      <c r="A38" s="119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16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>
      <c r="A39" s="119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16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>
      <c r="A40" s="119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16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>
      <c r="A41" s="119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16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>
      <c r="A42" s="119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16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>
      <c r="A43" s="119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16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>
      <c r="A44" s="119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16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>
      <c r="A45" s="119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16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>
      <c r="A46" s="119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16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>
      <c r="A47" s="119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16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>
      <c r="A48" s="119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16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>
      <c r="A49" s="119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16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>
      <c r="A50" s="119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16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>
      <c r="A51" s="119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16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>
      <c r="A52" s="119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16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>
      <c r="A53" s="119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16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>
      <c r="A54" s="119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16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>
      <c r="A55" s="119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16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>
      <c r="A56" s="119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16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>
      <c r="A57" s="119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16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>
      <c r="A58" s="119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16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>
      <c r="A59" s="119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16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>
      <c r="A60" s="119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16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>
      <c r="A61" s="119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16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>
      <c r="A62" s="119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16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>
      <c r="A63" s="119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16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>
      <c r="A64" s="119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16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>
      <c r="A65" s="119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16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>
      <c r="A66" s="119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16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>
      <c r="A67" s="119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16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>
      <c r="A68" s="119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16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>
      <c r="A69" s="119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16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>
      <c r="A70" s="119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16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>
      <c r="A71" s="119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16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>
      <c r="A72" s="119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16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>
      <c r="A73" s="119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16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>
      <c r="A74" s="119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16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>
      <c r="A75" s="119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16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>
      <c r="A76" s="119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16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>
      <c r="A77" s="119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16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>
      <c r="A78" s="119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16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>
      <c r="A79" s="119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16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>
      <c r="A80" s="119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16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>
      <c r="A81" s="119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16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>
      <c r="A82" s="119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16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>
      <c r="A83" s="119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16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>
      <c r="A84" s="119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16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>
      <c r="A85" s="119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16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>
      <c r="A86" s="119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16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>
      <c r="A87" s="119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16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>
      <c r="A88" s="119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16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>
      <c r="A89" s="119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16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>
      <c r="A90" s="119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16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>
      <c r="A91" s="119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16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>
      <c r="A92" s="119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16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>
      <c r="A93" s="119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16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>
      <c r="A94" s="119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16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>
      <c r="A95" s="119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16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>
      <c r="A96" s="119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16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>
      <c r="A97" s="119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16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>
      <c r="A98" s="119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16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>
      <c r="A99" s="119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16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>
      <c r="A100" s="119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16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>
      <c r="A101" s="119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16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>
      <c r="A102" s="119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16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>
      <c r="A103" s="119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16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>
      <c r="A104" s="119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16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>
      <c r="A105" s="119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16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>
      <c r="A106" s="119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16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>
      <c r="A107" s="119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16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>
      <c r="A108" s="119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16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>
      <c r="A109" s="119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16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>
      <c r="A110" s="119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16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>
      <c r="A111" s="119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16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>
      <c r="A112" s="119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16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>
      <c r="A113" s="119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16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>
      <c r="A114" s="119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16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>
      <c r="A115" s="119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16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>
      <c r="A116" s="119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16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>
      <c r="A117" s="119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16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>
      <c r="A118" s="119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16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>
      <c r="A119" s="119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16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>
      <c r="A120" s="119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16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>
      <c r="A121" s="119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16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>
      <c r="A122" s="119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16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>
      <c r="A123" s="119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16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>
      <c r="A124" s="119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16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>
      <c r="A125" s="119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16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>
      <c r="A126" s="119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16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>
      <c r="A127" s="119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16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>
      <c r="A128" s="119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16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>
      <c r="A129" s="119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16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>
      <c r="A130" s="119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16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>
      <c r="A131" s="119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16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>
      <c r="A132" s="119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16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>
      <c r="A133" s="119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16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>
      <c r="A134" s="119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16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>
      <c r="A135" s="119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16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>
      <c r="A136" s="119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16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>
      <c r="A137" s="119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16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>
      <c r="A138" s="119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16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>
      <c r="A139" s="119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16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>
      <c r="A140" s="119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16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>
      <c r="A141" s="119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16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>
      <c r="A142" s="119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16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>
      <c r="A143" s="119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16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>
      <c r="A144" s="119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16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>
      <c r="A145" s="119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16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>
      <c r="A146" s="119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16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>
      <c r="A147" s="119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16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>
      <c r="A148" s="119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16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>
      <c r="A149" s="119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16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>
      <c r="A150" s="119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16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>
      <c r="A151" s="119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16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>
      <c r="A152" s="119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16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>
      <c r="A153" s="119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16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>
      <c r="A154" s="119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16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>
      <c r="A155" s="119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16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>
      <c r="A156" s="119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16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>
      <c r="A157" s="119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16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>
      <c r="A158" s="119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16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>
      <c r="A159" s="119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16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>
      <c r="A160" s="119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16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>
      <c r="A161" s="119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16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>
      <c r="A162" s="119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16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>
      <c r="A163" s="119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16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>
      <c r="A164" s="119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16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>
      <c r="A165" s="119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16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>
      <c r="A166" s="119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16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>
      <c r="A167" s="119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16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>
      <c r="A168" s="119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16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>
      <c r="A169" s="119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16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>
      <c r="A170" s="119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16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>
      <c r="A171" s="119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16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>
      <c r="A172" s="119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16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>
      <c r="A173" s="119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16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>
      <c r="A174" s="119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16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>
      <c r="A175" s="119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16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>
      <c r="A176" s="119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16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>
      <c r="A177" s="119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16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>
      <c r="A178" s="119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16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>
      <c r="A179" s="119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16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>
      <c r="A180" s="119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16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>
      <c r="A181" s="119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16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>
      <c r="A182" s="119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16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>
      <c r="A183" s="119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16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>
      <c r="A184" s="119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16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>
      <c r="A185" s="119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16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>
      <c r="A186" s="119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16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>
      <c r="A187" s="119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16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>
      <c r="A188" s="119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16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>
      <c r="A189" s="119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16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>
      <c r="A190" s="119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16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>
      <c r="A191" s="119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16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>
      <c r="A192" s="119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16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>
      <c r="A193" s="119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16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>
      <c r="A194" s="119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16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>
      <c r="A195" s="119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16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>
      <c r="A196" s="119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16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>
      <c r="A197" s="119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16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>
      <c r="A198" s="119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16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>
      <c r="A199" s="119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16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>
      <c r="A200" s="119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16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>
      <c r="A201" s="119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16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>
      <c r="A202" s="119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16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>
      <c r="A203" s="119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16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>
      <c r="A204" s="119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16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>
      <c r="A205" s="119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16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>
      <c r="A206" s="119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16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>
      <c r="A207" s="119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16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>
      <c r="A208" s="119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16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>
      <c r="A209" s="119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16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>
      <c r="A210" s="119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16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>
      <c r="A211" s="119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16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>
      <c r="A212" s="119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16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>
      <c r="A213" s="119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16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>
      <c r="A214" s="119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16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>
      <c r="A215" s="119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16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>
      <c r="A216" s="119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16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>
      <c r="A217" s="119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16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>
      <c r="A218" s="119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16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>
      <c r="A219" s="119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16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>
      <c r="A220" s="119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16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>
      <c r="A221" s="119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16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>
      <c r="A222" s="119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16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>
      <c r="A223" s="119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16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>
      <c r="A224" s="119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16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>
      <c r="A225" s="119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16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>
      <c r="A226" s="119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16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>
      <c r="A227" s="119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16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>
      <c r="A228" s="119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16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>
      <c r="A229" s="119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16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>
      <c r="A230" s="119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16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>
      <c r="A231" s="119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16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>
      <c r="A232" s="119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16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>
      <c r="A233" s="119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16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>
      <c r="A234" s="119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16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>
      <c r="A235" s="119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16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>
      <c r="A236" s="119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16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>
      <c r="A237" s="119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16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>
      <c r="A238" s="119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16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>
      <c r="A239" s="119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16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>
      <c r="A240" s="119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16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>
      <c r="A241" s="119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16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>
      <c r="A242" s="119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16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>
      <c r="A243" s="119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16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>
      <c r="A244" s="119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16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>
      <c r="A245" s="119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16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>
      <c r="A246" s="119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16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>
      <c r="A247" s="119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16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>
      <c r="A248" s="119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16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>
      <c r="A249" s="119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16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>
      <c r="A250" s="119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16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>
      <c r="A251" s="119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16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>
      <c r="A252" s="119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16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>
      <c r="A253" s="119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16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>
      <c r="A254" s="119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16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>
      <c r="A255" s="119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16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>
      <c r="A256" s="119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16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>
      <c r="A257" s="119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16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>
      <c r="A258" s="119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16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>
      <c r="A259" s="119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16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>
      <c r="A260" s="119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16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>
      <c r="A261" s="119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16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>
      <c r="A262" s="119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16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>
      <c r="A263" s="119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16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>
      <c r="A264" s="119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16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>
      <c r="A265" s="119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16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>
      <c r="A266" s="119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16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>
      <c r="A267" s="119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16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>
      <c r="A268" s="119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16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>
      <c r="A269" s="119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16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>
      <c r="A270" s="119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16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>
      <c r="A271" s="119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16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>
      <c r="A272" s="119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16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>
      <c r="A273" s="119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16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>
      <c r="A274" s="119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16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>
      <c r="A275" s="119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16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>
      <c r="A276" s="119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16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>
      <c r="A277" s="119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16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>
      <c r="A278" s="119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16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>
      <c r="A279" s="119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16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>
      <c r="A280" s="119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16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>
      <c r="A281" s="119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16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>
      <c r="A282" s="119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16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>
      <c r="A283" s="119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16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>
      <c r="A284" s="119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16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>
      <c r="A285" s="119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16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>
      <c r="A286" s="119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16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>
      <c r="A287" s="119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16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>
      <c r="A288" s="119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16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>
      <c r="A289" s="119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16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>
      <c r="A290" s="119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16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>
      <c r="A291" s="119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16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>
      <c r="A292" s="119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16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>
      <c r="A293" s="119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16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>
      <c r="A294" s="119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16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>
      <c r="A295" s="119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16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>
      <c r="A296" s="119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16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>
      <c r="A297" s="119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16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>
      <c r="A298" s="119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16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>
      <c r="A299" s="119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16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>
      <c r="A300" s="119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16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>
      <c r="A301" s="119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16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>
      <c r="A302" s="119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16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>
      <c r="A303" s="119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16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>
      <c r="A304" s="119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16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>
      <c r="A305" s="119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16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>
      <c r="A306" s="119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16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>
      <c r="A307" s="119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16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>
      <c r="A308" s="119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16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>
      <c r="A309" s="119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16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>
      <c r="A310" s="119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16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>
      <c r="A311" s="119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16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>
      <c r="A312" s="119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16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>
      <c r="A313" s="119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16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>
      <c r="A314" s="119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16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>
      <c r="A315" s="119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16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>
      <c r="A316" s="119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16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>
      <c r="A317" s="119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16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>
      <c r="A318" s="119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16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>
      <c r="A319" s="119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16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>
      <c r="A320" s="119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16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>
      <c r="A321" s="119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16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>
      <c r="A322" s="119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16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>
      <c r="A323" s="119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16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>
      <c r="A324" s="119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16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>
      <c r="A325" s="119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16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>
      <c r="A326" s="119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16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>
      <c r="A327" s="119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16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>
      <c r="A328" s="119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16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>
      <c r="A329" s="119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16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>
      <c r="A330" s="119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16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>
      <c r="A331" s="119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16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>
      <c r="A332" s="119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16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>
      <c r="A333" s="119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16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>
      <c r="A334" s="119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16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>
      <c r="A335" s="119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16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>
      <c r="A336" s="119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16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>
      <c r="A337" s="119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16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>
      <c r="A338" s="119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16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>
      <c r="A339" s="119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16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>
      <c r="A340" s="119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16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>
      <c r="A341" s="119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16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>
      <c r="A342" s="119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16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>
      <c r="A343" s="119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16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>
      <c r="A344" s="119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16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>
      <c r="A345" s="119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16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>
      <c r="A346" s="119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16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>
      <c r="A347" s="119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16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>
      <c r="A348" s="119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16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>
      <c r="A349" s="119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16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>
      <c r="A350" s="119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16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>
      <c r="A351" s="119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16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>
      <c r="A352" s="119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16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>
      <c r="A353" s="119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16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>
      <c r="A354" s="119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16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>
      <c r="A355" s="119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16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>
      <c r="A356" s="119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16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>
      <c r="A357" s="119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16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>
      <c r="A358" s="119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16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>
      <c r="A359" s="119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16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>
      <c r="A360" s="119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16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>
      <c r="A361" s="119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16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>
      <c r="A362" s="119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16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>
      <c r="A363" s="119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16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>
      <c r="A364" s="119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16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>
      <c r="A365" s="119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16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>
      <c r="A366" s="119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16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>
      <c r="A367" s="119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16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>
      <c r="A368" s="119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16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>
      <c r="A369" s="119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16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>
      <c r="A370" s="119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16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>
      <c r="A371" s="119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16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>
      <c r="A372" s="119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16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>
      <c r="A373" s="119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16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>
      <c r="A374" s="119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16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>
      <c r="A375" s="119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16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>
      <c r="A376" s="119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16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>
      <c r="A377" s="119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16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>
      <c r="A378" s="119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16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>
      <c r="A379" s="119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16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>
      <c r="A380" s="119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16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>
      <c r="A381" s="119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16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>
      <c r="A382" s="119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16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>
      <c r="A383" s="119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16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>
      <c r="A384" s="119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16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>
      <c r="A385" s="119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16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>
      <c r="A386" s="119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16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>
      <c r="A387" s="119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16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>
      <c r="A388" s="119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16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>
      <c r="A389" s="119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16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>
      <c r="A390" s="119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16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>
      <c r="A391" s="119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16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>
      <c r="A392" s="119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16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>
      <c r="A393" s="119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16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>
      <c r="A394" s="119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16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>
      <c r="A395" s="119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16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>
      <c r="A396" s="119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16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>
      <c r="A397" s="119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16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>
      <c r="A398" s="119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16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>
      <c r="A399" s="119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16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>
      <c r="A400" s="119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16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>
      <c r="A401" s="119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16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>
      <c r="A402" s="119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16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>
      <c r="A403" s="119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16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>
      <c r="A404" s="119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16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>
      <c r="A405" s="119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16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>
      <c r="A406" s="119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16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>
      <c r="A407" s="119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16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>
      <c r="A408" s="119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16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>
      <c r="A409" s="119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16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>
      <c r="A410" s="119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16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>
      <c r="A411" s="119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16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>
      <c r="A412" s="119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16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>
      <c r="A413" s="119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16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>
      <c r="A414" s="119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16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>
      <c r="A415" s="119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16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>
      <c r="A416" s="119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16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>
      <c r="A417" s="119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16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>
      <c r="A418" s="119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16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>
      <c r="A419" s="119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16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>
      <c r="A420" s="119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16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>
      <c r="A421" s="119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16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>
      <c r="A422" s="119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16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>
      <c r="A423" s="119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16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>
      <c r="A424" s="119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16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>
      <c r="A425" s="119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16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>
      <c r="A426" s="119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16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>
      <c r="A427" s="119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16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>
      <c r="A428" s="119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16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>
      <c r="A429" s="119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16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>
      <c r="A430" s="119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16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>
      <c r="A431" s="119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16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>
      <c r="A432" s="119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16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>
      <c r="A433" s="119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16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>
      <c r="A434" s="119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16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>
      <c r="A435" s="119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16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>
      <c r="A436" s="119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16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>
      <c r="A437" s="119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16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>
      <c r="A438" s="119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16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>
      <c r="A439" s="119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16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>
      <c r="A440" s="119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16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>
      <c r="A441" s="119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16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>
      <c r="A442" s="119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16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>
      <c r="A443" s="119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16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>
      <c r="A444" s="119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16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>
      <c r="A445" s="119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16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>
      <c r="A446" s="119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16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>
      <c r="A447" s="119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16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>
      <c r="A448" s="119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16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>
      <c r="A449" s="119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16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>
      <c r="A450" s="119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16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>
      <c r="A451" s="119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16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>
      <c r="A452" s="119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16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>
      <c r="A453" s="119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16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>
      <c r="A454" s="119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16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>
      <c r="A455" s="119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16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>
      <c r="A456" s="119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16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>
      <c r="A457" s="119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16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>
      <c r="A458" s="119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16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>
      <c r="A459" s="119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16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>
      <c r="A460" s="119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16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>
      <c r="A461" s="119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16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>
      <c r="A462" s="119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16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>
      <c r="A463" s="119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16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>
      <c r="A464" s="119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16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>
      <c r="A465" s="119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16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>
      <c r="A466" s="119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16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>
      <c r="A467" s="119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16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>
      <c r="A468" s="119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16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>
      <c r="A469" s="120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17" t="str">
        <f t="shared" si="45"/>
        <v/>
      </c>
      <c r="J469" s="12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32:C469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8:C31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2" activePane="bottomLeft" state="frozen"/>
      <selection pane="bottomLeft" activeCell="B3" sqref="B3:E3"/>
      <selection activeCell="B11" sqref="B11"/>
    </sheetView>
  </sheetViews>
  <sheetFormatPr defaultColWidth="11.42578125" defaultRowHeight="12.75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customWidth="1"/>
    <col min="12" max="12" width="0" style="19" hidden="1" customWidth="1"/>
  </cols>
  <sheetData>
    <row r="1" spans="1:12" ht="36.6" customHeight="1">
      <c r="A1" s="133" t="s">
        <v>62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21"/>
    </row>
    <row r="2" spans="1:12" ht="14.85" customHeight="1">
      <c r="A2" s="148" t="s">
        <v>63</v>
      </c>
      <c r="B2" s="148"/>
      <c r="C2" s="148"/>
      <c r="D2" s="148"/>
      <c r="E2" s="148"/>
      <c r="F2" s="148"/>
      <c r="G2" s="147" t="s">
        <v>64</v>
      </c>
      <c r="H2" s="147" t="s">
        <v>65</v>
      </c>
      <c r="I2" s="147"/>
      <c r="J2" s="147" t="s">
        <v>3</v>
      </c>
      <c r="K2" s="149" t="s">
        <v>66</v>
      </c>
    </row>
    <row r="3" spans="1:12" ht="14.85" customHeight="1">
      <c r="A3" s="22" t="s">
        <v>67</v>
      </c>
      <c r="B3" s="147" t="s">
        <v>68</v>
      </c>
      <c r="C3" s="147"/>
      <c r="D3" s="147"/>
      <c r="E3" s="147"/>
      <c r="F3" s="23" t="s">
        <v>69</v>
      </c>
      <c r="G3" s="147"/>
      <c r="H3" s="23" t="s">
        <v>70</v>
      </c>
      <c r="I3" s="23" t="s">
        <v>71</v>
      </c>
      <c r="J3" s="147"/>
      <c r="K3" s="149"/>
    </row>
    <row r="4" spans="1:12">
      <c r="A4" s="3" t="s">
        <v>72</v>
      </c>
      <c r="B4" s="129" t="s">
        <v>73</v>
      </c>
      <c r="C4" s="129"/>
      <c r="D4" s="129"/>
      <c r="E4" s="129"/>
      <c r="F4" s="2"/>
      <c r="G4" s="24" t="s">
        <v>74</v>
      </c>
      <c r="H4" s="98">
        <v>1</v>
      </c>
      <c r="I4" s="99"/>
      <c r="J4" s="100">
        <f>SUMIF(Funções!$C$8:$C$469,Deflatores!G4,Funções!$H$8:$H$469)</f>
        <v>0</v>
      </c>
      <c r="K4" s="101">
        <f>IF(H4="",COUNTIF(Funções!C$8:C$469,G4)*I4,H4*J4)</f>
        <v>0</v>
      </c>
    </row>
    <row r="5" spans="1:12">
      <c r="A5" s="3" t="s">
        <v>75</v>
      </c>
      <c r="B5" s="129" t="s">
        <v>76</v>
      </c>
      <c r="C5" s="129"/>
      <c r="D5" s="129"/>
      <c r="E5" s="129"/>
      <c r="F5" s="2" t="s">
        <v>77</v>
      </c>
      <c r="G5" s="24" t="s">
        <v>78</v>
      </c>
      <c r="H5" s="98">
        <v>0.5</v>
      </c>
      <c r="I5" s="99"/>
      <c r="J5" s="100">
        <f>SUMIF(Funções!$C$8:$C$469,Deflatores!G5,Funções!$H$8:$H$469)</f>
        <v>0</v>
      </c>
      <c r="K5" s="101">
        <f>IF(H5="",COUNTIF(Funções!C$8:C$469,G5)*I5,H5*J5)</f>
        <v>0</v>
      </c>
    </row>
    <row r="6" spans="1:12">
      <c r="A6" s="3" t="s">
        <v>79</v>
      </c>
      <c r="B6" s="129" t="s">
        <v>80</v>
      </c>
      <c r="C6" s="129"/>
      <c r="D6" s="129"/>
      <c r="E6" s="129"/>
      <c r="F6" s="2" t="s">
        <v>77</v>
      </c>
      <c r="G6" s="24" t="s">
        <v>81</v>
      </c>
      <c r="H6" s="98">
        <v>0.4</v>
      </c>
      <c r="I6" s="99"/>
      <c r="J6" s="100">
        <f>SUMIF(Funções!$C$8:$C$469,Deflatores!G6,Funções!$H$8:$H$469)</f>
        <v>0</v>
      </c>
      <c r="K6" s="101">
        <f>IF(H6="",COUNTIF(Funções!C$8:C$469,G6)*I6,H6*J6)</f>
        <v>0</v>
      </c>
    </row>
    <row r="7" spans="1:12">
      <c r="A7" s="3"/>
      <c r="B7" s="129" t="s">
        <v>82</v>
      </c>
      <c r="C7" s="129"/>
      <c r="D7" s="129"/>
      <c r="E7" s="129"/>
      <c r="F7" s="2" t="s">
        <v>77</v>
      </c>
      <c r="G7" s="24" t="s">
        <v>83</v>
      </c>
      <c r="H7" s="98">
        <v>0.5</v>
      </c>
      <c r="I7" s="99"/>
      <c r="J7" s="100">
        <f>SUMIF(Funções!$C$8:$C$469,Deflatores!G7,Funções!$H$8:$H$469)</f>
        <v>0</v>
      </c>
      <c r="K7" s="101">
        <f>IF(H7="",COUNTIF(Funções!C$8:C$469,G7)*I7,H7*J7)</f>
        <v>0</v>
      </c>
    </row>
    <row r="8" spans="1:12">
      <c r="A8" s="3"/>
      <c r="B8" s="129" t="s">
        <v>84</v>
      </c>
      <c r="C8" s="129"/>
      <c r="D8" s="129"/>
      <c r="E8" s="129"/>
      <c r="F8" s="2" t="s">
        <v>77</v>
      </c>
      <c r="G8" s="24" t="s">
        <v>85</v>
      </c>
      <c r="H8" s="98">
        <v>0.75</v>
      </c>
      <c r="I8" s="99"/>
      <c r="J8" s="100">
        <f>SUMIF(Funções!$C$8:$C$469,Deflatores!G8,Funções!$H$8:$H$469)</f>
        <v>0</v>
      </c>
      <c r="K8" s="101">
        <f>IF(H8="",COUNTIF(Funções!C$8:C$469,G8)*I8,H8*J8)</f>
        <v>0</v>
      </c>
    </row>
    <row r="9" spans="1:12">
      <c r="A9" s="3"/>
      <c r="B9" s="129" t="s">
        <v>86</v>
      </c>
      <c r="C9" s="129"/>
      <c r="D9" s="129"/>
      <c r="E9" s="129"/>
      <c r="F9" s="2" t="s">
        <v>77</v>
      </c>
      <c r="G9" s="24" t="s">
        <v>87</v>
      </c>
      <c r="H9" s="98">
        <v>0.9</v>
      </c>
      <c r="I9" s="99"/>
      <c r="J9" s="100">
        <f>SUMIF(Funções!$C$8:$C$469,Deflatores!G9,Funções!$H$8:$H$469)</f>
        <v>0</v>
      </c>
      <c r="K9" s="101">
        <f>IF(H9="",COUNTIF(Funções!C$8:C$469,G9)*I9,H9*J9)</f>
        <v>0</v>
      </c>
    </row>
    <row r="10" spans="1:12">
      <c r="A10" s="3"/>
      <c r="B10" s="129" t="s">
        <v>88</v>
      </c>
      <c r="C10" s="129"/>
      <c r="D10" s="129"/>
      <c r="E10" s="129"/>
      <c r="F10" s="2" t="s">
        <v>89</v>
      </c>
      <c r="G10" s="24" t="s">
        <v>90</v>
      </c>
      <c r="H10" s="98">
        <v>1</v>
      </c>
      <c r="I10" s="99"/>
      <c r="J10" s="100">
        <f>SUMIF(Funções!$C$8:$C$469,Deflatores!G10,Funções!$H$8:$H$469)</f>
        <v>0</v>
      </c>
      <c r="K10" s="101">
        <f>IF(H10="",COUNTIF(Funções!C$8:C$469,G10)*I10,H10*J10)</f>
        <v>0</v>
      </c>
    </row>
    <row r="11" spans="1:12">
      <c r="A11" s="3"/>
      <c r="B11" s="129" t="s">
        <v>91</v>
      </c>
      <c r="C11" s="129"/>
      <c r="D11" s="129"/>
      <c r="E11" s="129"/>
      <c r="F11" s="2" t="s">
        <v>92</v>
      </c>
      <c r="G11" s="24" t="s">
        <v>93</v>
      </c>
      <c r="H11" s="98">
        <v>0.5</v>
      </c>
      <c r="I11" s="99"/>
      <c r="J11" s="100">
        <f>SUMIF(Funções!$C$8:$C$469,Deflatores!G11,Funções!$H$8:$H$469)</f>
        <v>0</v>
      </c>
      <c r="K11" s="101">
        <f>IF(H11="",COUNTIF(Funções!C$8:C$469,G11)*I11,H11*J11)</f>
        <v>0</v>
      </c>
    </row>
    <row r="12" spans="1:12" ht="13.5" customHeight="1">
      <c r="A12" s="3"/>
      <c r="B12" s="129" t="s">
        <v>94</v>
      </c>
      <c r="C12" s="129"/>
      <c r="D12" s="129"/>
      <c r="E12" s="129"/>
      <c r="F12" s="2" t="s">
        <v>92</v>
      </c>
      <c r="G12" s="24" t="s">
        <v>95</v>
      </c>
      <c r="H12" s="98">
        <v>0.5</v>
      </c>
      <c r="I12" s="99"/>
      <c r="J12" s="100">
        <f>SUMIF(Funções!$C$8:$C$469,Deflatores!G12,Funções!$H$8:$H$469)</f>
        <v>0</v>
      </c>
      <c r="K12" s="101">
        <f>IF(H12="",COUNTIF(Funções!C$8:C$469,G12)*I12,H12*J12)</f>
        <v>0</v>
      </c>
    </row>
    <row r="13" spans="1:12" ht="13.5" customHeight="1">
      <c r="A13" s="3"/>
      <c r="B13" s="129" t="s">
        <v>96</v>
      </c>
      <c r="C13" s="129"/>
      <c r="D13" s="129"/>
      <c r="E13" s="129"/>
      <c r="F13" s="2" t="s">
        <v>92</v>
      </c>
      <c r="G13" s="24" t="s">
        <v>97</v>
      </c>
      <c r="H13" s="98">
        <v>0.75</v>
      </c>
      <c r="I13" s="99"/>
      <c r="J13" s="100">
        <f>SUMIF(Funções!$C$8:$C$469,Deflatores!G13,Funções!$H$8:$H$469)</f>
        <v>0</v>
      </c>
      <c r="K13" s="101">
        <f>IF(H13="",COUNTIF(Funções!C$8:C$469,G13)*I13,H13*J13)</f>
        <v>0</v>
      </c>
    </row>
    <row r="14" spans="1:12" ht="13.5" customHeight="1">
      <c r="A14" s="3"/>
      <c r="B14" s="129" t="s">
        <v>98</v>
      </c>
      <c r="C14" s="129"/>
      <c r="D14" s="129"/>
      <c r="E14" s="129"/>
      <c r="F14" s="2" t="s">
        <v>92</v>
      </c>
      <c r="G14" s="24" t="s">
        <v>99</v>
      </c>
      <c r="H14" s="98">
        <v>0.9</v>
      </c>
      <c r="I14" s="99"/>
      <c r="J14" s="100">
        <f>SUMIF(Funções!$C$8:$C$469,Deflatores!G14,Funções!$H$8:$H$469)</f>
        <v>0</v>
      </c>
      <c r="K14" s="101">
        <f>IF(H14="",COUNTIF(Funções!C$8:C$469,G14)*I14,H14*J14)</f>
        <v>0</v>
      </c>
    </row>
    <row r="15" spans="1:12" ht="13.5" customHeight="1">
      <c r="A15" s="3"/>
      <c r="B15" s="129" t="s">
        <v>100</v>
      </c>
      <c r="C15" s="129"/>
      <c r="D15" s="129"/>
      <c r="E15" s="129"/>
      <c r="F15" s="2" t="s">
        <v>92</v>
      </c>
      <c r="G15" s="24" t="s">
        <v>101</v>
      </c>
      <c r="H15" s="98">
        <v>0</v>
      </c>
      <c r="I15" s="99"/>
      <c r="J15" s="100">
        <f>SUMIF(Funções!$C$8:$C$469,Deflatores!G15,Funções!$H$8:$H$469)</f>
        <v>0</v>
      </c>
      <c r="K15" s="101">
        <f>IF(H15="",COUNTIF(Funções!C$8:C$469,G15)*I15,H15*J15)</f>
        <v>0</v>
      </c>
    </row>
    <row r="16" spans="1:12" ht="13.5" customHeight="1">
      <c r="A16" s="3"/>
      <c r="B16" s="129" t="s">
        <v>102</v>
      </c>
      <c r="C16" s="129"/>
      <c r="D16" s="129"/>
      <c r="E16" s="129"/>
      <c r="F16" s="2" t="s">
        <v>103</v>
      </c>
      <c r="G16" s="24" t="s">
        <v>104</v>
      </c>
      <c r="H16" s="98">
        <v>1</v>
      </c>
      <c r="I16" s="99"/>
      <c r="J16" s="100">
        <f>SUMIF(Funções!$C$8:$C$469,Deflatores!G16,Funções!$H$8:$H$469)</f>
        <v>0</v>
      </c>
      <c r="K16" s="101">
        <f>IF(H16="",COUNTIF(Funções!C$8:C$469,G16)*I16,H16*J16)</f>
        <v>0</v>
      </c>
    </row>
    <row r="17" spans="1:11">
      <c r="A17" s="3"/>
      <c r="B17" s="129" t="s">
        <v>105</v>
      </c>
      <c r="C17" s="129"/>
      <c r="D17" s="129"/>
      <c r="E17" s="129"/>
      <c r="F17" s="2" t="s">
        <v>106</v>
      </c>
      <c r="G17" s="24" t="s">
        <v>107</v>
      </c>
      <c r="H17" s="98">
        <v>1</v>
      </c>
      <c r="I17" s="99"/>
      <c r="J17" s="100">
        <f>SUMIF(Funções!$C$8:$C$469,Deflatores!G17,Funções!$H$8:$H$469)</f>
        <v>0</v>
      </c>
      <c r="K17" s="101">
        <f>IF(H17="",COUNTIF(Funções!C$8:C$469,G17)*I17,H17*J17)</f>
        <v>0</v>
      </c>
    </row>
    <row r="18" spans="1:11" ht="13.5" customHeight="1">
      <c r="A18" s="3"/>
      <c r="B18" s="129" t="s">
        <v>108</v>
      </c>
      <c r="C18" s="129"/>
      <c r="D18" s="129"/>
      <c r="E18" s="129"/>
      <c r="F18" s="2" t="s">
        <v>106</v>
      </c>
      <c r="G18" s="24" t="s">
        <v>109</v>
      </c>
      <c r="H18" s="98">
        <v>0.3</v>
      </c>
      <c r="I18" s="99"/>
      <c r="J18" s="100">
        <f>SUMIF(Funções!$C$8:$C$469,Deflatores!G18,Funções!$H$8:$H$469)</f>
        <v>0</v>
      </c>
      <c r="K18" s="101">
        <f>IF(H18="",COUNTIF(Funções!C$8:C$469,G18)*I18,H18*J18)</f>
        <v>0</v>
      </c>
    </row>
    <row r="19" spans="1:11" ht="13.5" customHeight="1">
      <c r="A19" s="3"/>
      <c r="B19" s="129" t="s">
        <v>110</v>
      </c>
      <c r="C19" s="129"/>
      <c r="D19" s="129"/>
      <c r="E19" s="129"/>
      <c r="F19" s="2" t="s">
        <v>111</v>
      </c>
      <c r="G19" s="24" t="s">
        <v>112</v>
      </c>
      <c r="H19" s="98">
        <v>0.3</v>
      </c>
      <c r="I19" s="99"/>
      <c r="J19" s="100">
        <f>SUMIF(Funções!$C$8:$C$469,Deflatores!G19,Funções!$H$8:$H$469)</f>
        <v>0</v>
      </c>
      <c r="K19" s="101">
        <f>IF(H19="",COUNTIF(Funções!C$8:C$469,G19)*I19,H19*J19)</f>
        <v>0</v>
      </c>
    </row>
    <row r="20" spans="1:11" ht="13.5" customHeight="1">
      <c r="A20" s="3"/>
      <c r="B20" s="129" t="s">
        <v>113</v>
      </c>
      <c r="C20" s="129"/>
      <c r="D20" s="129"/>
      <c r="E20" s="129"/>
      <c r="F20" s="2" t="s">
        <v>114</v>
      </c>
      <c r="G20" s="24" t="s">
        <v>115</v>
      </c>
      <c r="H20" s="98">
        <v>0.3</v>
      </c>
      <c r="I20" s="99"/>
      <c r="J20" s="100">
        <f>SUMIF(Funções!$C$8:$C$469,Deflatores!G20,Funções!$H$8:$H$469)</f>
        <v>0</v>
      </c>
      <c r="K20" s="101">
        <f>IF(H20="",COUNTIF(Funções!C$8:C$469,G20)*I20,H20*J20)</f>
        <v>0</v>
      </c>
    </row>
    <row r="21" spans="1:11" ht="13.5" customHeight="1">
      <c r="A21" s="3"/>
      <c r="B21" s="129" t="s">
        <v>116</v>
      </c>
      <c r="C21" s="129"/>
      <c r="D21" s="129"/>
      <c r="E21" s="129"/>
      <c r="F21" s="2" t="s">
        <v>117</v>
      </c>
      <c r="G21" s="24" t="s">
        <v>118</v>
      </c>
      <c r="H21" s="98">
        <v>0.3</v>
      </c>
      <c r="I21" s="99"/>
      <c r="J21" s="100">
        <f>SUMIF(Funções!$C$8:$C$469,Deflatores!G21,Funções!$H$8:$H$469)</f>
        <v>0</v>
      </c>
      <c r="K21" s="101">
        <f>IF(H21="",COUNTIF(Funções!C$8:C$469,G21)*I21,H21*J21)</f>
        <v>0</v>
      </c>
    </row>
    <row r="22" spans="1:11">
      <c r="A22" s="3"/>
      <c r="B22" s="129" t="s">
        <v>119</v>
      </c>
      <c r="C22" s="129"/>
      <c r="D22" s="129"/>
      <c r="E22" s="129"/>
      <c r="F22" s="2" t="s">
        <v>120</v>
      </c>
      <c r="G22" s="24" t="s">
        <v>121</v>
      </c>
      <c r="H22" s="98"/>
      <c r="I22" s="99">
        <v>0.6</v>
      </c>
      <c r="J22" s="100">
        <f>SUMIF(Funções!$C$8:$C$469,Deflatores!G22,Funções!$H$8:$H$469)</f>
        <v>0</v>
      </c>
      <c r="K22" s="101">
        <f>IF(H22="",COUNTIF(Funções!C$8:C$469,G22)*I22,H22*J22)</f>
        <v>0</v>
      </c>
    </row>
    <row r="23" spans="1:11" ht="27" customHeight="1">
      <c r="A23" s="3"/>
      <c r="B23" s="150" t="s">
        <v>122</v>
      </c>
      <c r="C23" s="151"/>
      <c r="D23" s="151"/>
      <c r="E23" s="152"/>
      <c r="F23" s="97" t="s">
        <v>123</v>
      </c>
      <c r="G23" s="24" t="s">
        <v>124</v>
      </c>
      <c r="H23" s="98">
        <v>0.5</v>
      </c>
      <c r="I23" s="99"/>
      <c r="J23" s="100">
        <f>SUMIF(Funções!$C$8:$C$469,Deflatores!G23,Funções!$H$8:$H$469)</f>
        <v>0</v>
      </c>
      <c r="K23" s="101">
        <f>IF(H23="",COUNTIF(Funções!C$8:C$469,G23)*I23,H23*J23)</f>
        <v>0</v>
      </c>
    </row>
    <row r="24" spans="1:11" ht="27" customHeight="1">
      <c r="A24" s="3"/>
      <c r="B24" s="150" t="s">
        <v>125</v>
      </c>
      <c r="C24" s="151"/>
      <c r="D24" s="151"/>
      <c r="E24" s="152"/>
      <c r="F24" s="97" t="s">
        <v>123</v>
      </c>
      <c r="G24" s="24" t="s">
        <v>126</v>
      </c>
      <c r="H24" s="98">
        <v>0.5</v>
      </c>
      <c r="I24" s="99"/>
      <c r="J24" s="100">
        <f>SUMIF(Funções!$C$8:$C$469,Deflatores!G24,Funções!$H$8:$H$469)</f>
        <v>0</v>
      </c>
      <c r="K24" s="101">
        <f>IF(H24="",COUNTIF(Funções!C$8:C$469,G24)*I24,H24*J24)</f>
        <v>0</v>
      </c>
    </row>
    <row r="25" spans="1:11" ht="27" customHeight="1">
      <c r="A25" s="3"/>
      <c r="B25" s="153" t="s">
        <v>127</v>
      </c>
      <c r="C25" s="129"/>
      <c r="D25" s="129"/>
      <c r="E25" s="129"/>
      <c r="F25" s="97" t="s">
        <v>123</v>
      </c>
      <c r="G25" s="24" t="s">
        <v>128</v>
      </c>
      <c r="H25" s="98">
        <v>0.75</v>
      </c>
      <c r="I25" s="99"/>
      <c r="J25" s="100">
        <f>SUMIF(Funções!$C$8:$C$469,Deflatores!G25,Funções!$H$8:$H$469)</f>
        <v>0</v>
      </c>
      <c r="K25" s="101">
        <f>IF(H25="",COUNTIF(Funções!C$8:C$469,G25)*I25,H25*J25)</f>
        <v>0</v>
      </c>
    </row>
    <row r="26" spans="1:11" ht="13.5" customHeight="1">
      <c r="A26" s="3"/>
      <c r="B26" s="129" t="s">
        <v>129</v>
      </c>
      <c r="C26" s="129"/>
      <c r="D26" s="129"/>
      <c r="E26" s="129"/>
      <c r="F26" s="2" t="s">
        <v>130</v>
      </c>
      <c r="G26" s="24" t="s">
        <v>131</v>
      </c>
      <c r="H26" s="98">
        <v>1</v>
      </c>
      <c r="I26" s="99"/>
      <c r="J26" s="100">
        <f>SUMIF(Funções!$C$8:$C$469,Deflatores!G26,Funções!$H$8:$H$469)</f>
        <v>0</v>
      </c>
      <c r="K26" s="101">
        <f>IF(H26="",COUNTIF(Funções!C$8:C$469,G26)*I26,H26*J26)</f>
        <v>0</v>
      </c>
    </row>
    <row r="27" spans="1:11" ht="13.5" customHeight="1">
      <c r="A27" s="3"/>
      <c r="B27" s="129" t="s">
        <v>132</v>
      </c>
      <c r="C27" s="129"/>
      <c r="D27" s="129"/>
      <c r="E27" s="129"/>
      <c r="F27" s="2" t="s">
        <v>130</v>
      </c>
      <c r="G27" s="24" t="s">
        <v>133</v>
      </c>
      <c r="H27" s="98">
        <v>1</v>
      </c>
      <c r="I27" s="99"/>
      <c r="J27" s="100">
        <f>SUMIF(Funções!$C$8:$C$469,Deflatores!G27,Funções!$H$8:$H$469)</f>
        <v>0</v>
      </c>
      <c r="K27" s="101">
        <f>IF(H27="",COUNTIF(Funções!C$8:C$469,G27)*I27,H27*J27)</f>
        <v>0</v>
      </c>
    </row>
    <row r="28" spans="1:11" ht="13.5" customHeight="1">
      <c r="A28" s="3"/>
      <c r="B28" s="129" t="s">
        <v>134</v>
      </c>
      <c r="C28" s="129"/>
      <c r="D28" s="129"/>
      <c r="E28" s="129"/>
      <c r="F28" s="2" t="s">
        <v>130</v>
      </c>
      <c r="G28" s="24" t="s">
        <v>135</v>
      </c>
      <c r="H28" s="98">
        <v>0.6</v>
      </c>
      <c r="I28" s="99"/>
      <c r="J28" s="100">
        <f>SUMIF(Funções!$C$8:$C$469,Deflatores!G28,Funções!$H$8:$H$469)</f>
        <v>0</v>
      </c>
      <c r="K28" s="101">
        <f>IF(H28="",COUNTIF(Funções!C$8:C$469,G28)*I28,H28*J28)</f>
        <v>0</v>
      </c>
    </row>
    <row r="29" spans="1:11" ht="13.5" customHeight="1">
      <c r="A29" s="3"/>
      <c r="B29" s="129" t="s">
        <v>136</v>
      </c>
      <c r="C29" s="129"/>
      <c r="D29" s="129"/>
      <c r="E29" s="129"/>
      <c r="F29" s="2" t="s">
        <v>137</v>
      </c>
      <c r="G29" s="24" t="s">
        <v>138</v>
      </c>
      <c r="H29" s="98">
        <v>1</v>
      </c>
      <c r="I29" s="99"/>
      <c r="J29" s="100">
        <f>SUMIF(Funções!$C$8:$C$469,Deflatores!G29,Funções!$H$8:$H$469)</f>
        <v>0</v>
      </c>
      <c r="K29" s="101">
        <f>IF(H29="",COUNTIF(Funções!C$8:C$469,G29)*I29,H29*J29)</f>
        <v>0</v>
      </c>
    </row>
    <row r="30" spans="1:11" ht="13.5" customHeight="1">
      <c r="A30" s="3"/>
      <c r="B30" s="129" t="s">
        <v>139</v>
      </c>
      <c r="C30" s="129"/>
      <c r="D30" s="129"/>
      <c r="E30" s="129"/>
      <c r="F30" s="2" t="s">
        <v>140</v>
      </c>
      <c r="G30" s="24" t="s">
        <v>141</v>
      </c>
      <c r="H30" s="98">
        <v>0.1</v>
      </c>
      <c r="I30" s="99"/>
      <c r="J30" s="100">
        <f>SUMIF(Funções!$C$8:$C$469,Deflatores!G30,Funções!$H$8:$H$469)</f>
        <v>0</v>
      </c>
      <c r="K30" s="101">
        <f>IF(H30="",COUNTIF(Funções!C$8:C$469,G30)*I30,H30*J30)</f>
        <v>0</v>
      </c>
    </row>
    <row r="31" spans="1:11" ht="13.5" customHeight="1">
      <c r="A31" s="3"/>
      <c r="B31" s="129" t="s">
        <v>142</v>
      </c>
      <c r="C31" s="129"/>
      <c r="D31" s="129"/>
      <c r="E31" s="129"/>
      <c r="F31" s="2" t="s">
        <v>143</v>
      </c>
      <c r="G31" s="24" t="s">
        <v>144</v>
      </c>
      <c r="H31" s="98">
        <v>0.1</v>
      </c>
      <c r="I31" s="99"/>
      <c r="J31" s="100">
        <f>SUMIF(Funções!$C$8:$C$469,Deflatores!G31,Funções!$H$8:$H$469)</f>
        <v>0</v>
      </c>
      <c r="K31" s="101">
        <f>IF(H31="",COUNTIF(Funções!C$8:C$469,G31)*I31,H31*J31)</f>
        <v>0</v>
      </c>
    </row>
    <row r="32" spans="1:11" ht="13.5" customHeight="1">
      <c r="A32" s="3"/>
      <c r="B32" s="111" t="s">
        <v>145</v>
      </c>
      <c r="C32" s="112"/>
      <c r="D32" s="112"/>
      <c r="E32" s="113"/>
      <c r="F32" s="2" t="s">
        <v>146</v>
      </c>
      <c r="G32" s="24" t="s">
        <v>147</v>
      </c>
      <c r="H32" s="98">
        <v>0.25</v>
      </c>
      <c r="I32" s="99"/>
      <c r="J32" s="100">
        <f>SUMIF(Funções!$C$8:$C$469,Deflatores!G32,Funções!$H$8:$H$469)</f>
        <v>0</v>
      </c>
      <c r="K32" s="101">
        <f>IF(H32="",COUNTIF(Funções!C$8:C$469,G32)*I32,H32*J32)</f>
        <v>0</v>
      </c>
    </row>
    <row r="33" spans="1:12" ht="13.5" customHeight="1">
      <c r="A33" s="3"/>
      <c r="B33" s="111" t="s">
        <v>148</v>
      </c>
      <c r="C33" s="112"/>
      <c r="D33" s="112"/>
      <c r="E33" s="113"/>
      <c r="F33" s="2" t="s">
        <v>149</v>
      </c>
      <c r="G33" s="24" t="s">
        <v>150</v>
      </c>
      <c r="H33" s="98">
        <v>0.2</v>
      </c>
      <c r="I33" s="99"/>
      <c r="J33" s="100">
        <f>SUMIF(Funções!$C$8:$C$469,Deflatores!G33,Funções!$H$8:$H$469)</f>
        <v>0</v>
      </c>
      <c r="K33" s="101">
        <f>IF(H33="",COUNTIF(Funções!C$8:C$469,G33)*I33,H33*J33)</f>
        <v>0</v>
      </c>
    </row>
    <row r="34" spans="1:12" ht="13.5" customHeight="1">
      <c r="A34" s="3"/>
      <c r="B34" s="111" t="s">
        <v>151</v>
      </c>
      <c r="C34" s="112"/>
      <c r="D34" s="112"/>
      <c r="E34" s="113"/>
      <c r="F34" s="2" t="s">
        <v>149</v>
      </c>
      <c r="G34" s="24" t="s">
        <v>152</v>
      </c>
      <c r="H34" s="98">
        <v>0.15</v>
      </c>
      <c r="I34" s="99"/>
      <c r="J34" s="100">
        <f>SUMIF(Funções!$C$8:$C$469,Deflatores!G34,Funções!$H$8:$H$469)</f>
        <v>0</v>
      </c>
      <c r="K34" s="101">
        <f>IF(H34="",COUNTIF(Funções!C$8:C$469,G34)*I34,H34*J34)</f>
        <v>0</v>
      </c>
    </row>
    <row r="35" spans="1:12" ht="13.5" customHeight="1">
      <c r="A35" s="3"/>
      <c r="B35" s="111" t="s">
        <v>153</v>
      </c>
      <c r="C35" s="112"/>
      <c r="D35" s="112"/>
      <c r="E35" s="113"/>
      <c r="F35" s="2" t="s">
        <v>154</v>
      </c>
      <c r="G35" s="24" t="s">
        <v>155</v>
      </c>
      <c r="H35" s="98">
        <v>0.15</v>
      </c>
      <c r="I35" s="99"/>
      <c r="J35" s="100">
        <f>SUMIF(Funções!$C$8:$C$469,Deflatores!G35,Funções!$H$8:$H$469)</f>
        <v>0</v>
      </c>
      <c r="K35" s="101">
        <f>IF(H35="",COUNTIF(Funções!C$8:C$469,G35)*I35,H35*J35)</f>
        <v>0</v>
      </c>
    </row>
    <row r="36" spans="1:12" ht="13.5" customHeight="1">
      <c r="A36" s="3"/>
      <c r="B36" s="129" t="s">
        <v>156</v>
      </c>
      <c r="C36" s="129"/>
      <c r="D36" s="129"/>
      <c r="E36" s="129"/>
      <c r="F36" s="2" t="s">
        <v>157</v>
      </c>
      <c r="G36" s="24" t="s">
        <v>158</v>
      </c>
      <c r="H36" s="98">
        <v>1</v>
      </c>
      <c r="I36" s="99"/>
      <c r="J36" s="100">
        <f>SUMIF(Funções!$C$8:$C$469,Deflatores!G36,Funções!$H$8:$H$469)</f>
        <v>0</v>
      </c>
      <c r="K36" s="101">
        <f>IF(H36="",COUNTIF(Funções!C$8:C$469,G36)*I36,H36*J36)</f>
        <v>0</v>
      </c>
    </row>
    <row r="37" spans="1:12" ht="13.5" customHeight="1">
      <c r="A37" s="3"/>
      <c r="B37" s="129"/>
      <c r="C37" s="129"/>
      <c r="D37" s="129"/>
      <c r="E37" s="129"/>
      <c r="F37" s="2"/>
      <c r="G37" s="24" t="s">
        <v>159</v>
      </c>
      <c r="H37" s="98"/>
      <c r="I37" s="99"/>
      <c r="J37" s="100">
        <f>SUMIF(Funções!$C$8:$C$469,Deflatores!G37,Funções!$H$8:$H$469)</f>
        <v>0</v>
      </c>
      <c r="K37" s="101">
        <f>IF(H37="",COUNTIF(Funções!C$8:C$469,G37)*I37,H37*J37)</f>
        <v>0</v>
      </c>
      <c r="L37" s="19" t="s">
        <v>36</v>
      </c>
    </row>
    <row r="38" spans="1:12" ht="13.5" customHeight="1">
      <c r="A38" s="3"/>
      <c r="B38" s="129"/>
      <c r="C38" s="129"/>
      <c r="D38" s="129"/>
      <c r="E38" s="129"/>
      <c r="F38" s="2"/>
      <c r="G38" s="24" t="s">
        <v>159</v>
      </c>
      <c r="H38" s="98"/>
      <c r="I38" s="99"/>
      <c r="J38" s="100">
        <f>SUMIF(Funções!$C$8:$C$469,Deflatores!G38,Funções!$H$8:$H$469)</f>
        <v>0</v>
      </c>
      <c r="K38" s="101">
        <f>IF(H38="",COUNTIF(Funções!C$8:C$469,G38)*I38,H38*J38)</f>
        <v>0</v>
      </c>
      <c r="L38" s="19" t="s">
        <v>160</v>
      </c>
    </row>
    <row r="39" spans="1:12" ht="13.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41</v>
      </c>
    </row>
    <row r="40" spans="1:12" ht="14.85" customHeight="1">
      <c r="A40" s="148" t="s">
        <v>62</v>
      </c>
      <c r="B40" s="148"/>
      <c r="C40" s="148"/>
      <c r="D40" s="148"/>
      <c r="E40" s="148"/>
      <c r="F40" s="148"/>
      <c r="G40" s="147" t="s">
        <v>64</v>
      </c>
      <c r="H40" s="147" t="s">
        <v>65</v>
      </c>
      <c r="I40" s="147"/>
      <c r="J40" s="147" t="s">
        <v>161</v>
      </c>
      <c r="K40" s="149" t="s">
        <v>66</v>
      </c>
      <c r="L40" s="19" t="s">
        <v>46</v>
      </c>
    </row>
    <row r="41" spans="1:12" ht="14.85" customHeight="1">
      <c r="A41" s="22" t="s">
        <v>67</v>
      </c>
      <c r="B41" s="147" t="s">
        <v>68</v>
      </c>
      <c r="C41" s="147"/>
      <c r="D41" s="147"/>
      <c r="E41" s="147"/>
      <c r="F41" s="23" t="s">
        <v>69</v>
      </c>
      <c r="G41" s="147"/>
      <c r="H41" s="147"/>
      <c r="I41" s="147"/>
      <c r="J41" s="147"/>
      <c r="K41" s="149"/>
      <c r="L41" s="19" t="s">
        <v>61</v>
      </c>
    </row>
    <row r="42" spans="1:12" ht="13.5" customHeight="1">
      <c r="A42" s="26"/>
      <c r="B42" s="129" t="s">
        <v>162</v>
      </c>
      <c r="C42" s="129"/>
      <c r="D42" s="129"/>
      <c r="E42" s="129"/>
      <c r="F42" s="2" t="s">
        <v>163</v>
      </c>
      <c r="G42" s="24" t="s">
        <v>164</v>
      </c>
      <c r="H42" s="144">
        <v>0.6</v>
      </c>
      <c r="I42" s="144"/>
      <c r="J42" s="27">
        <f>COUNTIF(Funções!B$8:B$469,G42)</f>
        <v>0</v>
      </c>
      <c r="K42" s="25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>
      <c r="A43" s="26"/>
      <c r="B43" s="129" t="s">
        <v>165</v>
      </c>
      <c r="C43" s="129"/>
      <c r="D43" s="129"/>
      <c r="E43" s="129"/>
      <c r="F43" s="2" t="s">
        <v>120</v>
      </c>
      <c r="G43" s="24" t="s">
        <v>166</v>
      </c>
      <c r="H43" s="144">
        <v>0.6</v>
      </c>
      <c r="I43" s="144"/>
      <c r="J43" s="27">
        <f>COUNTIF(Funções!B$8:B$469,G43)</f>
        <v>0</v>
      </c>
      <c r="K43" s="25">
        <f>SUMIF(Funções!B$8:B$469,$G43,Funções!K$8:K$469)</f>
        <v>0</v>
      </c>
      <c r="L43" s="19" t="str">
        <f t="shared" si="0"/>
        <v>COSNF</v>
      </c>
    </row>
    <row r="44" spans="1:12" ht="13.5" customHeight="1">
      <c r="A44" s="26"/>
      <c r="B44" s="129" t="s">
        <v>167</v>
      </c>
      <c r="C44" s="129"/>
      <c r="D44" s="129"/>
      <c r="E44" s="129"/>
      <c r="F44" s="2"/>
      <c r="G44" s="24" t="s">
        <v>168</v>
      </c>
      <c r="H44" s="144">
        <v>0</v>
      </c>
      <c r="I44" s="144"/>
      <c r="J44" s="27">
        <f>COUNTIF(Funções!B$8:B$469,G44)</f>
        <v>0</v>
      </c>
      <c r="K44" s="25">
        <f>SUMIF(Funções!B$8:B$469,$G44,Funções!K$8:K$469)</f>
        <v>0</v>
      </c>
      <c r="L44" s="19" t="str">
        <f t="shared" si="0"/>
        <v>DC</v>
      </c>
    </row>
    <row r="45" spans="1:12" ht="13.5" customHeight="1">
      <c r="A45" s="26"/>
      <c r="B45" s="129"/>
      <c r="C45" s="129"/>
      <c r="D45" s="129"/>
      <c r="E45" s="129"/>
      <c r="F45" s="2"/>
      <c r="G45" s="24" t="s">
        <v>159</v>
      </c>
      <c r="H45" s="144"/>
      <c r="I45" s="144"/>
      <c r="J45" s="27">
        <f>COUNTIF(Funções!B$8:B$469,G45)</f>
        <v>0</v>
      </c>
      <c r="K45" s="25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>
      <c r="A46" s="26"/>
      <c r="B46" s="129"/>
      <c r="C46" s="129"/>
      <c r="D46" s="129"/>
      <c r="E46" s="129"/>
      <c r="F46" s="2"/>
      <c r="G46" s="24" t="s">
        <v>159</v>
      </c>
      <c r="H46" s="144"/>
      <c r="I46" s="144"/>
      <c r="J46" s="27">
        <f>COUNTIF(Funções!B$8:B$469,G46)</f>
        <v>0</v>
      </c>
      <c r="K46" s="25">
        <f>SUMIF(Funções!B$8:B$469,$G46,Funções!K$8:K$469)</f>
        <v>0</v>
      </c>
      <c r="L46" s="19" t="str">
        <f t="shared" si="0"/>
        <v xml:space="preserve">           .</v>
      </c>
    </row>
    <row r="47" spans="1:12" ht="13.5">
      <c r="A47" s="26"/>
      <c r="B47" s="129"/>
      <c r="C47" s="129"/>
      <c r="D47" s="129"/>
      <c r="E47" s="129"/>
      <c r="F47" s="2"/>
      <c r="G47" s="24" t="s">
        <v>159</v>
      </c>
      <c r="H47" s="144"/>
      <c r="I47" s="144"/>
      <c r="J47" s="27">
        <f>COUNTIF(Funções!B$8:B$469,G47)</f>
        <v>0</v>
      </c>
      <c r="K47" s="25">
        <f>SUMIF(Funções!B$8:B$469,$G47,Funções!K$8:K$469)</f>
        <v>0</v>
      </c>
      <c r="L47" s="19" t="str">
        <f t="shared" si="0"/>
        <v xml:space="preserve">           .</v>
      </c>
    </row>
    <row r="48" spans="1:12" ht="13.5">
      <c r="A48" s="26"/>
      <c r="B48" s="129"/>
      <c r="C48" s="129"/>
      <c r="D48" s="129"/>
      <c r="E48" s="129"/>
      <c r="F48" s="2"/>
      <c r="G48" s="24" t="s">
        <v>159</v>
      </c>
      <c r="H48" s="144"/>
      <c r="I48" s="144"/>
      <c r="J48" s="27">
        <f>COUNTIF(Funções!B$8:B$469,G48)</f>
        <v>0</v>
      </c>
      <c r="K48" s="25">
        <f>SUMIF(Funções!B$8:B$469,$G48,Funções!K$8:K$469)</f>
        <v>0</v>
      </c>
      <c r="L48" s="19" t="str">
        <f t="shared" si="0"/>
        <v xml:space="preserve">           .</v>
      </c>
    </row>
    <row r="49" spans="1:12" ht="13.5">
      <c r="A49" s="26"/>
      <c r="B49" s="129"/>
      <c r="C49" s="129"/>
      <c r="D49" s="129"/>
      <c r="E49" s="129"/>
      <c r="F49" s="2"/>
      <c r="G49" s="24" t="s">
        <v>159</v>
      </c>
      <c r="H49" s="144"/>
      <c r="I49" s="144"/>
      <c r="J49" s="27">
        <f>COUNTIF(Funções!B$8:B$469,G49)</f>
        <v>0</v>
      </c>
      <c r="K49" s="25">
        <f>SUMIF(Funções!B$8:B$469,$G49,Funções!K$8:K$469)</f>
        <v>0</v>
      </c>
      <c r="L49" s="19" t="str">
        <f t="shared" si="0"/>
        <v xml:space="preserve">           .</v>
      </c>
    </row>
    <row r="50" spans="1:12" ht="13.5">
      <c r="A50" s="26"/>
      <c r="B50" s="129"/>
      <c r="C50" s="129"/>
      <c r="D50" s="129"/>
      <c r="E50" s="129"/>
      <c r="F50" s="2"/>
      <c r="G50" s="24" t="s">
        <v>159</v>
      </c>
      <c r="H50" s="144"/>
      <c r="I50" s="144"/>
      <c r="J50" s="27">
        <f>COUNTIF(Funções!B$8:B$469,G50)</f>
        <v>0</v>
      </c>
      <c r="K50" s="25">
        <f>SUMIF(Funções!B$8:B$469,$G50,Funções!K$8:K$469)</f>
        <v>0</v>
      </c>
      <c r="L50" s="19" t="str">
        <f t="shared" si="0"/>
        <v xml:space="preserve">           .</v>
      </c>
    </row>
    <row r="51" spans="1:12" ht="13.5">
      <c r="A51" s="26"/>
      <c r="B51" s="129"/>
      <c r="C51" s="129"/>
      <c r="D51" s="129"/>
      <c r="E51" s="129"/>
      <c r="F51" s="2"/>
      <c r="G51" s="24" t="s">
        <v>159</v>
      </c>
      <c r="H51" s="144"/>
      <c r="I51" s="144"/>
      <c r="J51" s="27">
        <f>COUNTIF(Funções!B$8:B$469,G51)</f>
        <v>0</v>
      </c>
      <c r="K51" s="25">
        <f>SUMIF(Funções!B$8:B$469,$G51,Funções!K$8:K$469)</f>
        <v>0</v>
      </c>
      <c r="L51" s="19" t="str">
        <f t="shared" si="0"/>
        <v xml:space="preserve">           .</v>
      </c>
    </row>
    <row r="52" spans="1:12" ht="13.5">
      <c r="A52" s="26"/>
      <c r="B52" s="129"/>
      <c r="C52" s="129"/>
      <c r="D52" s="129"/>
      <c r="E52" s="129"/>
      <c r="F52" s="2"/>
      <c r="G52" s="24" t="s">
        <v>159</v>
      </c>
      <c r="H52" s="144"/>
      <c r="I52" s="144"/>
      <c r="J52" s="27">
        <f>COUNTIF(Funções!B$8:B$469,G52)</f>
        <v>0</v>
      </c>
      <c r="K52" s="25">
        <f>SUMIF(Funções!B$8:B$469,$G52,Funções!K$8:K$469)</f>
        <v>0</v>
      </c>
      <c r="L52" s="19" t="str">
        <f t="shared" si="0"/>
        <v xml:space="preserve">           .</v>
      </c>
    </row>
    <row r="53" spans="1:12" ht="13.5">
      <c r="A53" s="26"/>
      <c r="B53" s="129"/>
      <c r="C53" s="129"/>
      <c r="D53" s="129"/>
      <c r="E53" s="129"/>
      <c r="F53" s="2"/>
      <c r="G53" s="24" t="s">
        <v>159</v>
      </c>
      <c r="H53" s="144"/>
      <c r="I53" s="144"/>
      <c r="J53" s="27">
        <f>COUNTIF(Funções!B$8:B$469,G53)</f>
        <v>0</v>
      </c>
      <c r="K53" s="25">
        <f>SUMIF(Funções!B$8:B$469,$G53,Funções!K$8:K$469)</f>
        <v>0</v>
      </c>
      <c r="L53" s="19" t="str">
        <f t="shared" si="0"/>
        <v xml:space="preserve">           .</v>
      </c>
    </row>
    <row r="54" spans="1:12" ht="13.5">
      <c r="A54" s="26"/>
      <c r="B54" s="129"/>
      <c r="C54" s="129"/>
      <c r="D54" s="129"/>
      <c r="E54" s="129"/>
      <c r="F54" s="2"/>
      <c r="G54" s="24" t="s">
        <v>159</v>
      </c>
      <c r="H54" s="144"/>
      <c r="I54" s="144"/>
      <c r="J54" s="27">
        <f>COUNTIF(Funções!B$8:B$469,G54)</f>
        <v>0</v>
      </c>
      <c r="K54" s="25">
        <f>SUMIF(Funções!B$8:B$469,$G54,Funções!K$8:K$469)</f>
        <v>0</v>
      </c>
      <c r="L54" s="19" t="str">
        <f t="shared" si="0"/>
        <v xml:space="preserve">           .</v>
      </c>
    </row>
    <row r="55" spans="1:12" ht="13.5">
      <c r="A55" s="26"/>
      <c r="B55" s="129"/>
      <c r="C55" s="129"/>
      <c r="D55" s="129"/>
      <c r="E55" s="129"/>
      <c r="F55" s="2"/>
      <c r="G55" s="24" t="s">
        <v>159</v>
      </c>
      <c r="H55" s="144"/>
      <c r="I55" s="144"/>
      <c r="J55" s="27">
        <f>COUNTIF(Funções!B$8:B$469,G55)</f>
        <v>0</v>
      </c>
      <c r="K55" s="25">
        <f>SUMIF(Funções!B$8:B$469,$G55,Funções!K$8:K$469)</f>
        <v>0</v>
      </c>
      <c r="L55" s="19" t="str">
        <f t="shared" si="0"/>
        <v xml:space="preserve">           .</v>
      </c>
    </row>
    <row r="56" spans="1:12" ht="13.5">
      <c r="A56" s="26"/>
      <c r="B56" s="129"/>
      <c r="C56" s="129"/>
      <c r="D56" s="129"/>
      <c r="E56" s="129"/>
      <c r="F56" s="2"/>
      <c r="G56" s="24" t="s">
        <v>159</v>
      </c>
      <c r="H56" s="144"/>
      <c r="I56" s="144"/>
      <c r="J56" s="27">
        <f>COUNTIF(Funções!B$8:B$469,G56)</f>
        <v>0</v>
      </c>
      <c r="K56" s="25">
        <f>SUMIF(Funções!B$8:B$469,$G56,Funções!K$8:K$469)</f>
        <v>0</v>
      </c>
      <c r="L56" s="19" t="str">
        <f t="shared" si="0"/>
        <v xml:space="preserve">           .</v>
      </c>
    </row>
    <row r="57" spans="1:12" ht="13.5">
      <c r="A57" s="26"/>
      <c r="B57" s="129"/>
      <c r="C57" s="129"/>
      <c r="D57" s="129"/>
      <c r="E57" s="129"/>
      <c r="F57" s="2"/>
      <c r="G57" s="24" t="s">
        <v>159</v>
      </c>
      <c r="H57" s="144"/>
      <c r="I57" s="144"/>
      <c r="J57" s="27">
        <f>COUNTIF(Funções!B$8:B$469,G57)</f>
        <v>0</v>
      </c>
      <c r="K57" s="25">
        <f>SUMIF(Funções!B$8:B$469,$G57,Funções!K$8:K$469)</f>
        <v>0</v>
      </c>
      <c r="L57" s="19" t="str">
        <f t="shared" si="0"/>
        <v xml:space="preserve">           .</v>
      </c>
    </row>
    <row r="58" spans="1:12" ht="13.5">
      <c r="A58" s="26"/>
      <c r="B58" s="129"/>
      <c r="C58" s="129"/>
      <c r="D58" s="129"/>
      <c r="E58" s="129"/>
      <c r="F58" s="2"/>
      <c r="G58" s="24" t="s">
        <v>159</v>
      </c>
      <c r="H58" s="144"/>
      <c r="I58" s="144"/>
      <c r="J58" s="27">
        <f>COUNTIF(Funções!B$8:B$469,G58)</f>
        <v>0</v>
      </c>
      <c r="K58" s="25">
        <f>SUMIF(Funções!B$8:B$469,$G58,Funções!K$8:K$469)</f>
        <v>0</v>
      </c>
      <c r="L58" s="19" t="str">
        <f t="shared" si="0"/>
        <v xml:space="preserve">           .</v>
      </c>
    </row>
    <row r="59" spans="1:12" ht="13.5">
      <c r="A59" s="26"/>
      <c r="B59" s="129"/>
      <c r="C59" s="129"/>
      <c r="D59" s="129"/>
      <c r="E59" s="129"/>
      <c r="F59" s="2"/>
      <c r="G59" s="24" t="s">
        <v>159</v>
      </c>
      <c r="H59" s="144"/>
      <c r="I59" s="144"/>
      <c r="J59" s="27">
        <f>COUNTIF(Funções!B$8:B$469,G59)</f>
        <v>0</v>
      </c>
      <c r="K59" s="25">
        <f>SUMIF(Funções!B$8:B$469,$G59,Funções!K$8:K$469)</f>
        <v>0</v>
      </c>
      <c r="L59" s="19" t="str">
        <f t="shared" si="0"/>
        <v xml:space="preserve">           .</v>
      </c>
    </row>
    <row r="60" spans="1:12" ht="13.5">
      <c r="A60" s="26"/>
      <c r="B60" s="129"/>
      <c r="C60" s="129"/>
      <c r="D60" s="129"/>
      <c r="E60" s="129"/>
      <c r="F60" s="2"/>
      <c r="G60" s="24" t="s">
        <v>159</v>
      </c>
      <c r="H60" s="144"/>
      <c r="I60" s="144"/>
      <c r="J60" s="27">
        <f>COUNTIF(Funções!B$8:B$469,G60)</f>
        <v>0</v>
      </c>
      <c r="K60" s="25">
        <f>SUMIF(Funções!B$8:B$469,$G60,Funções!K$8:K$469)</f>
        <v>0</v>
      </c>
      <c r="L60" s="19" t="str">
        <f t="shared" si="0"/>
        <v xml:space="preserve">           .</v>
      </c>
    </row>
    <row r="61" spans="1:12" ht="13.5">
      <c r="A61" s="26"/>
      <c r="B61" s="129"/>
      <c r="C61" s="129"/>
      <c r="D61" s="129"/>
      <c r="E61" s="129"/>
      <c r="F61" s="2"/>
      <c r="G61" s="24" t="s">
        <v>159</v>
      </c>
      <c r="H61" s="144"/>
      <c r="I61" s="144"/>
      <c r="J61" s="27">
        <f>COUNTIF(Funções!B$8:B$469,G61)</f>
        <v>0</v>
      </c>
      <c r="K61" s="25">
        <f>SUMIF(Funções!B$8:B$469,$G61,Funções!K$8:K$469)</f>
        <v>0</v>
      </c>
      <c r="L61" s="19" t="str">
        <f t="shared" si="0"/>
        <v xml:space="preserve">           .</v>
      </c>
    </row>
    <row r="62" spans="1:12" ht="13.5">
      <c r="A62" s="26"/>
      <c r="B62" s="129"/>
      <c r="C62" s="129"/>
      <c r="D62" s="129"/>
      <c r="E62" s="129"/>
      <c r="F62" s="2"/>
      <c r="G62" s="24" t="s">
        <v>159</v>
      </c>
      <c r="H62" s="144"/>
      <c r="I62" s="144"/>
      <c r="J62" s="27">
        <f>COUNTIF(Funções!B$8:B$469,G62)</f>
        <v>0</v>
      </c>
      <c r="K62" s="25">
        <f>SUMIF(Funções!B$8:B$469,$G62,Funções!K$8:K$469)</f>
        <v>0</v>
      </c>
      <c r="L62" s="19" t="str">
        <f t="shared" si="0"/>
        <v xml:space="preserve">           .</v>
      </c>
    </row>
    <row r="63" spans="1:12" ht="13.5">
      <c r="A63" s="26"/>
      <c r="B63" s="129"/>
      <c r="C63" s="129"/>
      <c r="D63" s="129"/>
      <c r="E63" s="129"/>
      <c r="F63" s="2"/>
      <c r="G63" s="24" t="s">
        <v>159</v>
      </c>
      <c r="H63" s="144"/>
      <c r="I63" s="144"/>
      <c r="J63" s="27">
        <f>COUNTIF(Funções!B$8:B$469,G63)</f>
        <v>0</v>
      </c>
      <c r="K63" s="25">
        <f>SUMIF(Funções!B$8:B$469,$G63,Funções!K$8:K$469)</f>
        <v>0</v>
      </c>
      <c r="L63" s="19" t="str">
        <f t="shared" si="0"/>
        <v xml:space="preserve">           .</v>
      </c>
    </row>
    <row r="64" spans="1:12" ht="13.5">
      <c r="A64" s="28"/>
      <c r="B64" s="145"/>
      <c r="C64" s="145"/>
      <c r="D64" s="145"/>
      <c r="E64" s="145"/>
      <c r="F64" s="29"/>
      <c r="G64" s="30" t="s">
        <v>159</v>
      </c>
      <c r="H64" s="146"/>
      <c r="I64" s="146"/>
      <c r="J64" s="31">
        <f>COUNTIF(Funções!B$8:B$469,G64)</f>
        <v>0</v>
      </c>
      <c r="K64" s="32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190" activePane="bottomLeft" state="frozen"/>
      <selection pane="bottomLeft" activeCell="A9" sqref="A9"/>
      <selection activeCell="B11" sqref="B11"/>
    </sheetView>
  </sheetViews>
  <sheetFormatPr defaultColWidth="8.85546875" defaultRowHeight="12.75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>
      <c r="A1" s="133" t="s">
        <v>169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2">
      <c r="A4" s="159" t="str">
        <f>Contagem!A5&amp;" : "&amp;Contagem!F5</f>
        <v>Aplicação : TCC</v>
      </c>
      <c r="B4" s="159"/>
      <c r="C4" s="159"/>
      <c r="D4" s="159"/>
      <c r="E4" s="159"/>
      <c r="F4" s="136" t="str">
        <f>Contagem!A8&amp;" : "&amp;Contagem!F8</f>
        <v>Projeto : SGP - Sistema de Gerenciamento de Projetos</v>
      </c>
      <c r="G4" s="136"/>
      <c r="H4" s="136"/>
      <c r="I4" s="136"/>
      <c r="J4" s="136"/>
      <c r="K4" s="136"/>
      <c r="L4" s="136"/>
    </row>
    <row r="5" spans="1:12">
      <c r="A5" s="159" t="str">
        <f>Contagem!A9&amp;" : "&amp;Contagem!F9</f>
        <v xml:space="preserve">Responsável : </v>
      </c>
      <c r="B5" s="159"/>
      <c r="C5" s="159"/>
      <c r="D5" s="159"/>
      <c r="E5" s="159"/>
      <c r="F5" s="136" t="str">
        <f>Contagem!A10&amp;" : "&amp;Contagem!F10</f>
        <v xml:space="preserve">Revisor : </v>
      </c>
      <c r="G5" s="136"/>
      <c r="H5" s="136"/>
      <c r="I5" s="136"/>
      <c r="J5" s="136"/>
      <c r="K5" s="136"/>
      <c r="L5" s="136"/>
    </row>
    <row r="6" spans="1:12">
      <c r="A6" s="159" t="str">
        <f>Contagem!A4&amp;" : "&amp;Contagem!F4</f>
        <v>Empresa : -</v>
      </c>
      <c r="B6" s="159"/>
      <c r="C6" s="159"/>
      <c r="D6" s="159"/>
      <c r="E6" s="159"/>
      <c r="F6" s="136" t="str">
        <f>"Tipo de Contagem : "&amp;Contagem!F6</f>
        <v>Tipo de Contagem : Projeto de Desenvolvimento</v>
      </c>
      <c r="G6" s="136"/>
      <c r="H6" s="136"/>
      <c r="I6" s="136"/>
      <c r="J6" s="136"/>
      <c r="K6" s="136"/>
      <c r="L6" s="136"/>
    </row>
    <row r="7" spans="1:12" ht="12.75" customHeight="1">
      <c r="A7" s="155" t="s">
        <v>170</v>
      </c>
      <c r="B7" s="155"/>
      <c r="C7" s="156" t="s">
        <v>171</v>
      </c>
      <c r="D7" s="156"/>
      <c r="E7" s="156"/>
      <c r="F7" s="156"/>
      <c r="G7" s="157" t="s">
        <v>172</v>
      </c>
      <c r="H7" s="157" t="s">
        <v>173</v>
      </c>
      <c r="I7" s="65"/>
      <c r="J7" s="157" t="s">
        <v>174</v>
      </c>
      <c r="K7" s="157"/>
      <c r="L7" s="158" t="s">
        <v>173</v>
      </c>
    </row>
    <row r="8" spans="1:12">
      <c r="A8" s="155"/>
      <c r="B8" s="155"/>
      <c r="C8" s="156"/>
      <c r="D8" s="156"/>
      <c r="E8" s="156"/>
      <c r="F8" s="156"/>
      <c r="G8" s="157"/>
      <c r="H8" s="157"/>
      <c r="I8" s="66"/>
      <c r="J8" s="157"/>
      <c r="K8" s="157"/>
      <c r="L8" s="158"/>
    </row>
    <row r="9" spans="1:12" ht="6" customHeight="1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>
      <c r="A10" s="48"/>
      <c r="B10" s="49" t="s">
        <v>41</v>
      </c>
      <c r="C10" s="50">
        <f>COUNTIF(Funções!G8:G469,"EEL")</f>
        <v>5</v>
      </c>
      <c r="D10" s="49"/>
      <c r="E10" s="51" t="s">
        <v>175</v>
      </c>
      <c r="F10" s="51" t="s">
        <v>176</v>
      </c>
      <c r="G10" s="50">
        <f>C10*3</f>
        <v>15</v>
      </c>
      <c r="H10" s="49"/>
      <c r="I10" s="33"/>
      <c r="J10" s="52" t="str">
        <f>Deflatores!$G$4&amp;"="</f>
        <v>I=</v>
      </c>
      <c r="K10" s="53">
        <f>SUMIF(Funções!$J$8:$J$469,"EE"&amp;Deflatores!G4,Funções!$L$8:$L$469)</f>
        <v>0</v>
      </c>
      <c r="L10" s="54"/>
    </row>
    <row r="11" spans="1:12" ht="13.5">
      <c r="A11" s="55"/>
      <c r="B11" s="49"/>
      <c r="C11" s="50">
        <f>COUNTIF(Funções!G8:G469,"EEA")</f>
        <v>3</v>
      </c>
      <c r="D11" s="49"/>
      <c r="E11" s="51" t="s">
        <v>177</v>
      </c>
      <c r="F11" s="51" t="s">
        <v>178</v>
      </c>
      <c r="G11" s="50">
        <f>C11*4</f>
        <v>12</v>
      </c>
      <c r="H11" s="49"/>
      <c r="I11" s="33"/>
      <c r="J11" s="52" t="str">
        <f>Deflatores!$G$5&amp;"="</f>
        <v>A=</v>
      </c>
      <c r="K11" s="53">
        <f>SUMIF(Funções!$J$8:$J$469,"EE"&amp;Deflatores!G5,Funções!$L$8:$L$469)</f>
        <v>0</v>
      </c>
      <c r="L11" s="54"/>
    </row>
    <row r="12" spans="1:12" ht="13.5">
      <c r="A12" s="55"/>
      <c r="B12" s="49"/>
      <c r="C12" s="50">
        <f>COUNTIF(Funções!G8:G469,"EEH")</f>
        <v>2</v>
      </c>
      <c r="D12" s="49"/>
      <c r="E12" s="51" t="s">
        <v>179</v>
      </c>
      <c r="F12" s="51" t="s">
        <v>180</v>
      </c>
      <c r="G12" s="50">
        <f>C12*6</f>
        <v>12</v>
      </c>
      <c r="H12" s="49"/>
      <c r="I12" s="33"/>
      <c r="J12" s="52" t="str">
        <f>Deflatores!$G$6&amp;"="</f>
        <v>E=</v>
      </c>
      <c r="K12" s="53">
        <f>SUMIF(Funções!$J$8:$J$469,"EE"&amp;Deflatores!G6,Funções!$L$8:$L$469)</f>
        <v>0</v>
      </c>
      <c r="L12" s="56"/>
    </row>
    <row r="13" spans="1:12" ht="13.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>
      <c r="A14" s="55"/>
      <c r="B14" s="58" t="s">
        <v>181</v>
      </c>
      <c r="C14" s="50">
        <f>SUM(C10:C12)</f>
        <v>10</v>
      </c>
      <c r="D14" s="49"/>
      <c r="E14" s="49"/>
      <c r="F14" s="58" t="s">
        <v>182</v>
      </c>
      <c r="G14" s="50">
        <f>SUM(G10:G12)</f>
        <v>39</v>
      </c>
      <c r="H14" s="33">
        <f>IF($G$45&lt;&gt;0,G14/$G$45,"")</f>
        <v>0.31707317073170732</v>
      </c>
      <c r="J14" s="52"/>
      <c r="K14" s="53">
        <f>SUM(K10:K13)</f>
        <v>0</v>
      </c>
      <c r="L14" s="34" t="str">
        <f>IF('Sumário 2'!L11&lt;&gt;0,K14/'Sumário 2'!L11,"")</f>
        <v/>
      </c>
    </row>
    <row r="15" spans="1:12" ht="6" customHeight="1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>
      <c r="A17" s="55"/>
      <c r="B17" s="49" t="s">
        <v>61</v>
      </c>
      <c r="C17" s="52">
        <f>COUNTIF(Funções!G8:G469,"SEL")</f>
        <v>0</v>
      </c>
      <c r="D17" s="49"/>
      <c r="E17" s="51" t="s">
        <v>175</v>
      </c>
      <c r="F17" s="51" t="s">
        <v>178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SUMIF(Funções!$J$8:$J$469,"SE"&amp;Deflatores!$G$4,Funções!$L$8:$L$469)</f>
        <v>0</v>
      </c>
      <c r="L17" s="54"/>
    </row>
    <row r="18" spans="1:12" ht="13.5">
      <c r="A18" s="55"/>
      <c r="B18" s="49"/>
      <c r="C18" s="52">
        <f>COUNTIF(Funções!G8:G469,"SEA")</f>
        <v>1</v>
      </c>
      <c r="D18" s="49"/>
      <c r="E18" s="51" t="s">
        <v>177</v>
      </c>
      <c r="F18" s="51" t="s">
        <v>183</v>
      </c>
      <c r="G18" s="52">
        <f>C18*5</f>
        <v>5</v>
      </c>
      <c r="H18" s="49"/>
      <c r="I18" s="49"/>
      <c r="J18" s="52" t="str">
        <f>Deflatores!$G$5&amp;"="</f>
        <v>A=</v>
      </c>
      <c r="K18" s="61">
        <f>SUMIF(Funções!$J$8:$J$469,"SE"&amp;Deflatores!$G$5,Funções!$L$8:$L$469)</f>
        <v>0</v>
      </c>
      <c r="L18" s="54"/>
    </row>
    <row r="19" spans="1:12" ht="13.5">
      <c r="A19" s="55"/>
      <c r="B19" s="49"/>
      <c r="C19" s="52">
        <f>COUNTIF(Funções!G8:G469,"SEH")</f>
        <v>0</v>
      </c>
      <c r="D19" s="49"/>
      <c r="E19" s="51" t="s">
        <v>179</v>
      </c>
      <c r="F19" s="51" t="s">
        <v>184</v>
      </c>
      <c r="G19" s="52">
        <f>C19*7</f>
        <v>0</v>
      </c>
      <c r="H19" s="49"/>
      <c r="I19" s="49"/>
      <c r="J19" s="52" t="str">
        <f>Deflatores!$G$6&amp;"="</f>
        <v>E=</v>
      </c>
      <c r="K19" s="61">
        <f>SUMIF(Funções!$J$8:$J$469,"SE"&amp;Deflatores!$G$6,Funções!$L$8:$L$469)</f>
        <v>0</v>
      </c>
      <c r="L19" s="56"/>
    </row>
    <row r="20" spans="1:12" ht="13.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>
      <c r="A21" s="55"/>
      <c r="B21" s="58" t="s">
        <v>181</v>
      </c>
      <c r="C21" s="50">
        <f>SUM(C17:C19)</f>
        <v>1</v>
      </c>
      <c r="D21" s="49"/>
      <c r="E21" s="49"/>
      <c r="F21" s="58" t="s">
        <v>182</v>
      </c>
      <c r="G21" s="50">
        <f>SUM(G17:G19)</f>
        <v>5</v>
      </c>
      <c r="H21" s="33">
        <f>IF($G$45&lt;&gt;0,G21/$G$45,"")</f>
        <v>4.065040650406504E-2</v>
      </c>
      <c r="J21" s="52"/>
      <c r="K21" s="53">
        <f>SUM(K17:K20)</f>
        <v>0</v>
      </c>
      <c r="L21" s="34" t="str">
        <f>IF('Sumário 2'!L11&lt;&gt;0,K21/'Sumário 2'!L11,"")</f>
        <v/>
      </c>
    </row>
    <row r="22" spans="1:12" ht="6" customHeight="1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>
      <c r="A24" s="55"/>
      <c r="B24" s="49" t="s">
        <v>46</v>
      </c>
      <c r="C24" s="50">
        <f>COUNTIF(Funções!G8:G469,"CEL")</f>
        <v>3</v>
      </c>
      <c r="D24" s="49"/>
      <c r="E24" s="51" t="s">
        <v>175</v>
      </c>
      <c r="F24" s="51" t="s">
        <v>176</v>
      </c>
      <c r="G24" s="50">
        <f>C24*3</f>
        <v>9</v>
      </c>
      <c r="H24" s="49"/>
      <c r="I24" s="49"/>
      <c r="J24" s="52" t="str">
        <f>Deflatores!$G$4&amp;"="</f>
        <v>I=</v>
      </c>
      <c r="K24" s="53">
        <f>SUMIF(Funções!$J$8:$J$469,"CE"&amp;Deflatores!$G$4,Funções!$L$8:$L$469)</f>
        <v>0</v>
      </c>
      <c r="L24" s="54"/>
    </row>
    <row r="25" spans="1:12" ht="13.5">
      <c r="A25" s="55"/>
      <c r="B25" s="49"/>
      <c r="C25" s="50">
        <f>COUNTIF(Funções!G8:G469,"CEA")</f>
        <v>0</v>
      </c>
      <c r="D25" s="49"/>
      <c r="E25" s="51" t="s">
        <v>177</v>
      </c>
      <c r="F25" s="51" t="s">
        <v>178</v>
      </c>
      <c r="G25" s="50">
        <f>C25*4</f>
        <v>0</v>
      </c>
      <c r="H25" s="49"/>
      <c r="I25" s="49"/>
      <c r="J25" s="52" t="str">
        <f>Deflatores!$G$5&amp;"="</f>
        <v>A=</v>
      </c>
      <c r="K25" s="53">
        <f>SUMIF(Funções!$J$8:$J$469,"CE"&amp;Deflatores!$G$5,Funções!$L$8:$L$469)</f>
        <v>0</v>
      </c>
      <c r="L25" s="54"/>
    </row>
    <row r="26" spans="1:12" ht="13.5">
      <c r="A26" s="55"/>
      <c r="B26" s="49"/>
      <c r="C26" s="50">
        <f>COUNTIF(Funções!G8:G469,"CEH")</f>
        <v>0</v>
      </c>
      <c r="D26" s="49"/>
      <c r="E26" s="51" t="s">
        <v>179</v>
      </c>
      <c r="F26" s="51" t="s">
        <v>180</v>
      </c>
      <c r="G26" s="50">
        <f>C26*6</f>
        <v>0</v>
      </c>
      <c r="H26" s="49"/>
      <c r="I26" s="49"/>
      <c r="J26" s="52" t="str">
        <f>Deflatores!$G$6&amp;"="</f>
        <v>E=</v>
      </c>
      <c r="K26" s="53">
        <f>SUMIF(Funções!$J$8:$J$469,"CE"&amp;Deflatores!$G$6,Funções!$L$8:$L$469)</f>
        <v>0</v>
      </c>
      <c r="L26" s="56"/>
    </row>
    <row r="27" spans="1:12" ht="13.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>
      <c r="A28" s="55"/>
      <c r="B28" s="58" t="s">
        <v>181</v>
      </c>
      <c r="C28" s="50">
        <f>SUM(C24:C26)</f>
        <v>3</v>
      </c>
      <c r="D28" s="49"/>
      <c r="E28" s="49"/>
      <c r="F28" s="58" t="s">
        <v>182</v>
      </c>
      <c r="G28" s="50">
        <f>SUM(G24:G26)</f>
        <v>9</v>
      </c>
      <c r="H28" s="33">
        <f>IF($G$45&lt;&gt;0,G28/$G$45,"")</f>
        <v>7.3170731707317069E-2</v>
      </c>
      <c r="J28" s="52"/>
      <c r="K28" s="53">
        <f>SUM(K24:K27)</f>
        <v>0</v>
      </c>
      <c r="L28" s="34" t="str">
        <f>IF('Sumário 2'!L11&lt;&gt;0,K28/'Sumário 2'!L11,"")</f>
        <v/>
      </c>
    </row>
    <row r="29" spans="1:12" ht="6" customHeight="1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>
      <c r="A31" s="55"/>
      <c r="B31" s="49" t="s">
        <v>36</v>
      </c>
      <c r="C31" s="50">
        <f>COUNTIF(Funções!G8:G469,"ALIL")</f>
        <v>10</v>
      </c>
      <c r="D31" s="49"/>
      <c r="E31" s="49" t="s">
        <v>175</v>
      </c>
      <c r="F31" s="49" t="s">
        <v>184</v>
      </c>
      <c r="G31" s="50">
        <f>C31*7</f>
        <v>70</v>
      </c>
      <c r="H31" s="49"/>
      <c r="I31" s="49"/>
      <c r="J31" s="52" t="str">
        <f>Deflatores!$G$4&amp;"="</f>
        <v>I=</v>
      </c>
      <c r="K31" s="53">
        <f>SUMIF(Funções!$J$8:$J$469,"ALI"&amp;Deflatores!$G$4,Funções!$L$8:$L$469)</f>
        <v>0</v>
      </c>
      <c r="L31" s="54"/>
    </row>
    <row r="32" spans="1:12" ht="13.5">
      <c r="A32" s="55"/>
      <c r="B32" s="49"/>
      <c r="C32" s="50">
        <f>COUNTIF(Funções!G8:G469,"ALIA")</f>
        <v>0</v>
      </c>
      <c r="D32" s="49"/>
      <c r="E32" s="49" t="s">
        <v>177</v>
      </c>
      <c r="F32" s="49" t="s">
        <v>185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SUMIF(Funções!$J$8:$J$469,"ALI"&amp;Deflatores!$G$5,Funções!$L$8:$L$469)</f>
        <v>0</v>
      </c>
      <c r="L32" s="54"/>
    </row>
    <row r="33" spans="1:12" ht="13.5">
      <c r="A33" s="55"/>
      <c r="B33" s="49"/>
      <c r="C33" s="50">
        <f>COUNTIF(Funções!G8:G469,"ALIH")</f>
        <v>0</v>
      </c>
      <c r="D33" s="49"/>
      <c r="E33" s="49" t="s">
        <v>179</v>
      </c>
      <c r="F33" s="49" t="s">
        <v>186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SUMIF(Funções!$J$8:$J$469,"ALI"&amp;Deflatores!$G$6,Funções!$L$8:$L$469)</f>
        <v>0</v>
      </c>
      <c r="L33" s="56"/>
    </row>
    <row r="34" spans="1:12" ht="13.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>
      <c r="A35" s="55"/>
      <c r="B35" s="58" t="s">
        <v>181</v>
      </c>
      <c r="C35" s="50">
        <f>SUM(C31:C33)</f>
        <v>10</v>
      </c>
      <c r="D35" s="49"/>
      <c r="E35" s="49"/>
      <c r="F35" s="58" t="s">
        <v>182</v>
      </c>
      <c r="G35" s="50">
        <f>SUM(G31:G33)</f>
        <v>70</v>
      </c>
      <c r="H35" s="33">
        <f>IF($G$45&lt;&gt;0,G35/$G$45,"")</f>
        <v>0.56910569105691056</v>
      </c>
      <c r="J35" s="52"/>
      <c r="K35" s="53">
        <f>SUM(K31:K34)</f>
        <v>0</v>
      </c>
      <c r="L35" s="34" t="str">
        <f>IF('Sumário 2'!L11&lt;&gt;0,K35/'Sumário 2'!L11,"")</f>
        <v/>
      </c>
    </row>
    <row r="36" spans="1:12" ht="6" customHeight="1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>
      <c r="A38" s="55"/>
      <c r="B38" s="49" t="s">
        <v>160</v>
      </c>
      <c r="C38" s="50">
        <f>COUNTIF(Funções!G8:G469,"AIEL")</f>
        <v>0</v>
      </c>
      <c r="D38" s="49"/>
      <c r="E38" s="49" t="s">
        <v>175</v>
      </c>
      <c r="F38" s="49" t="s">
        <v>183</v>
      </c>
      <c r="G38" s="50">
        <f>C38*5</f>
        <v>0</v>
      </c>
      <c r="H38" s="49"/>
      <c r="I38" s="49"/>
      <c r="J38" s="52" t="str">
        <f>Deflatores!$G$4&amp;"="</f>
        <v>I=</v>
      </c>
      <c r="K38" s="53">
        <f>SUMIF(Funções!$J$8:$J$469,"AIE"&amp;Deflatores!$G$4,Funções!$L$8:$L$469)</f>
        <v>0</v>
      </c>
      <c r="L38" s="54"/>
    </row>
    <row r="39" spans="1:12" ht="13.5">
      <c r="A39" s="55"/>
      <c r="B39" s="49"/>
      <c r="C39" s="50">
        <f>COUNTIF(Funções!G8:G469,"AIEA")</f>
        <v>0</v>
      </c>
      <c r="D39" s="49"/>
      <c r="E39" s="49" t="s">
        <v>177</v>
      </c>
      <c r="F39" s="49" t="s">
        <v>184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SUMIF(Funções!$J$8:$J$469,"AIE"&amp;Deflatores!$G$5,Funções!$L$8:$L$469)</f>
        <v>0</v>
      </c>
      <c r="L39" s="54"/>
    </row>
    <row r="40" spans="1:12" ht="13.5">
      <c r="A40" s="55"/>
      <c r="B40" s="49"/>
      <c r="C40" s="50">
        <f>COUNTIF(Funções!G8:G469,"AIEH")</f>
        <v>0</v>
      </c>
      <c r="D40" s="49"/>
      <c r="E40" s="49" t="s">
        <v>179</v>
      </c>
      <c r="F40" s="49" t="s">
        <v>185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SUMIF(Funções!$J$8:$J$469,"AIE"&amp;Deflatores!$G$6,Funções!$L$8:$L$469)</f>
        <v>0</v>
      </c>
      <c r="L40" s="56"/>
    </row>
    <row r="41" spans="1:12" ht="13.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>
      <c r="A42" s="55"/>
      <c r="B42" s="58" t="s">
        <v>181</v>
      </c>
      <c r="C42" s="50">
        <f>SUM(C38:C40)</f>
        <v>0</v>
      </c>
      <c r="D42" s="49"/>
      <c r="E42" s="49"/>
      <c r="F42" s="58" t="s">
        <v>182</v>
      </c>
      <c r="G42" s="50">
        <f>SUM(G38:G40)</f>
        <v>0</v>
      </c>
      <c r="H42" s="33">
        <f>IF($G$45&lt;&gt;0,G42/$G$45,"")</f>
        <v>0</v>
      </c>
      <c r="J42" s="52"/>
      <c r="K42" s="53">
        <f>SUM(K38:K41)</f>
        <v>0</v>
      </c>
      <c r="L42" s="34" t="str">
        <f>IF('Sumário 2'!L11&lt;&gt;0,K42/'Sumário 2'!L11,"")</f>
        <v/>
      </c>
    </row>
    <row r="43" spans="1:12" ht="6" customHeight="1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>
      <c r="A45" s="55"/>
      <c r="B45" s="154" t="s">
        <v>187</v>
      </c>
      <c r="C45" s="154"/>
      <c r="D45" s="154"/>
      <c r="E45" s="154"/>
      <c r="F45" s="154"/>
      <c r="G45" s="50">
        <f>SUM(G14+G21+G28+G35+G42)</f>
        <v>123</v>
      </c>
      <c r="H45" s="49"/>
      <c r="I45" s="49"/>
      <c r="J45" s="49"/>
      <c r="K45" s="49"/>
      <c r="L45" s="54"/>
    </row>
    <row r="46" spans="1:12" ht="13.5">
      <c r="A46" s="55"/>
      <c r="B46" s="154" t="s">
        <v>188</v>
      </c>
      <c r="C46" s="154"/>
      <c r="D46" s="154"/>
      <c r="E46" s="154"/>
      <c r="F46" s="154"/>
      <c r="G46" s="50">
        <f>(C10+C11+C12)*4+(C17+C18+C19)*5+(C24+C25+C26)*4+(C31+C32+C33)*7+(C38+C39+C40)*5</f>
        <v>127</v>
      </c>
      <c r="H46" s="49"/>
      <c r="I46" s="49"/>
      <c r="J46" s="49"/>
      <c r="K46" s="49"/>
      <c r="L46" s="54"/>
    </row>
    <row r="47" spans="1:12" ht="13.5">
      <c r="A47" s="55"/>
      <c r="B47" s="154" t="s">
        <v>189</v>
      </c>
      <c r="C47" s="154"/>
      <c r="D47" s="154"/>
      <c r="E47" s="154"/>
      <c r="F47" s="154"/>
      <c r="G47" s="50">
        <f>(C31+C32+C33)*35+(C38+C39+C40)*15</f>
        <v>350</v>
      </c>
      <c r="H47" s="49"/>
      <c r="I47" s="49"/>
      <c r="J47" s="49"/>
      <c r="K47" s="49"/>
      <c r="L47" s="54"/>
    </row>
    <row r="48" spans="1:12" ht="13.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pane="bottomLeft" activeCell="B37" sqref="B37:C37"/>
      <selection activeCell="B11" sqref="B11"/>
    </sheetView>
  </sheetViews>
  <sheetFormatPr defaultColWidth="11.42578125" defaultRowHeight="12.75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>
      <c r="A1" s="133" t="s">
        <v>190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>
      <c r="A4" s="159" t="str">
        <f>Contagem!A5&amp;" : "&amp;Contagem!F5</f>
        <v>Aplicação : TCC</v>
      </c>
      <c r="B4" s="159"/>
      <c r="C4" s="159"/>
      <c r="D4" s="159"/>
      <c r="E4" s="159"/>
      <c r="F4" s="136" t="str">
        <f>Contagem!A8&amp;" : "&amp;Contagem!F8</f>
        <v>Projeto : SGP - Sistema de Gerenciamento de Projetos</v>
      </c>
      <c r="G4" s="136"/>
      <c r="H4" s="136"/>
      <c r="I4" s="136"/>
      <c r="J4" s="136"/>
      <c r="K4" s="136"/>
      <c r="L4" s="136"/>
      <c r="M4" s="136"/>
    </row>
    <row r="5" spans="1:13">
      <c r="A5" s="161" t="str">
        <f>Contagem!A9&amp;" : "&amp;Contagem!F9</f>
        <v xml:space="preserve">Responsável : </v>
      </c>
      <c r="B5" s="161"/>
      <c r="C5" s="161"/>
      <c r="D5" s="161"/>
      <c r="E5" s="161"/>
      <c r="F5" s="136" t="str">
        <f>Contagem!A10&amp;" : "&amp;Contagem!F10</f>
        <v xml:space="preserve">Revisor : </v>
      </c>
      <c r="G5" s="136"/>
      <c r="H5" s="136"/>
      <c r="I5" s="136"/>
      <c r="J5" s="136"/>
      <c r="K5" s="136"/>
      <c r="L5" s="136"/>
      <c r="M5" s="136"/>
    </row>
    <row r="6" spans="1:13">
      <c r="A6" s="161" t="str">
        <f>Contagem!A4&amp;" : "&amp;Contagem!F4</f>
        <v>Empresa : -</v>
      </c>
      <c r="B6" s="161"/>
      <c r="C6" s="161"/>
      <c r="D6" s="161"/>
      <c r="E6" s="161"/>
      <c r="F6" s="136" t="str">
        <f>"Tipo de Contagem : "&amp;Contagem!F6</f>
        <v>Tipo de Contagem : Projeto de Desenvolvimento</v>
      </c>
      <c r="G6" s="136"/>
      <c r="H6" s="136"/>
      <c r="I6" s="136"/>
      <c r="J6" s="136"/>
      <c r="K6" s="136"/>
      <c r="L6" s="136"/>
      <c r="M6" s="136"/>
    </row>
    <row r="7" spans="1:13">
      <c r="A7" s="80"/>
      <c r="M7" s="81"/>
    </row>
    <row r="8" spans="1:13" ht="13.5">
      <c r="A8" s="80"/>
      <c r="B8" s="162"/>
      <c r="C8" s="162"/>
      <c r="D8" s="162"/>
      <c r="E8" s="162"/>
      <c r="F8" s="162"/>
      <c r="G8" s="162"/>
      <c r="H8" s="162"/>
      <c r="I8" s="162"/>
      <c r="M8" s="81"/>
    </row>
    <row r="9" spans="1:13" ht="13.5">
      <c r="A9" s="80"/>
      <c r="B9" s="163" t="s">
        <v>191</v>
      </c>
      <c r="C9" s="163"/>
      <c r="D9" s="163"/>
      <c r="E9" s="35" t="s">
        <v>161</v>
      </c>
      <c r="F9" s="35" t="s">
        <v>3</v>
      </c>
      <c r="G9" s="35" t="s">
        <v>192</v>
      </c>
      <c r="H9" s="35" t="s">
        <v>193</v>
      </c>
      <c r="I9" s="35" t="s">
        <v>9</v>
      </c>
      <c r="J9" s="35" t="s">
        <v>194</v>
      </c>
      <c r="M9" s="81"/>
    </row>
    <row r="10" spans="1:13" ht="13.5" customHeight="1">
      <c r="A10" s="80"/>
      <c r="B10" s="129" t="str">
        <f>""&amp;Deflatores!B4</f>
        <v>Inclusão</v>
      </c>
      <c r="C10" s="129"/>
      <c r="D10" s="24" t="str">
        <f>""&amp;Deflatores!G4</f>
        <v>I</v>
      </c>
      <c r="E10" s="102">
        <f>IF(D10="","",COUNTIF(Funções!C$8:C$469,D10))</f>
        <v>0</v>
      </c>
      <c r="F10" s="103">
        <f>SUMIF(Funções!$C$8:$C$469,Deflatores!G4,Funções!$H$8:$H$469)</f>
        <v>0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0</v>
      </c>
      <c r="J10" s="106" t="str">
        <f t="shared" ref="J10:J44" si="0">IF($L$11&lt;&gt;0,I10/$L$11,"")</f>
        <v/>
      </c>
      <c r="L10" s="40" t="s">
        <v>9</v>
      </c>
      <c r="M10" s="54"/>
    </row>
    <row r="11" spans="1:13" ht="13.5" customHeight="1">
      <c r="A11" s="80"/>
      <c r="B11" s="129" t="str">
        <f>""&amp;Deflatores!B5</f>
        <v>Alteração (sem conhecimento do Fator de Impacto)</v>
      </c>
      <c r="C11" s="129"/>
      <c r="D11" s="24" t="str">
        <f>""&amp;Deflatores!G5</f>
        <v>A</v>
      </c>
      <c r="E11" s="102">
        <f>IF(D11="","",COUNTIF(Funções!C$8:C$469,D11))</f>
        <v>0</v>
      </c>
      <c r="F11" s="103">
        <f>SUMIF(Funções!$C$8:$C$469,Deflatores!G5,Funções!$H$8:$H$469)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 t="str">
        <f t="shared" si="0"/>
        <v/>
      </c>
      <c r="K11" s="92"/>
      <c r="L11" s="41">
        <f>Contagem!Q6</f>
        <v>0</v>
      </c>
      <c r="M11" s="54"/>
    </row>
    <row r="12" spans="1:13" ht="13.5" customHeight="1">
      <c r="A12" s="80"/>
      <c r="B12" s="129" t="str">
        <f>""&amp;Deflatores!B6</f>
        <v>Exclusão</v>
      </c>
      <c r="C12" s="129"/>
      <c r="D12" s="24" t="str">
        <f>""&amp;Deflatores!G6</f>
        <v>E</v>
      </c>
      <c r="E12" s="102">
        <f>IF(D12="","",COUNTIF(Funções!C$8:C$469,D12))</f>
        <v>0</v>
      </c>
      <c r="F12" s="103">
        <f>SUMIF(Funções!$C$8:$C$469,Deflatores!G6,Funções!$H$8:$H$469)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 t="str">
        <f t="shared" si="0"/>
        <v/>
      </c>
      <c r="K12" s="92"/>
      <c r="L12" s="93"/>
      <c r="M12" s="54"/>
    </row>
    <row r="13" spans="1:13" ht="13.5" customHeight="1">
      <c r="A13" s="80"/>
      <c r="B13" s="129" t="str">
        <f>""&amp;Deflatores!B7</f>
        <v>Alteração (50%) de função desenvolvida ou já alterada pela empresa atual</v>
      </c>
      <c r="C13" s="129"/>
      <c r="D13" s="24" t="str">
        <f>""&amp;Deflatores!G7</f>
        <v>A50</v>
      </c>
      <c r="E13" s="102">
        <f>IF(D13="","",COUNTIF(Funções!C$8:C$469,D13))</f>
        <v>0</v>
      </c>
      <c r="F13" s="103">
        <f>SUMIF(Funções!$C$8:$C$469,Deflatores!G7,Funções!$H$8:$H$469)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 t="str">
        <f t="shared" si="0"/>
        <v/>
      </c>
      <c r="K13" s="92"/>
      <c r="L13" s="40" t="s">
        <v>195</v>
      </c>
      <c r="M13" s="54"/>
    </row>
    <row r="14" spans="1:13" ht="13.5" customHeight="1">
      <c r="A14" s="80"/>
      <c r="B14" s="129" t="str">
        <f>""&amp;Deflatores!B8</f>
        <v>Alteração (75%) de função não desenv. e ainda não alterada pela empresa atual</v>
      </c>
      <c r="C14" s="129"/>
      <c r="D14" s="24" t="str">
        <f>""&amp;Deflatores!G8</f>
        <v>A75</v>
      </c>
      <c r="E14" s="102">
        <f>IF(D14="","",COUNTIF(Funções!C$8:C$469,D14))</f>
        <v>0</v>
      </c>
      <c r="F14" s="103">
        <f>SUMIF(Funções!$C$8:$C$469,Deflatores!G8,Funções!$H$8:$H$469)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 t="str">
        <f t="shared" si="0"/>
        <v/>
      </c>
      <c r="L14" s="41">
        <f>Contagem!Q4</f>
        <v>123</v>
      </c>
      <c r="M14" s="54"/>
    </row>
    <row r="15" spans="1:13" ht="13.5" customHeight="1">
      <c r="A15" s="80"/>
      <c r="B15" s="129" t="str">
        <f>""&amp;Deflatores!B9</f>
        <v>Alteração (75%+15%): o mesmo acima + redocumentar a função</v>
      </c>
      <c r="C15" s="129"/>
      <c r="D15" s="24" t="str">
        <f>""&amp;Deflatores!G9</f>
        <v>A90</v>
      </c>
      <c r="E15" s="102">
        <f>IF(D15="","",COUNTIF(Funções!C$8:C$469,D15))</f>
        <v>0</v>
      </c>
      <c r="F15" s="103">
        <f>SUMIF(Funções!$C$8:$C$469,Deflatores!G9,Funções!$H$8:$H$469)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 t="str">
        <f t="shared" si="0"/>
        <v/>
      </c>
      <c r="M15" s="81"/>
    </row>
    <row r="16" spans="1:13" ht="13.5" customHeight="1">
      <c r="A16" s="80"/>
      <c r="B16" s="129" t="str">
        <f>""&amp;Deflatores!B10</f>
        <v>Migração de Dados</v>
      </c>
      <c r="C16" s="129"/>
      <c r="D16" s="24" t="str">
        <f>""&amp;Deflatores!G10</f>
        <v>PMD</v>
      </c>
      <c r="E16" s="102">
        <f>IF(D16="","",COUNTIF(Funções!C$8:C$469,D16))</f>
        <v>0</v>
      </c>
      <c r="F16" s="103">
        <f>SUMIF(Funções!$C$8:$C$469,Deflatores!G10,Funções!$H$8:$H$469)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 t="str">
        <f t="shared" si="0"/>
        <v/>
      </c>
      <c r="M16" s="81"/>
    </row>
    <row r="17" spans="1:13" ht="13.5" customHeight="1">
      <c r="A17" s="80"/>
      <c r="B17" s="129" t="str">
        <f>""&amp;Deflatores!B11</f>
        <v>Corretiva (sem conhecimento do Fator de Impacto)</v>
      </c>
      <c r="C17" s="129"/>
      <c r="D17" s="24" t="str">
        <f>""&amp;Deflatores!G11</f>
        <v>COR</v>
      </c>
      <c r="E17" s="102">
        <f>IF(D17="","",COUNTIF(Funções!C$8:C$469,D17))</f>
        <v>0</v>
      </c>
      <c r="F17" s="103">
        <f>SUMIF(Funções!$C$8:$C$469,Deflatores!G11,Funções!$H$8:$H$469)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 t="str">
        <f>IF($L$11&lt;&gt;0,I17/$L$11,"")</f>
        <v/>
      </c>
      <c r="M17" s="81"/>
    </row>
    <row r="18" spans="1:13" ht="13.5" customHeight="1">
      <c r="A18" s="80"/>
      <c r="B18" s="129" t="str">
        <f>""&amp;Deflatores!B12</f>
        <v>Corretiva (50%) - Fora da garantia (mesma empresa)</v>
      </c>
      <c r="C18" s="129"/>
      <c r="D18" s="24" t="str">
        <f>""&amp;Deflatores!G12</f>
        <v>COR50</v>
      </c>
      <c r="E18" s="102">
        <f>IF(D18="","",COUNTIF(Funções!C$8:C$469,D18))</f>
        <v>0</v>
      </c>
      <c r="F18" s="103">
        <f>SUMIF(Funções!$C$8:$C$469,Deflatores!G12,Funções!$H$8:$H$469)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 t="str">
        <f t="shared" si="0"/>
        <v/>
      </c>
      <c r="M18" s="81"/>
    </row>
    <row r="19" spans="1:13" ht="13.5" customHeight="1">
      <c r="A19" s="80"/>
      <c r="B19" s="129" t="str">
        <f>""&amp;Deflatores!B13</f>
        <v>Corretiva (75%) - Fora da garantia (outra empresa)</v>
      </c>
      <c r="C19" s="129"/>
      <c r="D19" s="24" t="str">
        <f>""&amp;Deflatores!G13</f>
        <v>COR75</v>
      </c>
      <c r="E19" s="102">
        <f>IF(D19="","",COUNTIF(Funções!C$8:C$469,D19))</f>
        <v>0</v>
      </c>
      <c r="F19" s="103">
        <f>SUMIF(Funções!$C$8:$C$469,Deflatores!G13,Funções!$H$8:$H$469)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 t="str">
        <f t="shared" si="0"/>
        <v/>
      </c>
      <c r="M19" s="81"/>
    </row>
    <row r="20" spans="1:13" ht="13.5" customHeight="1">
      <c r="A20" s="80"/>
      <c r="B20" s="129" t="str">
        <f>""&amp;Deflatores!B14</f>
        <v>Corretiva (75%+15%) - Fora da garantia (outra empresa) + Redocumentação</v>
      </c>
      <c r="C20" s="129"/>
      <c r="D20" s="24" t="str">
        <f>""&amp;Deflatores!G14</f>
        <v>COR90</v>
      </c>
      <c r="E20" s="102">
        <f>IF(D20="","",COUNTIF(Funções!C$8:C$469,D20))</f>
        <v>0</v>
      </c>
      <c r="F20" s="103">
        <f>SUMIF(Funções!$C$8:$C$469,Deflatores!G14,Funções!$H$8:$H$469)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 t="str">
        <f>IF($L$11&lt;&gt;0,I20/$L$11,"")</f>
        <v/>
      </c>
      <c r="M20" s="81"/>
    </row>
    <row r="21" spans="1:13" ht="13.5" customHeight="1">
      <c r="A21" s="80"/>
      <c r="B21" s="129" t="str">
        <f>""&amp;Deflatores!B15</f>
        <v>Corretiva em Garantia</v>
      </c>
      <c r="C21" s="129"/>
      <c r="D21" s="24" t="str">
        <f>""&amp;Deflatores!G15</f>
        <v>GAR</v>
      </c>
      <c r="E21" s="102">
        <f>IF(D21="","",COUNTIF(Funções!C$8:C$469,D21))</f>
        <v>0</v>
      </c>
      <c r="F21" s="103">
        <f>SUMIF(Funções!$C$8:$C$469,Deflatores!G15,Funções!$H$8:$H$469)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 t="str">
        <f>IF($L$11&lt;&gt;0,I21/$L$11,"")</f>
        <v/>
      </c>
      <c r="M21" s="81"/>
    </row>
    <row r="22" spans="1:13" ht="13.5" customHeight="1">
      <c r="A22" s="80"/>
      <c r="B22" s="129" t="str">
        <f>""&amp;Deflatores!B16</f>
        <v>Mudança de Plataforma - Linguagem de Programação</v>
      </c>
      <c r="C22" s="129"/>
      <c r="D22" s="24" t="str">
        <f>""&amp;Deflatores!G16</f>
        <v>MLP</v>
      </c>
      <c r="E22" s="102">
        <f>IF(D22="","",COUNTIF(Funções!C$8:C$469,D22))</f>
        <v>0</v>
      </c>
      <c r="F22" s="103">
        <f>SUMIF(Funções!$C$8:$C$469,Deflatores!G16,Funções!$H$8:$H$469)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 t="str">
        <f t="shared" si="0"/>
        <v/>
      </c>
      <c r="M22" s="81"/>
    </row>
    <row r="23" spans="1:13" ht="13.5" customHeight="1">
      <c r="A23" s="80"/>
      <c r="B23" s="129" t="str">
        <f>""&amp;Deflatores!B17</f>
        <v>Mudança de Plataforma - Banco de Dados (outro paradigma)</v>
      </c>
      <c r="C23" s="129"/>
      <c r="D23" s="24" t="str">
        <f>""&amp;Deflatores!G17</f>
        <v>MBO</v>
      </c>
      <c r="E23" s="102">
        <f>IF(D23="","",COUNTIF(Funções!C$8:C$469,D23))</f>
        <v>0</v>
      </c>
      <c r="F23" s="103">
        <f>SUMIF(Funções!$C$8:$C$469,Deflatores!G17,Funções!$H$8:$H$469)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 t="str">
        <f t="shared" si="0"/>
        <v/>
      </c>
      <c r="M23" s="81"/>
    </row>
    <row r="24" spans="1:13" ht="13.5" customHeight="1">
      <c r="A24" s="80"/>
      <c r="B24" s="129" t="str">
        <f>""&amp;Deflatores!B18</f>
        <v>Mudança de Plataforma - Banco de Dados (mesmo paradigma com alterações)</v>
      </c>
      <c r="C24" s="129"/>
      <c r="D24" s="24" t="str">
        <f>""&amp;Deflatores!G18</f>
        <v>MBM</v>
      </c>
      <c r="E24" s="102">
        <f>IF(D24="","",COUNTIF(Funções!C$8:C$469,D24))</f>
        <v>0</v>
      </c>
      <c r="F24" s="103">
        <f>SUMIF(Funções!$C$8:$C$469,Deflatores!G18,Funções!$H$8:$H$469)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 t="str">
        <f t="shared" si="0"/>
        <v/>
      </c>
      <c r="K24" s="92"/>
      <c r="M24" s="81"/>
    </row>
    <row r="25" spans="1:13" ht="13.5" customHeight="1">
      <c r="A25" s="80"/>
      <c r="B25" s="129" t="str">
        <f>""&amp;Deflatores!B19</f>
        <v>Atualização de Versão – Linguagem de Programação</v>
      </c>
      <c r="C25" s="129"/>
      <c r="D25" s="24" t="str">
        <f>""&amp;Deflatores!G19</f>
        <v>ALP</v>
      </c>
      <c r="E25" s="102">
        <f>IF(D25="","",COUNTIF(Funções!C$8:C$469,D25))</f>
        <v>0</v>
      </c>
      <c r="F25" s="103">
        <f>SUMIF(Funções!$C$8:$C$469,Deflatores!G19,Funções!$H$8:$H$469)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 t="str">
        <f t="shared" si="0"/>
        <v/>
      </c>
      <c r="K25" s="92"/>
      <c r="M25" s="81"/>
    </row>
    <row r="26" spans="1:13" ht="13.5" customHeight="1">
      <c r="A26" s="80"/>
      <c r="B26" s="129" t="str">
        <f>""&amp;Deflatores!B20</f>
        <v>Atualização de Versão – Browser</v>
      </c>
      <c r="C26" s="129"/>
      <c r="D26" s="24" t="str">
        <f>""&amp;Deflatores!G20</f>
        <v>AVB</v>
      </c>
      <c r="E26" s="102">
        <f>IF(D26="","",COUNTIF(Funções!C$8:C$469,D26))</f>
        <v>0</v>
      </c>
      <c r="F26" s="103">
        <f>SUMIF(Funções!$C$8:$C$469,Deflatores!G20,Funções!$H$8:$H$469)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 t="str">
        <f t="shared" si="0"/>
        <v/>
      </c>
      <c r="K26" s="92"/>
      <c r="M26" s="81"/>
    </row>
    <row r="27" spans="1:13" ht="13.5" customHeight="1">
      <c r="A27" s="80"/>
      <c r="B27" s="129" t="str">
        <f>""&amp;Deflatores!B21</f>
        <v>Atualização de Versão – Banco de Dados</v>
      </c>
      <c r="C27" s="129"/>
      <c r="D27" s="24" t="str">
        <f>""&amp;Deflatores!G21</f>
        <v>ABD</v>
      </c>
      <c r="E27" s="102">
        <f>IF(D27="","",COUNTIF(Funções!C$8:C$469,D27))</f>
        <v>0</v>
      </c>
      <c r="F27" s="103">
        <f>SUMIF(Funções!$C$8:$C$469,Deflatores!G21,Funções!$H$8:$H$469)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 t="str">
        <f t="shared" si="0"/>
        <v/>
      </c>
      <c r="K27" s="92"/>
      <c r="M27" s="81"/>
    </row>
    <row r="28" spans="1:13" ht="13.5" customHeight="1">
      <c r="A28" s="80"/>
      <c r="B28" s="129" t="str">
        <f>""&amp;Deflatores!B22</f>
        <v>Manutenção Cosmética</v>
      </c>
      <c r="C28" s="129"/>
      <c r="D28" s="24" t="str">
        <f>""&amp;Deflatores!G22</f>
        <v>COS</v>
      </c>
      <c r="E28" s="102">
        <f>IF(D28="","",COUNTIF(Funções!C$8:C$469,D28))</f>
        <v>0</v>
      </c>
      <c r="F28" s="103">
        <f>SUMIF(Funções!$C$8:$C$469,Deflatores!G22,Funções!$H$8:$H$469)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 t="str">
        <f t="shared" si="0"/>
        <v/>
      </c>
      <c r="M28" s="81"/>
    </row>
    <row r="29" spans="1:13" ht="27" customHeight="1">
      <c r="A29" s="80"/>
      <c r="B29" s="150" t="str">
        <f>""&amp;Deflatores!B23</f>
        <v>Adaptação em Funcionalidades sem Alteração de Requisitos Funcionais
(sem conhecimento do Fator de Impacto)</v>
      </c>
      <c r="C29" s="152"/>
      <c r="D29" s="24" t="str">
        <f>""&amp;Deflatores!G23</f>
        <v>ARN</v>
      </c>
      <c r="E29" s="102">
        <f>IF(D29="","",COUNTIF(Funções!C$8:C$469,D29))</f>
        <v>0</v>
      </c>
      <c r="F29" s="103">
        <f>SUMIF(Funções!$C$8:$C$469,Deflatores!G23,Funções!$H$8:$H$469)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 t="str">
        <f>IF($L$11&lt;&gt;0,I29/$L$11,"")</f>
        <v/>
      </c>
      <c r="M29" s="81"/>
    </row>
    <row r="30" spans="1:13" ht="27" customHeight="1">
      <c r="A30" s="80"/>
      <c r="B30" s="150" t="str">
        <f>""&amp;Deflatores!B24</f>
        <v>Adaptação em Funcionalidades sem Alteração de Requisitos Funcionais (50%)
(em função desenvolvida ou já alterada pela empresa atual)</v>
      </c>
      <c r="C30" s="152"/>
      <c r="D30" s="24" t="str">
        <f>""&amp;Deflatores!G24</f>
        <v>ARN50</v>
      </c>
      <c r="E30" s="102">
        <f>IF(D30="","",COUNTIF(Funções!C$8:C$469,D30))</f>
        <v>0</v>
      </c>
      <c r="F30" s="103">
        <f>SUMIF(Funções!$C$8:$C$469,Deflatores!G24,Funções!$H$8:$H$469)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 t="str">
        <f t="shared" si="0"/>
        <v/>
      </c>
      <c r="M30" s="81"/>
    </row>
    <row r="31" spans="1:13" ht="27" customHeight="1">
      <c r="A31" s="80"/>
      <c r="B31" s="150" t="str">
        <f>""&amp;Deflatores!B25</f>
        <v>Adaptação em Funcionalidades sem Alteração de Requisitos Funcionais (75%)
(em função não desenvolvida e ainda não alterada pela empresa atual)</v>
      </c>
      <c r="C31" s="152"/>
      <c r="D31" s="24" t="str">
        <f>""&amp;Deflatores!G25</f>
        <v>ARN75</v>
      </c>
      <c r="E31" s="102">
        <f>IF(D31="","",COUNTIF(Funções!C$8:C$469,D31))</f>
        <v>0</v>
      </c>
      <c r="F31" s="103">
        <f>SUMIF(Funções!$C$8:$C$469,Deflatores!G25,Funções!$H$8:$H$469)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 t="str">
        <f t="shared" si="0"/>
        <v/>
      </c>
      <c r="M31" s="81"/>
    </row>
    <row r="32" spans="1:13" ht="13.5" customHeight="1">
      <c r="A32" s="80"/>
      <c r="B32" s="129" t="str">
        <f>""&amp;Deflatores!B26</f>
        <v>Atualização de Dados sem Consulta Prévia</v>
      </c>
      <c r="C32" s="129"/>
      <c r="D32" s="24" t="str">
        <f>""&amp;Deflatores!G26</f>
        <v>ADS</v>
      </c>
      <c r="E32" s="102">
        <f>IF(D32="","",COUNTIF(Funções!C$8:C$469,D32))</f>
        <v>0</v>
      </c>
      <c r="F32" s="103">
        <f>SUMIF(Funções!$C$8:$C$469,Deflatores!G26,Funções!$H$8:$H$469)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 t="str">
        <f t="shared" si="0"/>
        <v/>
      </c>
      <c r="M32" s="81"/>
    </row>
    <row r="33" spans="1:13" ht="13.5" customHeight="1">
      <c r="A33" s="80"/>
      <c r="B33" s="129" t="str">
        <f>""&amp;Deflatores!B27</f>
        <v>Consulta Prévia sem Atualização</v>
      </c>
      <c r="C33" s="129"/>
      <c r="D33" s="24" t="str">
        <f>""&amp;Deflatores!G27</f>
        <v>CPA</v>
      </c>
      <c r="E33" s="102">
        <f>IF(D33="","",COUNTIF(Funções!C$8:C$469,D33))</f>
        <v>0</v>
      </c>
      <c r="F33" s="103">
        <f>SUMIF(Funções!$C$8:$C$469,Deflatores!G27,Funções!$H$8:$H$469)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 t="str">
        <f t="shared" si="0"/>
        <v/>
      </c>
      <c r="M33" s="81"/>
    </row>
    <row r="34" spans="1:13" ht="13.5" customHeight="1">
      <c r="A34" s="80"/>
      <c r="B34" s="129" t="str">
        <f>""&amp;Deflatores!B28</f>
        <v>Atualização de Dados com Consulta Prévia</v>
      </c>
      <c r="C34" s="129"/>
      <c r="D34" s="24" t="str">
        <f>""&amp;Deflatores!G28</f>
        <v>ADC</v>
      </c>
      <c r="E34" s="102">
        <f>IF(D34="","",COUNTIF(Funções!C$8:C$469,D34))</f>
        <v>0</v>
      </c>
      <c r="F34" s="103">
        <f>SUMIF(Funções!$C$8:$C$469,Deflatores!G28,Funções!$H$8:$H$469)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 t="str">
        <f t="shared" si="0"/>
        <v/>
      </c>
      <c r="M34" s="81"/>
    </row>
    <row r="35" spans="1:13" ht="13.5" customHeight="1">
      <c r="A35" s="80"/>
      <c r="B35" s="129" t="str">
        <f>""&amp;Deflatores!B29</f>
        <v>Apuração Especial – Geração de Relatórios</v>
      </c>
      <c r="C35" s="129"/>
      <c r="D35" s="24" t="str">
        <f>""&amp;Deflatores!G29</f>
        <v>AGR</v>
      </c>
      <c r="E35" s="102">
        <f>IF(D35="","",COUNTIF(Funções!C$8:C$469,D35))</f>
        <v>0</v>
      </c>
      <c r="F35" s="103">
        <f>SUMIF(Funções!$C$8:$C$469,Deflatores!G29,Funções!$H$8:$H$469)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 t="str">
        <f t="shared" si="0"/>
        <v/>
      </c>
      <c r="M35" s="81"/>
    </row>
    <row r="36" spans="1:13" ht="13.5" customHeight="1">
      <c r="A36" s="80"/>
      <c r="B36" s="129" t="str">
        <f>""&amp;Deflatores!B30</f>
        <v>Apuração Especial – Reexecução</v>
      </c>
      <c r="C36" s="129"/>
      <c r="D36" s="24" t="str">
        <f>""&amp;Deflatores!G30</f>
        <v>AER</v>
      </c>
      <c r="E36" s="102">
        <f>IF(D36="","",COUNTIF(Funções!C$8:C$469,D36))</f>
        <v>0</v>
      </c>
      <c r="F36" s="103">
        <f>SUMIF(Funções!$C$8:$C$469,Deflatores!G30,Funções!$H$8:$H$469)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 t="str">
        <f t="shared" si="0"/>
        <v/>
      </c>
      <c r="M36" s="81"/>
    </row>
    <row r="37" spans="1:13" ht="13.5" customHeight="1">
      <c r="A37" s="80"/>
      <c r="B37" s="129" t="str">
        <f>""&amp;Deflatores!B31</f>
        <v>Atualização de Dados</v>
      </c>
      <c r="C37" s="129"/>
      <c r="D37" s="24" t="str">
        <f>""&amp;Deflatores!G31</f>
        <v>ATD</v>
      </c>
      <c r="E37" s="102">
        <f>IF(D37="","",COUNTIF(Funções!C$8:C$469,D37))</f>
        <v>0</v>
      </c>
      <c r="F37" s="103">
        <f>SUMIF(Funções!$C$8:$C$469,Deflatores!G31,Funções!$H$8:$H$469)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 t="str">
        <f t="shared" si="0"/>
        <v/>
      </c>
      <c r="M37" s="81"/>
    </row>
    <row r="38" spans="1:13" ht="13.5" customHeight="1">
      <c r="A38" s="80"/>
      <c r="B38" s="129" t="str">
        <f>""&amp;Deflatores!B32</f>
        <v>Manutenção de Documentação de Sistemas Legados</v>
      </c>
      <c r="C38" s="129"/>
      <c r="D38" s="24" t="str">
        <f>""&amp;Deflatores!G32</f>
        <v>MSL</v>
      </c>
      <c r="E38" s="102">
        <f>IF(D38="","",COUNTIF(Funções!C$8:C$469,D38))</f>
        <v>0</v>
      </c>
      <c r="F38" s="103">
        <f>SUMIF(Funções!$C$8:$C$469,Deflatores!G32,Funções!$H$8:$H$469)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 t="str">
        <f>IF($L$11&lt;&gt;0,I38/$L$11,"")</f>
        <v/>
      </c>
      <c r="M38" s="81"/>
    </row>
    <row r="39" spans="1:13" ht="13.5" customHeight="1">
      <c r="A39" s="80"/>
      <c r="B39" s="129" t="str">
        <f>""&amp;Deflatores!B33</f>
        <v>Verificação de Erros (Sem Documentação de Teste existente)</v>
      </c>
      <c r="C39" s="129"/>
      <c r="D39" s="24" t="str">
        <f>""&amp;Deflatores!G33</f>
        <v>VES</v>
      </c>
      <c r="E39" s="102">
        <f>IF(D39="","",COUNTIF(Funções!C$8:C$469,D39))</f>
        <v>0</v>
      </c>
      <c r="F39" s="103">
        <f>SUMIF(Funções!$C$8:$C$469,Deflatores!G33,Funções!$H$8:$H$469)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 t="str">
        <f>IF($L$11&lt;&gt;0,I39/$L$11,"")</f>
        <v/>
      </c>
      <c r="M39" s="81"/>
    </row>
    <row r="40" spans="1:13" ht="13.5" customHeight="1">
      <c r="A40" s="80"/>
      <c r="B40" s="129" t="str">
        <f>""&amp;Deflatores!B34</f>
        <v>Verificação de Erros (Com Documentação de Teste existente)</v>
      </c>
      <c r="C40" s="129"/>
      <c r="D40" s="24" t="str">
        <f>""&amp;Deflatores!G34</f>
        <v>VEC</v>
      </c>
      <c r="E40" s="102">
        <f>IF(D40="","",COUNTIF(Funções!C$8:C$469,D40))</f>
        <v>0</v>
      </c>
      <c r="F40" s="103">
        <f>SUMIF(Funções!$C$8:$C$469,Deflatores!G34,Funções!$H$8:$H$469)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 t="str">
        <f>IF($L$11&lt;&gt;0,I40/$L$11,"")</f>
        <v/>
      </c>
      <c r="M40" s="81"/>
    </row>
    <row r="41" spans="1:13" ht="13.5" customHeight="1">
      <c r="A41" s="80"/>
      <c r="B41" s="129" t="str">
        <f>""&amp;Deflatores!B35</f>
        <v>Pontos de Função de Teste</v>
      </c>
      <c r="C41" s="129"/>
      <c r="D41" s="24" t="str">
        <f>""&amp;Deflatores!G35</f>
        <v>PFT</v>
      </c>
      <c r="E41" s="102">
        <f>IF(D41="","",COUNTIF(Funções!C$8:C$469,D41))</f>
        <v>0</v>
      </c>
      <c r="F41" s="103">
        <f>SUMIF(Funções!$C$8:$C$469,Deflatores!G35,Funções!$H$8:$H$469)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 t="str">
        <f>IF($L$11&lt;&gt;0,I41/$L$11,"")</f>
        <v/>
      </c>
      <c r="M41" s="81"/>
    </row>
    <row r="42" spans="1:13" ht="13.5" customHeight="1">
      <c r="A42" s="80"/>
      <c r="B42" s="129" t="str">
        <f>""&amp;Deflatores!B36</f>
        <v>Componente Interno Reusável</v>
      </c>
      <c r="C42" s="129"/>
      <c r="D42" s="24" t="str">
        <f>""&amp;Deflatores!G36</f>
        <v>CIR</v>
      </c>
      <c r="E42" s="102">
        <f>IF(D42="","",COUNTIF(Funções!C$8:C$469,D42))</f>
        <v>0</v>
      </c>
      <c r="F42" s="103">
        <f>SUMIF(Funções!$C$8:$C$469,Deflatores!G36,Funções!$H$8:$H$469)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 t="str">
        <f t="shared" si="0"/>
        <v/>
      </c>
      <c r="M42" s="81"/>
    </row>
    <row r="43" spans="1:13" ht="13.5" customHeight="1">
      <c r="A43" s="80"/>
      <c r="B43" s="129" t="str">
        <f>""&amp;Deflatores!B37</f>
        <v/>
      </c>
      <c r="C43" s="129"/>
      <c r="D43" s="24" t="str">
        <f>""&amp;Deflatores!G37</f>
        <v xml:space="preserve">           .</v>
      </c>
      <c r="E43" s="102">
        <f>IF(D43="","",COUNTIF(Funções!C$8:C$469,D43))</f>
        <v>0</v>
      </c>
      <c r="F43" s="103">
        <f>SUMIF(Funções!$C$8:$C$469,Deflatores!G37,Funções!$H$8:$H$469)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 t="str">
        <f t="shared" si="0"/>
        <v/>
      </c>
      <c r="M43" s="81"/>
    </row>
    <row r="44" spans="1:13" ht="13.5" customHeight="1">
      <c r="A44" s="80"/>
      <c r="B44" s="129" t="str">
        <f>""&amp;Deflatores!B38</f>
        <v/>
      </c>
      <c r="C44" s="129"/>
      <c r="D44" s="24" t="str">
        <f>""&amp;Deflatores!G38</f>
        <v xml:space="preserve">           .</v>
      </c>
      <c r="E44" s="102">
        <f>IF(D44="","",COUNTIF(Funções!C$8:C$469,D44))</f>
        <v>0</v>
      </c>
      <c r="F44" s="103">
        <f>SUMIF(Funções!$C$8:$C$469,Deflatores!G38,Funções!$H$8:$H$469)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 t="str">
        <f t="shared" si="0"/>
        <v/>
      </c>
      <c r="M44" s="81"/>
    </row>
    <row r="45" spans="1:13" ht="13.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>
      <c r="A46" s="80"/>
      <c r="B46" s="160" t="s">
        <v>196</v>
      </c>
      <c r="C46" s="160"/>
      <c r="D46" s="160"/>
      <c r="E46" s="43" t="s">
        <v>161</v>
      </c>
      <c r="F46" s="44"/>
      <c r="G46" s="42"/>
      <c r="H46" s="43" t="s">
        <v>193</v>
      </c>
      <c r="I46" s="43" t="s">
        <v>9</v>
      </c>
      <c r="J46" s="43" t="s">
        <v>194</v>
      </c>
      <c r="M46" s="81"/>
    </row>
    <row r="47" spans="1:13" ht="13.5" customHeight="1">
      <c r="A47" s="80"/>
      <c r="B47" s="129" t="str">
        <f>""&amp;Deflatores!B42</f>
        <v>Páginas Estáticas</v>
      </c>
      <c r="C47" s="129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 t="str">
        <f t="shared" ref="J47:J69" si="2">IF(ISNUMBER(I47),IF($L$11&lt;&gt;0,I47/$L$11,""),"")</f>
        <v/>
      </c>
      <c r="M47" s="81"/>
    </row>
    <row r="48" spans="1:13" ht="13.5" customHeight="1">
      <c r="A48" s="80"/>
      <c r="B48" s="129" t="str">
        <f>""&amp;Deflatores!B43</f>
        <v>Manutenção Cosmética (atrelada a algo não funcional)</v>
      </c>
      <c r="C48" s="129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 t="str">
        <f t="shared" si="2"/>
        <v/>
      </c>
      <c r="M48" s="81"/>
    </row>
    <row r="49" spans="1:13" ht="13.5">
      <c r="A49" s="80"/>
      <c r="B49" s="129" t="str">
        <f>""&amp;Deflatores!B44</f>
        <v>Dados de Código</v>
      </c>
      <c r="C49" s="129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 t="str">
        <f t="shared" si="2"/>
        <v/>
      </c>
      <c r="M49" s="81"/>
    </row>
    <row r="50" spans="1:13" ht="13.5">
      <c r="A50" s="80"/>
      <c r="B50" s="129" t="str">
        <f>""&amp;Deflatores!B45</f>
        <v/>
      </c>
      <c r="C50" s="129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>
      <c r="A51" s="80"/>
      <c r="B51" s="129" t="str">
        <f>""&amp;Deflatores!B46</f>
        <v/>
      </c>
      <c r="C51" s="129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>
      <c r="A52" s="80"/>
      <c r="B52" s="129" t="str">
        <f>""&amp;Deflatores!B47</f>
        <v/>
      </c>
      <c r="C52" s="129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>
      <c r="A53" s="80"/>
      <c r="B53" s="129" t="str">
        <f>""&amp;Deflatores!B48</f>
        <v/>
      </c>
      <c r="C53" s="129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>
      <c r="A54" s="80"/>
      <c r="B54" s="129" t="str">
        <f>""&amp;Deflatores!B49</f>
        <v/>
      </c>
      <c r="C54" s="129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>
      <c r="A55" s="80"/>
      <c r="B55" s="129" t="str">
        <f>""&amp;Deflatores!B50</f>
        <v/>
      </c>
      <c r="C55" s="129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>
      <c r="A56" s="80"/>
      <c r="B56" s="129" t="str">
        <f>""&amp;Deflatores!B51</f>
        <v/>
      </c>
      <c r="C56" s="129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>
      <c r="A57" s="80"/>
      <c r="B57" s="129" t="str">
        <f>""&amp;Deflatores!B52</f>
        <v/>
      </c>
      <c r="C57" s="129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>
      <c r="A58" s="80"/>
      <c r="B58" s="129" t="str">
        <f>""&amp;Deflatores!B53</f>
        <v/>
      </c>
      <c r="C58" s="129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>
      <c r="A59" s="80"/>
      <c r="B59" s="129" t="str">
        <f>""&amp;Deflatores!B54</f>
        <v/>
      </c>
      <c r="C59" s="129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>
      <c r="A60" s="80"/>
      <c r="B60" s="129" t="str">
        <f>""&amp;Deflatores!B55</f>
        <v/>
      </c>
      <c r="C60" s="129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>
      <c r="A61" s="80"/>
      <c r="B61" s="129" t="str">
        <f>""&amp;Deflatores!B56</f>
        <v/>
      </c>
      <c r="C61" s="129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>
      <c r="A62" s="80"/>
      <c r="B62" s="129" t="str">
        <f>""&amp;Deflatores!B57</f>
        <v/>
      </c>
      <c r="C62" s="129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>
      <c r="A63" s="80"/>
      <c r="B63" s="129" t="str">
        <f>""&amp;Deflatores!B58</f>
        <v/>
      </c>
      <c r="C63" s="129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>
      <c r="A64" s="80"/>
      <c r="B64" s="129" t="str">
        <f>""&amp;Deflatores!B59</f>
        <v/>
      </c>
      <c r="C64" s="129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>
      <c r="A65" s="80"/>
      <c r="B65" s="129" t="str">
        <f>""&amp;Deflatores!B60</f>
        <v/>
      </c>
      <c r="C65" s="129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>
      <c r="A66" s="80"/>
      <c r="B66" s="129" t="str">
        <f>""&amp;Deflatores!B61</f>
        <v/>
      </c>
      <c r="C66" s="129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>
      <c r="A67" s="80"/>
      <c r="B67" s="129" t="str">
        <f>""&amp;Deflatores!B62</f>
        <v/>
      </c>
      <c r="C67" s="129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>
      <c r="A68" s="80"/>
      <c r="B68" s="129" t="str">
        <f>""&amp;Deflatores!B63</f>
        <v/>
      </c>
      <c r="C68" s="129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>
      <c r="A69" s="80"/>
      <c r="B69" s="129" t="str">
        <f>""&amp;Deflatores!B64</f>
        <v/>
      </c>
      <c r="C69" s="129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/>
  <cp:revision/>
  <dcterms:created xsi:type="dcterms:W3CDTF">2015-06-26T19:24:40Z</dcterms:created>
  <dcterms:modified xsi:type="dcterms:W3CDTF">2022-02-02T23:46:41Z</dcterms:modified>
  <cp:category/>
  <cp:contentStatus/>
</cp:coreProperties>
</file>