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o.sartori\Downloads\"/>
    </mc:Choice>
  </mc:AlternateContent>
  <bookViews>
    <workbookView xWindow="0" yWindow="0" windowWidth="20400" windowHeight="7455" activeTab="2"/>
  </bookViews>
  <sheets>
    <sheet name="Plan1" sheetId="1" r:id="rId1"/>
    <sheet name="Plan2" sheetId="2" r:id="rId2"/>
    <sheet name="Planilha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6" i="3" l="1"/>
  <c r="BC7" i="3"/>
  <c r="BC8" i="3"/>
  <c r="BC9" i="3"/>
  <c r="BC10" i="3"/>
  <c r="BC11" i="3"/>
  <c r="BC12" i="3"/>
  <c r="BC13" i="3"/>
  <c r="BC14" i="3"/>
  <c r="BC15" i="3"/>
  <c r="BC16" i="3"/>
  <c r="BB6" i="3"/>
  <c r="BB7" i="3"/>
  <c r="BB8" i="3"/>
  <c r="BB9" i="3"/>
  <c r="BB10" i="3"/>
  <c r="BB11" i="3"/>
  <c r="BB12" i="3"/>
  <c r="BB13" i="3"/>
  <c r="BB14" i="3"/>
  <c r="BB15" i="3"/>
  <c r="BB16" i="3"/>
  <c r="BA6" i="3"/>
  <c r="BA7" i="3"/>
  <c r="BA8" i="3"/>
  <c r="BA9" i="3"/>
  <c r="BA10" i="3"/>
  <c r="BA11" i="3"/>
  <c r="BA12" i="3"/>
  <c r="BA13" i="3"/>
  <c r="BA14" i="3"/>
  <c r="BA15" i="3"/>
  <c r="BA16" i="3"/>
  <c r="AZ6" i="3"/>
  <c r="AZ7" i="3"/>
  <c r="AZ8" i="3"/>
  <c r="AZ9" i="3"/>
  <c r="AZ10" i="3"/>
  <c r="AZ11" i="3"/>
  <c r="AZ12" i="3"/>
  <c r="AZ13" i="3"/>
  <c r="AZ14" i="3"/>
  <c r="AZ15" i="3"/>
  <c r="AZ16" i="3"/>
  <c r="BC5" i="3"/>
  <c r="BB5" i="3"/>
  <c r="BA5" i="3"/>
  <c r="AZ5" i="3"/>
  <c r="AY6" i="3"/>
  <c r="AY7" i="3"/>
  <c r="AY8" i="3"/>
  <c r="AY9" i="3"/>
  <c r="AY10" i="3"/>
  <c r="AY11" i="3"/>
  <c r="AY12" i="3"/>
  <c r="AY13" i="3"/>
  <c r="AY14" i="3"/>
  <c r="AY15" i="3"/>
  <c r="AY16" i="3"/>
  <c r="AY5" i="3"/>
  <c r="AX6" i="3"/>
  <c r="AX7" i="3"/>
  <c r="AX8" i="3"/>
  <c r="AX9" i="3"/>
  <c r="AX10" i="3"/>
  <c r="AX11" i="3"/>
  <c r="AX12" i="3"/>
  <c r="AX13" i="3"/>
  <c r="AX14" i="3"/>
  <c r="AX15" i="3"/>
  <c r="AX16" i="3"/>
  <c r="AX5" i="3"/>
  <c r="AW6" i="3"/>
  <c r="AW7" i="3"/>
  <c r="AW8" i="3"/>
  <c r="AW9" i="3"/>
  <c r="AW10" i="3"/>
  <c r="AW11" i="3"/>
  <c r="AW12" i="3"/>
  <c r="AW13" i="3"/>
  <c r="AW14" i="3"/>
  <c r="AW15" i="3"/>
  <c r="AW16" i="3"/>
  <c r="AW5" i="3"/>
  <c r="AV6" i="3"/>
  <c r="AV7" i="3"/>
  <c r="AV8" i="3"/>
  <c r="AV9" i="3"/>
  <c r="AV10" i="3"/>
  <c r="AV11" i="3"/>
  <c r="AV12" i="3"/>
  <c r="AV13" i="3"/>
  <c r="AV14" i="3"/>
  <c r="AV15" i="3"/>
  <c r="AV16" i="3"/>
  <c r="AV5" i="3"/>
  <c r="AU6" i="3"/>
  <c r="AU7" i="3"/>
  <c r="AU8" i="3"/>
  <c r="AU9" i="3"/>
  <c r="AU10" i="3"/>
  <c r="AU11" i="3"/>
  <c r="AU12" i="3"/>
  <c r="AU13" i="3"/>
  <c r="AU14" i="3"/>
  <c r="AU15" i="3"/>
  <c r="AU16" i="3"/>
  <c r="AU5" i="3"/>
  <c r="AT6" i="3"/>
  <c r="AT7" i="3"/>
  <c r="AT8" i="3"/>
  <c r="AT9" i="3"/>
  <c r="AT10" i="3"/>
  <c r="AT11" i="3"/>
  <c r="AT12" i="3"/>
  <c r="AT13" i="3"/>
  <c r="AT14" i="3"/>
  <c r="AT15" i="3"/>
  <c r="AT16" i="3"/>
  <c r="AT5" i="3"/>
  <c r="AS6" i="3"/>
  <c r="AS7" i="3"/>
  <c r="AS8" i="3"/>
  <c r="AS9" i="3"/>
  <c r="AS10" i="3"/>
  <c r="AS11" i="3"/>
  <c r="AS12" i="3"/>
  <c r="AS13" i="3"/>
  <c r="AS14" i="3"/>
  <c r="AS15" i="3"/>
  <c r="AS16" i="3"/>
  <c r="AR6" i="3"/>
  <c r="AR7" i="3"/>
  <c r="AR8" i="3"/>
  <c r="AR9" i="3"/>
  <c r="AR10" i="3"/>
  <c r="AR11" i="3"/>
  <c r="AR12" i="3"/>
  <c r="AR13" i="3"/>
  <c r="AR14" i="3"/>
  <c r="AR15" i="3"/>
  <c r="AR16" i="3"/>
  <c r="AR5" i="3"/>
  <c r="AP6" i="3"/>
  <c r="AP7" i="3"/>
  <c r="AP8" i="3"/>
  <c r="AP9" i="3"/>
  <c r="AP10" i="3"/>
  <c r="AP11" i="3"/>
  <c r="AP12" i="3"/>
  <c r="AP13" i="3"/>
  <c r="AP14" i="3"/>
  <c r="AP15" i="3"/>
  <c r="AP16" i="3"/>
  <c r="AP5" i="3"/>
  <c r="AQ6" i="3"/>
  <c r="AQ7" i="3"/>
  <c r="AQ8" i="3"/>
  <c r="AQ9" i="3"/>
  <c r="AQ10" i="3"/>
  <c r="AQ11" i="3"/>
  <c r="AQ12" i="3"/>
  <c r="AQ13" i="3"/>
  <c r="AQ14" i="3"/>
  <c r="AQ15" i="3"/>
  <c r="AQ16" i="3"/>
  <c r="AQ5" i="3"/>
  <c r="AO6" i="3"/>
  <c r="AO7" i="3"/>
  <c r="AO8" i="3"/>
  <c r="AO9" i="3"/>
  <c r="AO10" i="3"/>
  <c r="AO11" i="3"/>
  <c r="AO12" i="3"/>
  <c r="AO13" i="3"/>
  <c r="AO14" i="3"/>
  <c r="AO15" i="3"/>
  <c r="AO16" i="3"/>
  <c r="AO5" i="3"/>
  <c r="AN6" i="3"/>
  <c r="AN7" i="3"/>
  <c r="AN8" i="3"/>
  <c r="AN9" i="3"/>
  <c r="AN10" i="3"/>
  <c r="AN11" i="3"/>
  <c r="AN12" i="3"/>
  <c r="AN13" i="3"/>
  <c r="AN14" i="3"/>
  <c r="AN15" i="3"/>
  <c r="AN16" i="3"/>
  <c r="AN5" i="3"/>
  <c r="AM6" i="3"/>
  <c r="AM7" i="3"/>
  <c r="AM8" i="3"/>
  <c r="AM9" i="3"/>
  <c r="AM10" i="3"/>
  <c r="AM11" i="3"/>
  <c r="AM12" i="3"/>
  <c r="AM13" i="3"/>
  <c r="AM14" i="3"/>
  <c r="AM15" i="3"/>
  <c r="AM16" i="3"/>
  <c r="AM5" i="3"/>
  <c r="AL16" i="3"/>
  <c r="AL6" i="3"/>
  <c r="AL7" i="3"/>
  <c r="AL8" i="3"/>
  <c r="AL9" i="3"/>
  <c r="AL10" i="3"/>
  <c r="AL11" i="3"/>
  <c r="AL12" i="3"/>
  <c r="AL13" i="3"/>
  <c r="AL14" i="3"/>
  <c r="AL15" i="3"/>
  <c r="AL5" i="3"/>
  <c r="AK6" i="3"/>
  <c r="AK7" i="3"/>
  <c r="AK8" i="3"/>
  <c r="AK9" i="3"/>
  <c r="AK10" i="3"/>
  <c r="AK11" i="3"/>
  <c r="AK12" i="3"/>
  <c r="AK13" i="3"/>
  <c r="AK14" i="3"/>
  <c r="AK15" i="3"/>
  <c r="AK16" i="3"/>
  <c r="AK5" i="3"/>
  <c r="AJ6" i="3"/>
  <c r="AJ7" i="3"/>
  <c r="AJ8" i="3"/>
  <c r="AJ9" i="3"/>
  <c r="AJ10" i="3"/>
  <c r="AJ11" i="3"/>
  <c r="AJ12" i="3"/>
  <c r="AJ13" i="3"/>
  <c r="AJ14" i="3"/>
  <c r="AJ15" i="3"/>
  <c r="AJ16" i="3"/>
  <c r="AJ5" i="3"/>
  <c r="AI6" i="3"/>
  <c r="AI7" i="3"/>
  <c r="AI8" i="3"/>
  <c r="AI9" i="3"/>
  <c r="AI10" i="3"/>
  <c r="AI11" i="3"/>
  <c r="AI12" i="3"/>
  <c r="AI13" i="3"/>
  <c r="AI14" i="3"/>
  <c r="AI15" i="3"/>
  <c r="AI16" i="3"/>
  <c r="AI5" i="3"/>
  <c r="AH6" i="3"/>
  <c r="AH7" i="3"/>
  <c r="AH8" i="3"/>
  <c r="AH9" i="3"/>
  <c r="AH10" i="3"/>
  <c r="AH11" i="3"/>
  <c r="AH12" i="3"/>
  <c r="AH13" i="3"/>
  <c r="AH14" i="3"/>
  <c r="AH15" i="3"/>
  <c r="AH16" i="3"/>
  <c r="AH5" i="3"/>
  <c r="AS5" i="3"/>
  <c r="AG5" i="3"/>
  <c r="AF6" i="3"/>
  <c r="AF7" i="3"/>
  <c r="AF8" i="3"/>
  <c r="AF9" i="3"/>
  <c r="AF10" i="3"/>
  <c r="AF11" i="3"/>
  <c r="AF12" i="3"/>
  <c r="AF13" i="3"/>
  <c r="AF14" i="3"/>
  <c r="AF15" i="3"/>
  <c r="AF16" i="3"/>
  <c r="AF5" i="3"/>
  <c r="AG6" i="3"/>
  <c r="AG7" i="3"/>
  <c r="AG8" i="3"/>
  <c r="AG9" i="3"/>
  <c r="AG10" i="3"/>
  <c r="AG11" i="3"/>
  <c r="AG12" i="3"/>
  <c r="AG13" i="3"/>
  <c r="AG14" i="3"/>
  <c r="AG15" i="3"/>
  <c r="AG16" i="3"/>
  <c r="G7" i="1"/>
  <c r="F11" i="1"/>
  <c r="F13" i="1"/>
  <c r="G16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G17" i="1"/>
  <c r="G18" i="1"/>
  <c r="G19" i="1"/>
  <c r="G20" i="1"/>
  <c r="G21" i="1"/>
  <c r="G22" i="1"/>
  <c r="G23" i="1"/>
  <c r="G24" i="1"/>
  <c r="G25" i="1"/>
  <c r="G26" i="1"/>
  <c r="G27" i="1"/>
  <c r="F28" i="1"/>
  <c r="G43" i="1"/>
  <c r="D18" i="3"/>
  <c r="D19" i="3"/>
  <c r="D20" i="3"/>
  <c r="D21" i="3"/>
  <c r="D22" i="3"/>
  <c r="D23" i="3"/>
  <c r="D24" i="3"/>
  <c r="D25" i="3"/>
  <c r="D26" i="3"/>
  <c r="D27" i="3"/>
  <c r="D28" i="3"/>
  <c r="D29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H18" i="3"/>
  <c r="H19" i="3"/>
  <c r="H20" i="3"/>
  <c r="H21" i="3"/>
  <c r="H22" i="3"/>
  <c r="H23" i="3"/>
  <c r="H24" i="3"/>
  <c r="H25" i="3"/>
  <c r="H26" i="3"/>
  <c r="H27" i="3"/>
  <c r="H28" i="3"/>
  <c r="H29" i="3"/>
  <c r="I18" i="3"/>
  <c r="I19" i="3"/>
  <c r="I20" i="3"/>
  <c r="I21" i="3"/>
  <c r="I22" i="3"/>
  <c r="I23" i="3"/>
  <c r="I24" i="3"/>
  <c r="I25" i="3"/>
  <c r="I26" i="3"/>
  <c r="I27" i="3"/>
  <c r="I28" i="3"/>
  <c r="I29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C19" i="3"/>
  <c r="C20" i="3"/>
  <c r="C21" i="3"/>
  <c r="C22" i="3"/>
  <c r="C23" i="3"/>
  <c r="C24" i="3"/>
  <c r="C25" i="3"/>
  <c r="C26" i="3"/>
  <c r="C27" i="3"/>
  <c r="C28" i="3"/>
  <c r="C29" i="3"/>
  <c r="C18" i="3"/>
  <c r="G28" i="1" l="1"/>
  <c r="F45" i="1"/>
  <c r="F47" i="1" s="1"/>
  <c r="F48" i="1" s="1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E34" i="3"/>
  <c r="F34" i="3"/>
  <c r="G34" i="3"/>
  <c r="H34" i="3"/>
  <c r="I34" i="3"/>
  <c r="J34" i="3"/>
  <c r="K34" i="3"/>
  <c r="L34" i="3"/>
  <c r="M34" i="3"/>
  <c r="M46" i="3" s="1"/>
  <c r="M47" i="3" s="1"/>
  <c r="N34" i="3"/>
  <c r="N46" i="3" s="1"/>
  <c r="N47" i="3" s="1"/>
  <c r="O34" i="3"/>
  <c r="P34" i="3"/>
  <c r="Q34" i="3"/>
  <c r="R34" i="3"/>
  <c r="S34" i="3"/>
  <c r="T34" i="3"/>
  <c r="U34" i="3"/>
  <c r="V34" i="3"/>
  <c r="W34" i="3"/>
  <c r="X34" i="3"/>
  <c r="Y34" i="3"/>
  <c r="Y46" i="3" s="1"/>
  <c r="Y47" i="3" s="1"/>
  <c r="Z34" i="3"/>
  <c r="Z46" i="3" s="1"/>
  <c r="Z47" i="3" s="1"/>
  <c r="D34" i="3"/>
  <c r="C34" i="3"/>
  <c r="C35" i="3"/>
  <c r="C36" i="3"/>
  <c r="C37" i="3"/>
  <c r="C38" i="3"/>
  <c r="C39" i="3"/>
  <c r="C40" i="3"/>
  <c r="C41" i="3"/>
  <c r="C42" i="3"/>
  <c r="C43" i="3"/>
  <c r="C44" i="3"/>
  <c r="C45" i="3"/>
  <c r="B34" i="3"/>
  <c r="B35" i="3"/>
  <c r="B36" i="3"/>
  <c r="B37" i="3"/>
  <c r="B38" i="3"/>
  <c r="B39" i="3"/>
  <c r="B40" i="3"/>
  <c r="B41" i="3"/>
  <c r="B42" i="3"/>
  <c r="B43" i="3"/>
  <c r="B44" i="3"/>
  <c r="B45" i="3"/>
  <c r="AC45" i="3"/>
  <c r="AE35" i="3"/>
  <c r="AE36" i="3"/>
  <c r="AE37" i="3"/>
  <c r="AE38" i="3"/>
  <c r="AE39" i="3"/>
  <c r="AE40" i="3"/>
  <c r="AE41" i="3"/>
  <c r="AE42" i="3"/>
  <c r="AE43" i="3"/>
  <c r="AE44" i="3"/>
  <c r="AE34" i="3"/>
  <c r="AD35" i="3"/>
  <c r="AD36" i="3"/>
  <c r="AD37" i="3"/>
  <c r="AD38" i="3"/>
  <c r="AD39" i="3"/>
  <c r="AD40" i="3"/>
  <c r="AD41" i="3"/>
  <c r="AD42" i="3"/>
  <c r="AD43" i="3"/>
  <c r="AD44" i="3"/>
  <c r="AC35" i="3"/>
  <c r="AC36" i="3"/>
  <c r="AC37" i="3"/>
  <c r="AC38" i="3"/>
  <c r="AC39" i="3"/>
  <c r="AC40" i="3"/>
  <c r="AC41" i="3"/>
  <c r="AC42" i="3"/>
  <c r="AC43" i="3"/>
  <c r="AC44" i="3"/>
  <c r="AC34" i="3"/>
  <c r="AD34" i="3"/>
  <c r="J5" i="2"/>
  <c r="J6" i="2"/>
  <c r="J7" i="2"/>
  <c r="J8" i="2"/>
  <c r="J9" i="2"/>
  <c r="J10" i="2"/>
  <c r="J11" i="2"/>
  <c r="J12" i="2"/>
  <c r="J13" i="2"/>
  <c r="J14" i="2"/>
  <c r="J4" i="2"/>
  <c r="D29" i="2"/>
  <c r="I5" i="2"/>
  <c r="I6" i="2"/>
  <c r="I7" i="2"/>
  <c r="I8" i="2"/>
  <c r="I9" i="2"/>
  <c r="I10" i="2"/>
  <c r="I11" i="2"/>
  <c r="I12" i="2"/>
  <c r="I13" i="2"/>
  <c r="I14" i="2"/>
  <c r="I4" i="2"/>
  <c r="C30" i="3"/>
  <c r="O32" i="1" l="1"/>
  <c r="C46" i="3"/>
  <c r="C47" i="3" s="1"/>
  <c r="D46" i="3"/>
  <c r="D47" i="3" s="1"/>
  <c r="E46" i="3"/>
  <c r="E47" i="3" s="1"/>
  <c r="F46" i="3"/>
  <c r="F47" i="3" s="1"/>
  <c r="G46" i="3"/>
  <c r="G47" i="3" s="1"/>
  <c r="H46" i="3"/>
  <c r="H47" i="3" s="1"/>
  <c r="Q46" i="3"/>
  <c r="Q47" i="3" s="1"/>
  <c r="P46" i="3"/>
  <c r="P47" i="3" s="1"/>
  <c r="O46" i="3"/>
  <c r="O47" i="3" s="1"/>
  <c r="L46" i="3"/>
  <c r="L47" i="3" s="1"/>
  <c r="W46" i="3"/>
  <c r="W47" i="3" s="1"/>
  <c r="K46" i="3"/>
  <c r="K47" i="3" s="1"/>
  <c r="X46" i="3"/>
  <c r="X47" i="3" s="1"/>
  <c r="U46" i="3"/>
  <c r="U47" i="3" s="1"/>
  <c r="I46" i="3"/>
  <c r="I47" i="3" s="1"/>
  <c r="V46" i="3"/>
  <c r="V47" i="3" s="1"/>
  <c r="J46" i="3"/>
  <c r="J47" i="3" s="1"/>
  <c r="T46" i="3"/>
  <c r="T47" i="3" s="1"/>
  <c r="S46" i="3"/>
  <c r="S47" i="3" s="1"/>
  <c r="R46" i="3"/>
  <c r="R47" i="3" s="1"/>
  <c r="B46" i="3"/>
  <c r="B47" i="3" s="1"/>
  <c r="AE45" i="3"/>
  <c r="D6" i="3"/>
  <c r="D7" i="3"/>
  <c r="D8" i="3"/>
  <c r="D9" i="3"/>
  <c r="D10" i="3"/>
  <c r="D11" i="3"/>
  <c r="D12" i="3"/>
  <c r="D13" i="3"/>
  <c r="D14" i="3"/>
  <c r="D15" i="3"/>
  <c r="D16" i="3"/>
  <c r="D5" i="3"/>
  <c r="D30" i="3" s="1"/>
  <c r="S3" i="2"/>
  <c r="E14" i="3" l="1"/>
  <c r="E13" i="3"/>
  <c r="E5" i="3"/>
  <c r="E12" i="3"/>
  <c r="E8" i="3"/>
  <c r="E16" i="3"/>
  <c r="E11" i="3"/>
  <c r="E7" i="3"/>
  <c r="E15" i="3"/>
  <c r="E10" i="3"/>
  <c r="E9" i="3"/>
  <c r="E6" i="3"/>
  <c r="P36" i="2"/>
  <c r="O36" i="2"/>
  <c r="G5" i="2"/>
  <c r="H5" i="2" s="1"/>
  <c r="G6" i="2"/>
  <c r="G7" i="2"/>
  <c r="H7" i="2" s="1"/>
  <c r="G8" i="2"/>
  <c r="G9" i="2"/>
  <c r="G10" i="2"/>
  <c r="G11" i="2"/>
  <c r="G12" i="2"/>
  <c r="G13" i="2"/>
  <c r="G14" i="2"/>
  <c r="G15" i="2"/>
  <c r="H15" i="2" s="1"/>
  <c r="G4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F28" i="2"/>
  <c r="K6" i="2" l="1"/>
  <c r="K5" i="2"/>
  <c r="K4" i="2"/>
  <c r="F6" i="3"/>
  <c r="F9" i="3"/>
  <c r="F10" i="3"/>
  <c r="F15" i="3"/>
  <c r="F7" i="3"/>
  <c r="F11" i="3"/>
  <c r="F8" i="3"/>
  <c r="F12" i="3"/>
  <c r="F13" i="3"/>
  <c r="F16" i="3"/>
  <c r="F5" i="3"/>
  <c r="F14" i="3"/>
  <c r="K14" i="2"/>
  <c r="K13" i="2"/>
  <c r="K12" i="2"/>
  <c r="K11" i="2"/>
  <c r="K10" i="2"/>
  <c r="K9" i="2"/>
  <c r="K7" i="2"/>
  <c r="K8" i="2"/>
  <c r="K15" i="2" l="1"/>
  <c r="G7" i="3"/>
  <c r="G14" i="3"/>
  <c r="E30" i="3"/>
  <c r="G10" i="3"/>
  <c r="G5" i="3"/>
  <c r="G16" i="3"/>
  <c r="G15" i="3"/>
  <c r="G9" i="3"/>
  <c r="G6" i="3"/>
  <c r="G11" i="3"/>
  <c r="G13" i="3"/>
  <c r="G12" i="3"/>
  <c r="G8" i="3"/>
  <c r="K1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H12" i="3" l="1"/>
  <c r="H13" i="3"/>
  <c r="H5" i="3"/>
  <c r="H11" i="3"/>
  <c r="H16" i="3"/>
  <c r="H7" i="3"/>
  <c r="F30" i="3"/>
  <c r="H10" i="3"/>
  <c r="H6" i="3"/>
  <c r="H14" i="3"/>
  <c r="H9" i="3"/>
  <c r="H8" i="3"/>
  <c r="H15" i="3"/>
  <c r="I7" i="3" l="1"/>
  <c r="I8" i="3"/>
  <c r="I16" i="3"/>
  <c r="I9" i="3"/>
  <c r="G30" i="3"/>
  <c r="I12" i="3"/>
  <c r="I11" i="3"/>
  <c r="I14" i="3"/>
  <c r="I6" i="3"/>
  <c r="I5" i="3"/>
  <c r="I10" i="3"/>
  <c r="I13" i="3"/>
  <c r="I15" i="3"/>
  <c r="J12" i="3" l="1"/>
  <c r="J9" i="3"/>
  <c r="J10" i="3"/>
  <c r="H30" i="3"/>
  <c r="J5" i="3"/>
  <c r="J6" i="3"/>
  <c r="J14" i="3"/>
  <c r="J7" i="3"/>
  <c r="J13" i="3"/>
  <c r="J16" i="3"/>
  <c r="J8" i="3"/>
  <c r="J15" i="3"/>
  <c r="J11" i="3"/>
  <c r="K14" i="3" l="1"/>
  <c r="K6" i="3"/>
  <c r="K8" i="3"/>
  <c r="K10" i="3"/>
  <c r="K13" i="3"/>
  <c r="K15" i="3"/>
  <c r="I30" i="3"/>
  <c r="K5" i="3"/>
  <c r="K16" i="3"/>
  <c r="K7" i="3"/>
  <c r="K9" i="3"/>
  <c r="K11" i="3"/>
  <c r="K12" i="3"/>
  <c r="L12" i="3" l="1"/>
  <c r="L9" i="3"/>
  <c r="L15" i="3"/>
  <c r="L11" i="3"/>
  <c r="L13" i="3"/>
  <c r="L7" i="3"/>
  <c r="L10" i="3"/>
  <c r="L8" i="3"/>
  <c r="L16" i="3"/>
  <c r="J30" i="3"/>
  <c r="L6" i="3"/>
  <c r="L5" i="3"/>
  <c r="K30" i="3"/>
  <c r="L14" i="3"/>
  <c r="M7" i="3" l="1"/>
  <c r="M11" i="3"/>
  <c r="M15" i="3"/>
  <c r="M13" i="3"/>
  <c r="M14" i="3"/>
  <c r="M5" i="3"/>
  <c r="L30" i="3"/>
  <c r="M6" i="3"/>
  <c r="M16" i="3"/>
  <c r="M8" i="3"/>
  <c r="M9" i="3"/>
  <c r="M10" i="3"/>
  <c r="M12" i="3"/>
  <c r="N14" i="3" l="1"/>
  <c r="N9" i="3"/>
  <c r="N12" i="3"/>
  <c r="N5" i="3"/>
  <c r="N8" i="3"/>
  <c r="N15" i="3"/>
  <c r="N16" i="3"/>
  <c r="N10" i="3"/>
  <c r="N13" i="3"/>
  <c r="N11" i="3"/>
  <c r="N6" i="3"/>
  <c r="N7" i="3"/>
  <c r="M30" i="3" l="1"/>
  <c r="O7" i="3"/>
  <c r="O11" i="3"/>
  <c r="O12" i="3"/>
  <c r="O15" i="3"/>
  <c r="O6" i="3"/>
  <c r="O8" i="3"/>
  <c r="O5" i="3"/>
  <c r="O13" i="3"/>
  <c r="O10" i="3"/>
  <c r="O9" i="3"/>
  <c r="O16" i="3"/>
  <c r="O14" i="3"/>
  <c r="P14" i="3" l="1"/>
  <c r="P16" i="3"/>
  <c r="P9" i="3"/>
  <c r="P15" i="3"/>
  <c r="P10" i="3"/>
  <c r="P13" i="3"/>
  <c r="P11" i="3"/>
  <c r="P7" i="3"/>
  <c r="P8" i="3"/>
  <c r="P6" i="3"/>
  <c r="P12" i="3"/>
  <c r="N30" i="3"/>
  <c r="P5" i="3"/>
  <c r="Q5" i="3" l="1"/>
  <c r="Q10" i="3"/>
  <c r="Q15" i="3"/>
  <c r="Q12" i="3"/>
  <c r="Q9" i="3"/>
  <c r="Q13" i="3"/>
  <c r="Q6" i="3"/>
  <c r="Q8" i="3"/>
  <c r="Q7" i="3"/>
  <c r="Q16" i="3"/>
  <c r="O30" i="3"/>
  <c r="Q11" i="3"/>
  <c r="Q14" i="3"/>
  <c r="R14" i="3" l="1"/>
  <c r="R9" i="3"/>
  <c r="R13" i="3"/>
  <c r="R15" i="3"/>
  <c r="P30" i="3"/>
  <c r="R11" i="3"/>
  <c r="R16" i="3"/>
  <c r="R12" i="3"/>
  <c r="R7" i="3"/>
  <c r="R8" i="3"/>
  <c r="R10" i="3"/>
  <c r="R6" i="3"/>
  <c r="R5" i="3"/>
  <c r="S16" i="3" l="1"/>
  <c r="S6" i="3"/>
  <c r="S8" i="3"/>
  <c r="S5" i="3"/>
  <c r="S12" i="3"/>
  <c r="S11" i="3"/>
  <c r="S10" i="3"/>
  <c r="S15" i="3"/>
  <c r="S13" i="3"/>
  <c r="S7" i="3"/>
  <c r="S9" i="3"/>
  <c r="Q30" i="3"/>
  <c r="S14" i="3"/>
  <c r="T9" i="3" l="1"/>
  <c r="T12" i="3"/>
  <c r="T5" i="3"/>
  <c r="T7" i="3"/>
  <c r="T13" i="3"/>
  <c r="T8" i="3"/>
  <c r="T14" i="3"/>
  <c r="T11" i="3"/>
  <c r="R30" i="3"/>
  <c r="T15" i="3"/>
  <c r="T6" i="3"/>
  <c r="T10" i="3"/>
  <c r="T16" i="3"/>
  <c r="U16" i="3" l="1"/>
  <c r="U8" i="3"/>
  <c r="U10" i="3"/>
  <c r="U13" i="3"/>
  <c r="U7" i="3"/>
  <c r="U15" i="3"/>
  <c r="U6" i="3"/>
  <c r="S30" i="3"/>
  <c r="U5" i="3"/>
  <c r="U11" i="3"/>
  <c r="U12" i="3"/>
  <c r="U14" i="3"/>
  <c r="U9" i="3"/>
  <c r="V15" i="3" l="1"/>
  <c r="V12" i="3"/>
  <c r="V11" i="3"/>
  <c r="V9" i="3"/>
  <c r="V13" i="3"/>
  <c r="V14" i="3"/>
  <c r="V7" i="3"/>
  <c r="T30" i="3"/>
  <c r="V10" i="3"/>
  <c r="V5" i="3"/>
  <c r="V8" i="3"/>
  <c r="V6" i="3"/>
  <c r="V16" i="3"/>
  <c r="W16" i="3" l="1"/>
  <c r="W14" i="3"/>
  <c r="W6" i="3"/>
  <c r="W13" i="3"/>
  <c r="W8" i="3"/>
  <c r="W9" i="3"/>
  <c r="W11" i="3"/>
  <c r="U30" i="3"/>
  <c r="W5" i="3"/>
  <c r="W10" i="3"/>
  <c r="W12" i="3"/>
  <c r="W7" i="3"/>
  <c r="W15" i="3"/>
  <c r="X15" i="3" l="1"/>
  <c r="X12" i="3"/>
  <c r="X10" i="3"/>
  <c r="X13" i="3"/>
  <c r="X6" i="3"/>
  <c r="X9" i="3"/>
  <c r="X7" i="3"/>
  <c r="X8" i="3"/>
  <c r="V30" i="3"/>
  <c r="X5" i="3"/>
  <c r="X14" i="3"/>
  <c r="X11" i="3"/>
  <c r="X16" i="3"/>
  <c r="Y16" i="3" l="1"/>
  <c r="Y6" i="3"/>
  <c r="Y14" i="3"/>
  <c r="Y5" i="3"/>
  <c r="Y13" i="3"/>
  <c r="Y8" i="3"/>
  <c r="Y9" i="3"/>
  <c r="Y11" i="3"/>
  <c r="W30" i="3"/>
  <c r="Y10" i="3"/>
  <c r="Y12" i="3"/>
  <c r="Y7" i="3"/>
  <c r="Y15" i="3"/>
  <c r="Z7" i="3" l="1"/>
  <c r="Z15" i="3"/>
  <c r="Z8" i="3"/>
  <c r="X30" i="3"/>
  <c r="Z5" i="3"/>
  <c r="Z14" i="3"/>
  <c r="Z13" i="3"/>
  <c r="Z12" i="3"/>
  <c r="Z10" i="3"/>
  <c r="Z11" i="3"/>
  <c r="Z6" i="3"/>
  <c r="Z9" i="3"/>
  <c r="Z16" i="3"/>
  <c r="AA13" i="3" l="1"/>
  <c r="Y30" i="3"/>
  <c r="AA11" i="3"/>
  <c r="AA16" i="3"/>
  <c r="AA14" i="3"/>
  <c r="AA6" i="3"/>
  <c r="AA9" i="3"/>
  <c r="AA5" i="3"/>
  <c r="AA8" i="3"/>
  <c r="AA10" i="3"/>
  <c r="AA15" i="3"/>
  <c r="AA12" i="3"/>
  <c r="AA7" i="3"/>
  <c r="AA30" i="3" l="1"/>
  <c r="Z30" i="3"/>
</calcChain>
</file>

<file path=xl/sharedStrings.xml><?xml version="1.0" encoding="utf-8"?>
<sst xmlns="http://schemas.openxmlformats.org/spreadsheetml/2006/main" count="314" uniqueCount="154">
  <si>
    <t>Descrição</t>
  </si>
  <si>
    <t>Marca escolhida</t>
  </si>
  <si>
    <t>Potência do Painel (W)</t>
  </si>
  <si>
    <t>Número de Painéis</t>
  </si>
  <si>
    <t>Capacidade Total Final (kWp)</t>
  </si>
  <si>
    <t>Área Ocupada (m²)</t>
  </si>
  <si>
    <t>Valor</t>
  </si>
  <si>
    <t>Cidade:</t>
  </si>
  <si>
    <t>Fortaleza, CE</t>
  </si>
  <si>
    <t>Consumo Médio Mensal (kWp):</t>
  </si>
  <si>
    <t>Performance Ratio (PR - %):</t>
  </si>
  <si>
    <t>Mês</t>
  </si>
  <si>
    <t>Consumo Mensal (kWp)</t>
  </si>
  <si>
    <t>Geração Estimada (kWh)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</si>
  <si>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</si>
  <si>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</si>
  <si>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</si>
  <si>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</si>
  <si>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</si>
  <si>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</si>
  <si>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</si>
  <si>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</si>
  <si>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</si>
  <si>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</si>
  <si>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</si>
  <si>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</si>
  <si>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Dimensões dos Painéis (mm)</t>
  </si>
  <si>
    <t>Fonte: http://www.cresesb.cepel.br/index.php#localidade_57335</t>
  </si>
  <si>
    <t>Psf</t>
  </si>
  <si>
    <t>Dias</t>
  </si>
  <si>
    <t>H diária</t>
  </si>
  <si>
    <t>ENEL</t>
  </si>
  <si>
    <t>Concessionária:</t>
  </si>
  <si>
    <t>Nome: Leonardo Sartori</t>
  </si>
  <si>
    <t>Ediária</t>
  </si>
  <si>
    <t>PR</t>
  </si>
  <si>
    <t>Canadian Solar - 420MS</t>
  </si>
  <si>
    <t>Média Total</t>
  </si>
  <si>
    <t>Média</t>
  </si>
  <si>
    <t>NOVO</t>
  </si>
  <si>
    <t>MICROGERAÇÃO</t>
  </si>
  <si>
    <t>Normal Climatológica do Brasil 1991-2020</t>
  </si>
  <si>
    <t>Temperatura Máxima Mensal e Anual (°C)</t>
  </si>
  <si>
    <t xml:space="preserve">Código </t>
  </si>
  <si>
    <t>Nome da Estação</t>
  </si>
  <si>
    <t>UF</t>
  </si>
  <si>
    <t>Ano</t>
  </si>
  <si>
    <t>FORTALEZA</t>
  </si>
  <si>
    <t>CE</t>
  </si>
  <si>
    <t>Nº de módulos</t>
  </si>
  <si>
    <t>O consumo médio mensal foi baseado em uma média de temperatura mensal, onde nos meses que possuem maiores temperaturas, são gastos mais energias, e assim também para os menores.</t>
  </si>
  <si>
    <t>Fator de Simultaniedade = Auto consumo / Energia Gerada</t>
  </si>
  <si>
    <t>Se for maior ou igual, o fator de simultaneidade será máximo (1 ou 100%), indicando que a energia gerada está sendo consumida imediatamente, sem necessidade de exportação. Portanto, nenhuma taxa será cobrada.</t>
  </si>
  <si>
    <t>Histórico de Faturamento</t>
  </si>
  <si>
    <t>Classificação da Unidade Consumidora:</t>
  </si>
  <si>
    <t>Grupo: B</t>
  </si>
  <si>
    <t>Subgrupo: B3</t>
  </si>
  <si>
    <t>Demais classes</t>
  </si>
  <si>
    <t>Trífasico</t>
  </si>
  <si>
    <t>Tarifa Verde</t>
  </si>
  <si>
    <t>Descrição do Faturamento</t>
  </si>
  <si>
    <t>CCI</t>
  </si>
  <si>
    <t>Qtd (kWh)</t>
  </si>
  <si>
    <t>Tarifa c/ ICMS</t>
  </si>
  <si>
    <t>USO SIST. DISTR. (TUSD)</t>
  </si>
  <si>
    <t>ENERGIA (TE)</t>
  </si>
  <si>
    <t>ENERGIA ATIVA COMPENSADA TUSD</t>
  </si>
  <si>
    <t xml:space="preserve">ENERGIA ATIVA COPENSADA TE </t>
  </si>
  <si>
    <t>PIS/PASEP (1,06%)</t>
  </si>
  <si>
    <t>COFINS (4,88%)</t>
  </si>
  <si>
    <t>MUNICIPAL</t>
  </si>
  <si>
    <t>0605</t>
  </si>
  <si>
    <t>0601</t>
  </si>
  <si>
    <t>0699</t>
  </si>
  <si>
    <t>0807</t>
  </si>
  <si>
    <t>Geração Estimada</t>
  </si>
  <si>
    <t>Saldo</t>
  </si>
  <si>
    <t>2384x1303x35</t>
  </si>
  <si>
    <t>1st year power degradation no more than 2%
Subsequent annual power degradation no more than 0.55%</t>
  </si>
  <si>
    <t>Fator de degradação</t>
  </si>
  <si>
    <t>https://www.sefin.fortaleza.ce.gov.br/Canal/16/Generico/1201/Ler</t>
  </si>
  <si>
    <t>Acima de 2000kwh</t>
  </si>
  <si>
    <t>1000kwh*0,40905</t>
  </si>
  <si>
    <t>*85,49%</t>
  </si>
  <si>
    <t>TOTAL</t>
  </si>
  <si>
    <t>Valor Original</t>
  </si>
  <si>
    <t>Valor Final</t>
  </si>
  <si>
    <t>Economia</t>
  </si>
  <si>
    <t xml:space="preserve">86.656*0,5% = R$4.332,80 </t>
  </si>
  <si>
    <t>Custo Manutenção</t>
  </si>
  <si>
    <t>TOTAL TOTAL</t>
  </si>
  <si>
    <t xml:space="preserve">1 ANO </t>
  </si>
  <si>
    <t>2 ANO</t>
  </si>
  <si>
    <t>3 ANO</t>
  </si>
  <si>
    <t>4 ANO</t>
  </si>
  <si>
    <t>5 ANO</t>
  </si>
  <si>
    <t>6 ANO</t>
  </si>
  <si>
    <t>7 ANO</t>
  </si>
  <si>
    <t>8 ANO</t>
  </si>
  <si>
    <t>9 ANO</t>
  </si>
  <si>
    <t>10 ANO</t>
  </si>
  <si>
    <t>11 ANO</t>
  </si>
  <si>
    <t>12 ANO</t>
  </si>
  <si>
    <t>13 ANO</t>
  </si>
  <si>
    <t>14 ANO</t>
  </si>
  <si>
    <t>15 ANO</t>
  </si>
  <si>
    <t>16 ANO</t>
  </si>
  <si>
    <t>17 ANO</t>
  </si>
  <si>
    <t>18 ANO</t>
  </si>
  <si>
    <t>19 ANO</t>
  </si>
  <si>
    <t>20 ANO</t>
  </si>
  <si>
    <t>21 ANO</t>
  </si>
  <si>
    <t>22 ANO</t>
  </si>
  <si>
    <t>23 ANO</t>
  </si>
  <si>
    <t>24 ANO</t>
  </si>
  <si>
    <t>25 ANO</t>
  </si>
  <si>
    <t>VALOR INICIAL</t>
  </si>
  <si>
    <t>Geração</t>
  </si>
  <si>
    <t>Injetado</t>
  </si>
  <si>
    <t>Sigla</t>
  </si>
  <si>
    <t>Resolução ANEEL</t>
  </si>
  <si>
    <t>Início Vigência</t>
  </si>
  <si>
    <t>Fim Vigência</t>
  </si>
  <si>
    <t>Base Tarifária</t>
  </si>
  <si>
    <t>Subgrupo</t>
  </si>
  <si>
    <t>Modalidade</t>
  </si>
  <si>
    <t>Classe</t>
  </si>
  <si>
    <t>Subclasse</t>
  </si>
  <si>
    <t>Detalhe</t>
  </si>
  <si>
    <t>Acessante</t>
  </si>
  <si>
    <t>Posto</t>
  </si>
  <si>
    <t>Unidade</t>
  </si>
  <si>
    <t>TUSD</t>
  </si>
  <si>
    <t>TE</t>
  </si>
  <si>
    <t>Enel CE</t>
  </si>
  <si>
    <t>REH Nº 3.185, DE 18 DE ABRIL DE 2023</t>
  </si>
  <si>
    <t>Tarifa de Aplicação</t>
  </si>
  <si>
    <t>B3</t>
  </si>
  <si>
    <t>Convencional</t>
  </si>
  <si>
    <t>Não se aplica</t>
  </si>
  <si>
    <t>R$/MWh</t>
  </si>
  <si>
    <t>Base Econômica</t>
  </si>
  <si>
    <t>Filtros aplicados:
Sigla é Enel CE
Modalidade é Convencional
Subgrupo é B3
Ano é 2023
Flag é 1
Flag é 1
Tipo de Outorga não é (Em branco)</t>
  </si>
  <si>
    <t>Total</t>
  </si>
  <si>
    <t>TUSD Fio B</t>
  </si>
  <si>
    <t xml:space="preserve">Novas </t>
  </si>
  <si>
    <t>Tarifa 2023</t>
  </si>
  <si>
    <t>ANO</t>
  </si>
  <si>
    <t>ECONOMIA</t>
  </si>
  <si>
    <t>ANO 1</t>
  </si>
  <si>
    <t>tusd</t>
  </si>
  <si>
    <t>MANUT.</t>
  </si>
  <si>
    <t xml:space="preserve">SALDO DE ENERGIA DURANTE OS 25 ANOS </t>
  </si>
  <si>
    <t>VALOR DA FATURA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</si>
</sst>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Segoe U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10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3" borderId="14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11" borderId="1" xfId="0" applyFill="1" applyBorder="1"/>
    <xf numFmtId="49" fontId="0" fillId="0" borderId="1" xfId="0" applyNumberFormat="1" applyBorder="1" applyAlignment="1">
      <alignment horizontal="center" vertical="center"/>
    </xf>
    <xf numFmtId="0" fontId="0" fillId="12" borderId="1" xfId="0" applyFill="1" applyBorder="1"/>
    <xf numFmtId="164" fontId="1" fillId="7" borderId="1" xfId="0" applyNumberFormat="1" applyFont="1" applyFill="1" applyBorder="1" applyAlignment="1">
      <alignment horizontal="center" vertical="center"/>
    </xf>
    <xf numFmtId="164" fontId="1" fillId="7" borderId="9" xfId="0" applyNumberFormat="1" applyFont="1" applyFill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" fillId="14" borderId="1" xfId="0" applyFont="1" applyFill="1" applyBorder="1"/>
    <xf numFmtId="0" fontId="0" fillId="15" borderId="1" xfId="0" applyFill="1" applyBorder="1"/>
    <xf numFmtId="0" fontId="9" fillId="0" borderId="0" xfId="0" applyFont="1"/>
    <xf numFmtId="0" fontId="0" fillId="16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0" fontId="0" fillId="8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0" fontId="10" fillId="0" borderId="0" xfId="2"/>
    <xf numFmtId="0" fontId="11" fillId="17" borderId="0" xfId="2" applyFont="1" applyFill="1"/>
    <xf numFmtId="0" fontId="1" fillId="17" borderId="0" xfId="0" applyFont="1" applyFill="1"/>
    <xf numFmtId="0" fontId="10" fillId="0" borderId="1" xfId="2" applyBorder="1"/>
    <xf numFmtId="14" fontId="10" fillId="0" borderId="1" xfId="2" applyNumberFormat="1" applyBorder="1"/>
    <xf numFmtId="0" fontId="11" fillId="17" borderId="1" xfId="2" applyFont="1" applyFill="1" applyBorder="1"/>
    <xf numFmtId="0" fontId="0" fillId="0" borderId="1" xfId="0" applyBorder="1" applyAlignment="1">
      <alignment horizontal="right"/>
    </xf>
    <xf numFmtId="0" fontId="0" fillId="18" borderId="1" xfId="0" applyFill="1" applyBorder="1"/>
    <xf numFmtId="0" fontId="0" fillId="2" borderId="5" xfId="0" applyFill="1" applyBorder="1" applyAlignment="1">
      <alignment horizontal="center" vertical="center"/>
    </xf>
    <xf numFmtId="9" fontId="0" fillId="0" borderId="1" xfId="3" applyFont="1" applyBorder="1"/>
    <xf numFmtId="10" fontId="0" fillId="0" borderId="1" xfId="3" applyNumberFormat="1" applyFont="1" applyBorder="1"/>
    <xf numFmtId="1" fontId="0" fillId="18" borderId="1" xfId="0" applyNumberFormat="1" applyFill="1" applyBorder="1"/>
    <xf numFmtId="1" fontId="0" fillId="18" borderId="1" xfId="3" applyNumberFormat="1" applyFont="1" applyFill="1" applyBorder="1"/>
    <xf numFmtId="166" fontId="0" fillId="19" borderId="1" xfId="3" applyNumberFormat="1" applyFont="1" applyFill="1" applyBorder="1"/>
    <xf numFmtId="0" fontId="0" fillId="19" borderId="1" xfId="0" applyFill="1" applyBorder="1"/>
    <xf numFmtId="0" fontId="0" fillId="20" borderId="0" xfId="0" applyFill="1"/>
    <xf numFmtId="0" fontId="1" fillId="12" borderId="1" xfId="0" applyFont="1" applyFill="1" applyBorder="1"/>
    <xf numFmtId="0" fontId="0" fillId="18" borderId="1" xfId="0" applyFill="1" applyBorder="1" applyAlignment="1">
      <alignment vertical="center"/>
    </xf>
    <xf numFmtId="1" fontId="0" fillId="18" borderId="1" xfId="0" applyNumberFormat="1" applyFill="1" applyBorder="1" applyAlignment="1">
      <alignment horizontal="center" vertical="center"/>
    </xf>
    <xf numFmtId="1" fontId="0" fillId="18" borderId="1" xfId="3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1" fillId="12" borderId="16" xfId="0" applyFont="1" applyFill="1" applyBorder="1"/>
    <xf numFmtId="0" fontId="1" fillId="14" borderId="1" xfId="0" applyFont="1" applyFill="1" applyBorder="1" applyAlignment="1"/>
    <xf numFmtId="0" fontId="1" fillId="0" borderId="1" xfId="0" applyFont="1" applyBorder="1"/>
    <xf numFmtId="0" fontId="6" fillId="18" borderId="1" xfId="0" applyFont="1" applyFill="1" applyBorder="1" applyAlignment="1"/>
    <xf numFmtId="0" fontId="5" fillId="4" borderId="0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3" borderId="1" xfId="0" applyFill="1" applyBorder="1" applyAlignment="1"/>
    <xf numFmtId="0" fontId="0" fillId="18" borderId="1" xfId="0" applyFill="1" applyBorder="1" applyAlignment="1"/>
    <xf numFmtId="0" fontId="0" fillId="18" borderId="1" xfId="3" applyNumberFormat="1" applyFont="1" applyFill="1" applyBorder="1"/>
    <xf numFmtId="0" fontId="12" fillId="20" borderId="0" xfId="0" applyFont="1" applyFill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0" fillId="12" borderId="0" xfId="0" applyFill="1" applyBorder="1"/>
  </cellXfs>
  <cellStyles count="4">
    <cellStyle name="60% - Ênfase4" xfId="1" builtinId="44"/>
    <cellStyle name="Normal" xfId="0" builtinId="0"/>
    <cellStyle name="Normal 2" xfId="2"/>
    <cellStyle name="Porcentagem" xfId="3" builtinId="5"/>
  </cellStyles>
  <dxfs count="26"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-0.249977111117893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/>
      </font>
      <numFmt numFmtId="164" formatCode="0.000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</font>
      <numFmt numFmtId="164" formatCode="0.000"/>
      <border outline="0">
        <right style="thin">
          <color indexed="64"/>
        </right>
      </border>
    </dxf>
    <dxf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fill>
        <patternFill patternType="solid">
          <fgColor indexed="64"/>
          <bgColor theme="9" tint="-0.24997711111789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do Consumo Mensal e da Geração Estimada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Plan1!$A$16:$A$27</c:f>
              <c:numCache>
                <c:formatCode>General</c:formatCode>
                <c:ptCount val="12"/>
              </c:numCache>
            </c:numRef>
          </c:cat>
          <c:val>
            <c:numRef>
              <c:f>Plan1!$B$16:$B$27</c:f>
              <c:numCache>
                <c:formatCode>General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FE-491F-9CED-4FE3DDBB59A4}"/>
            </c:ext>
          </c:extLst>
        </c:ser>
        <c:ser>
          <c:idx val="1"/>
          <c:order val="1"/>
          <c:tx>
            <c:strRef>
              <c:f>Plan1!$C$15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Plan1!$A$16:$A$27</c:f>
              <c:numCache>
                <c:formatCode>General</c:formatCode>
                <c:ptCount val="12"/>
              </c:numCache>
            </c:numRef>
          </c:cat>
          <c:val>
            <c:numRef>
              <c:f>Plan1!$C$16:$C$27</c:f>
              <c:numCache>
                <c:formatCode>0.000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FE-491F-9CED-4FE3DDBB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69264"/>
        <c:axId val="532366128"/>
      </c:lineChart>
      <c:catAx>
        <c:axId val="5323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366128"/>
        <c:crosses val="autoZero"/>
        <c:auto val="1"/>
        <c:lblAlgn val="ctr"/>
        <c:lblOffset val="100"/>
        <c:noMultiLvlLbl val="0"/>
      </c:catAx>
      <c:valAx>
        <c:axId val="532366128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36926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233643</xdr:colOff>
      <xdr:row>0</xdr:row>
      <xdr:rowOff>142594</xdr:rowOff>
    </xdr:from>
    <xdr:to>
      <xdr:col>25</xdr:col>
      <xdr:colOff>470647</xdr:colOff>
      <xdr:row>14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119343</xdr:colOff>
      <xdr:row>49</xdr:row>
      <xdr:rowOff>122918</xdr:rowOff>
    </xdr:from>
    <xdr:to>
      <xdr:col>4</xdr:col>
      <xdr:colOff>493059</xdr:colOff>
      <xdr:row>50</xdr:row>
      <xdr:rowOff>257377</xdr:rowOff>
    </xdr:to>
    <xdr:pic>
      <xdr:nvPicPr>
        <xdr:cNvPr id="2" name="Imagem 1" descr="logo_inmet.gif">
          <a:extLst>
            <a:ext uri="{FF2B5EF4-FFF2-40B4-BE49-F238E27FC236}">
              <a16:creationId xmlns:a16="http://schemas.microsoft.com/office/drawing/2014/main" xmlns="" id="{96EE09C3-91E2-4950-8C47-A04105B76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8549" y="9479830"/>
          <a:ext cx="373716" cy="493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150158</xdr:colOff>
      <xdr:row>49</xdr:row>
      <xdr:rowOff>123264</xdr:rowOff>
    </xdr:from>
    <xdr:to>
      <xdr:col>19</xdr:col>
      <xdr:colOff>503246</xdr:colOff>
      <xdr:row>50</xdr:row>
      <xdr:rowOff>236645</xdr:rowOff>
    </xdr:to>
    <xdr:pic>
      <xdr:nvPicPr>
        <xdr:cNvPr id="3" name="Imagem 2" descr="logo_inmet.gif">
          <a:extLst>
            <a:ext uri="{FF2B5EF4-FFF2-40B4-BE49-F238E27FC236}">
              <a16:creationId xmlns:a16="http://schemas.microsoft.com/office/drawing/2014/main" xmlns="" id="{C4FA48CB-0625-439B-91C7-406D9688F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2864" y="9480176"/>
          <a:ext cx="353088" cy="471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8" name="Tabela29" displayName="Tabela29" ref="E7:F13" totalsRowShown="0" headerRowDxfId="6" dataDxfId="4" headerRowBorderDxfId="5" tableBorderDxfId="3" totalsRowBorderDxfId="2">
  <autoFilter ref="E7:F13"/>
  <tableColumns count="2">
    <tableColumn id="1" name="Descrição" dataDxfId="1"/>
    <tableColumn id="2" name="Valor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7" name="Tabela58" displayName="Tabela58" ref="G30:G43" totalsRowShown="0" headerRowDxfId="9" tableBorderDxfId="8">
  <autoFilter ref="G30:G43"/>
  <tableColumns count="1">
    <tableColumn id="1" name="Dias" dataDxfId="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ela47" displayName="Tabela47" ref="E30:F43" totalsRowShown="0" headerRowDxfId="13" tableBorderDxfId="12">
  <autoFilter ref="E30:F43"/>
  <tableColumns count="2">
    <tableColumn id="1" name="Mês" dataDxfId="11"/>
    <tableColumn id="2" name="H diária" dataDxfId="1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32" displayName="Tabela32" ref="E15:H28" totalsRowCount="1" headerRowDxfId="25" dataDxfId="23" totalsRowDxfId="21" headerRowBorderDxfId="24" tableBorderDxfId="22" totalsRowBorderDxfId="20">
  <autoFilter ref="E15:H27"/>
  <tableColumns count="4">
    <tableColumn id="1" name="Mês" totalsRowLabel="Média Total" totalsRowDxfId="19"/>
    <tableColumn id="2" name="Consumo Mensal (kWp)" totalsRowFunction="custom" totalsRowDxfId="18">
      <totalsRowFormula>SUM(Tabela32[Consumo Mensal (kWp)])/12</totalsRowFormula>
    </tableColumn>
    <tableColumn id="3" name="Geração Estimada (kWh)" totalsRowFunction="custom" dataDxfId="17" totalsRowDxfId="16">
      <calculatedColumnFormula>$G$47*F31*$F$46*G31</calculatedColumnFormula>
      <totalsRowFormula>SUM(Tabela32[Geração Estimada (kWh)])/12</totalsRowFormula>
    </tableColumn>
    <tableColumn id="4" name="Saldo" dataDxfId="15" totalsRowDxfId="14">
      <calculatedColumnFormula>H15+(Tabela32[[#This Row],[Geração Estimada (kWh)]]-Tabela32[[#This Row],[Consumo Mensal (kWp)]])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85" zoomScaleNormal="85" workbookViewId="0">
      <selection activeCell="D1" sqref="D1:D48"/>
    </sheetView>
  </sheetViews>
  <sheetFormatPr defaultRowHeight="15" x14ac:dyDescent="0.25"/>
  <cols>
    <col min="1" max="1" width="28.7109375" bestFit="1" customWidth="1"/>
    <col min="2" max="2" width="34.85546875" customWidth="1"/>
    <col min="3" max="3" width="27.7109375" bestFit="1" customWidth="1"/>
    <col min="4" max="4" width="11.7109375" customWidth="1"/>
    <col min="5" max="6" width="27.28515625" bestFit="1" customWidth="1"/>
    <col min="7" max="7" width="27.85546875" bestFit="1" customWidth="1"/>
    <col min="8" max="8" width="21" customWidth="1"/>
    <col min="10" max="10" width="12.85546875" bestFit="1" customWidth="1"/>
    <col min="11" max="11" width="44.42578125" bestFit="1" customWidth="1"/>
  </cols>
  <sheetData>
    <row r="1" spans="1:14" ht="15" customHeight="1" x14ac:dyDescent="0.25">
      <c r="A1" s="81" t="s">
        <v>33</v>
      </c>
      <c r="B1" s="82"/>
      <c r="D1" s="87"/>
    </row>
    <row r="2" spans="1:14" x14ac:dyDescent="0.25">
      <c r="A2" s="1" t="s">
        <v>7</v>
      </c>
      <c r="B2" s="1" t="s">
        <v>8</v>
      </c>
      <c r="D2" s="87"/>
    </row>
    <row r="3" spans="1:14" ht="15" customHeight="1" x14ac:dyDescent="0.25">
      <c r="A3" s="17" t="s">
        <v>32</v>
      </c>
      <c r="B3" s="1" t="s">
        <v>31</v>
      </c>
      <c r="D3" s="87"/>
    </row>
    <row r="4" spans="1:14" ht="15.75" thickBot="1" x14ac:dyDescent="0.3">
      <c r="A4" s="1" t="s">
        <v>9</v>
      </c>
      <c r="B4" s="1">
        <v>4000</v>
      </c>
      <c r="D4" s="87"/>
    </row>
    <row r="5" spans="1:14" ht="15" customHeight="1" x14ac:dyDescent="0.25">
      <c r="A5" s="1" t="s">
        <v>10</v>
      </c>
      <c r="B5" s="1">
        <v>0.85</v>
      </c>
      <c r="D5" s="87"/>
      <c r="E5" s="83" t="s">
        <v>39</v>
      </c>
      <c r="F5" s="84"/>
    </row>
    <row r="6" spans="1:14" ht="15.75" thickBot="1" x14ac:dyDescent="0.3">
      <c r="D6" s="87"/>
      <c r="E6" s="85"/>
      <c r="F6" s="86"/>
    </row>
    <row r="7" spans="1:14" x14ac:dyDescent="0.25">
      <c r="A7" s="4"/>
      <c r="B7" s="7"/>
      <c r="D7" s="87"/>
      <c r="E7" s="4" t="s">
        <v>0</v>
      </c>
      <c r="F7" s="7" t="s">
        <v>6</v>
      </c>
      <c r="G7">
        <f>420*68</f>
        <v>28560</v>
      </c>
    </row>
    <row r="8" spans="1:14" ht="15" customHeight="1" x14ac:dyDescent="0.25">
      <c r="A8" s="5"/>
      <c r="B8" s="2"/>
      <c r="D8" s="87"/>
      <c r="E8" s="5" t="s">
        <v>1</v>
      </c>
      <c r="F8" s="2" t="s">
        <v>36</v>
      </c>
      <c r="I8" s="122" t="s">
        <v>50</v>
      </c>
      <c r="J8" s="123"/>
      <c r="K8" s="123"/>
      <c r="L8" s="123"/>
      <c r="M8" s="123"/>
      <c r="N8" s="124"/>
    </row>
    <row r="9" spans="1:14" x14ac:dyDescent="0.25">
      <c r="A9" s="5"/>
      <c r="B9" s="2"/>
      <c r="C9" s="1"/>
      <c r="D9" s="87"/>
      <c r="E9" s="5" t="s">
        <v>2</v>
      </c>
      <c r="F9" s="2">
        <v>665</v>
      </c>
      <c r="I9" s="125"/>
      <c r="J9" s="126"/>
      <c r="K9" s="126"/>
      <c r="L9" s="126"/>
      <c r="M9" s="126"/>
      <c r="N9" s="127"/>
    </row>
    <row r="10" spans="1:14" x14ac:dyDescent="0.25">
      <c r="A10" s="5"/>
      <c r="B10" s="10"/>
      <c r="C10" s="1"/>
      <c r="D10" s="87"/>
      <c r="E10" s="5" t="s">
        <v>3</v>
      </c>
      <c r="F10" s="10">
        <v>42</v>
      </c>
      <c r="I10" s="125"/>
      <c r="J10" s="126"/>
      <c r="K10" s="126"/>
      <c r="L10" s="126"/>
      <c r="M10" s="126"/>
      <c r="N10" s="127"/>
    </row>
    <row r="11" spans="1:14" x14ac:dyDescent="0.25">
      <c r="A11" s="5"/>
      <c r="B11" s="2"/>
      <c r="D11" s="87"/>
      <c r="E11" s="5" t="s">
        <v>4</v>
      </c>
      <c r="F11" s="2">
        <f>(F9)*F10/1000</f>
        <v>27.93</v>
      </c>
      <c r="G11" s="31" t="s">
        <v>40</v>
      </c>
      <c r="I11" s="125"/>
      <c r="J11" s="126"/>
      <c r="K11" s="126"/>
      <c r="L11" s="126"/>
      <c r="M11" s="126"/>
      <c r="N11" s="127"/>
    </row>
    <row r="12" spans="1:14" x14ac:dyDescent="0.25">
      <c r="A12" s="5"/>
      <c r="B12" s="2"/>
      <c r="D12" s="87"/>
      <c r="E12" s="5" t="s">
        <v>26</v>
      </c>
      <c r="F12" s="2" t="s">
        <v>77</v>
      </c>
      <c r="I12" s="125"/>
      <c r="J12" s="126"/>
      <c r="K12" s="126"/>
      <c r="L12" s="126"/>
      <c r="M12" s="126"/>
      <c r="N12" s="127"/>
    </row>
    <row r="13" spans="1:14" x14ac:dyDescent="0.25">
      <c r="A13" s="5"/>
      <c r="B13" s="2"/>
      <c r="D13" s="87"/>
      <c r="E13" s="5" t="s">
        <v>5</v>
      </c>
      <c r="F13" s="2">
        <f>((2384*1303)/1000000)*F10</f>
        <v>130.46678399999999</v>
      </c>
      <c r="I13" s="128"/>
      <c r="J13" s="129"/>
      <c r="K13" s="129"/>
      <c r="L13" s="129"/>
      <c r="M13" s="129"/>
      <c r="N13" s="130"/>
    </row>
    <row r="14" spans="1:14" x14ac:dyDescent="0.25">
      <c r="D14" s="87"/>
    </row>
    <row r="15" spans="1:14" ht="15" customHeight="1" x14ac:dyDescent="0.25">
      <c r="A15" s="4"/>
      <c r="B15" s="9"/>
      <c r="C15" s="7"/>
      <c r="D15" s="87"/>
      <c r="E15" s="4" t="s">
        <v>11</v>
      </c>
      <c r="F15" s="9" t="s">
        <v>12</v>
      </c>
      <c r="G15" s="34" t="s">
        <v>13</v>
      </c>
      <c r="H15" s="34" t="s">
        <v>76</v>
      </c>
    </row>
    <row r="16" spans="1:14" x14ac:dyDescent="0.25">
      <c r="A16" s="5"/>
      <c r="B16" s="1"/>
      <c r="C16" s="15"/>
      <c r="D16" s="87"/>
      <c r="E16" s="5" t="s">
        <v>14</v>
      </c>
      <c r="F16" s="1">
        <v>4060</v>
      </c>
      <c r="G16" s="1">
        <f>$G$47*F31*$F$46*G31</f>
        <v>0</v>
      </c>
      <c r="H16" s="42">
        <f>(Tabela32[[#This Row],[Geração Estimada (kWh)]]-Tabela32[[#This Row],[Consumo Mensal (kWp)]])</f>
        <v>-4060</v>
      </c>
      <c r="N16">
        <v>4300</v>
      </c>
    </row>
    <row r="17" spans="1:15" x14ac:dyDescent="0.25">
      <c r="A17" s="5"/>
      <c r="B17" s="1"/>
      <c r="C17" s="15"/>
      <c r="D17" s="87"/>
      <c r="E17" s="5" t="s">
        <v>15</v>
      </c>
      <c r="F17" s="1">
        <v>4015</v>
      </c>
      <c r="G17" s="1">
        <f t="shared" ref="G17:G27" si="0">$G$47*F32*$F$46*G32</f>
        <v>0</v>
      </c>
      <c r="H17" s="41">
        <f>H16+(Tabela32[[#This Row],[Geração Estimada (kWh)]]-Tabela32[[#This Row],[Consumo Mensal (kWp)]])</f>
        <v>-8075</v>
      </c>
      <c r="N17">
        <v>4250</v>
      </c>
    </row>
    <row r="18" spans="1:15" x14ac:dyDescent="0.25">
      <c r="A18" s="5"/>
      <c r="B18" s="1"/>
      <c r="C18" s="15"/>
      <c r="D18" s="87"/>
      <c r="E18" s="5" t="s">
        <v>16</v>
      </c>
      <c r="F18" s="1">
        <v>3940</v>
      </c>
      <c r="G18" s="1">
        <f t="shared" si="0"/>
        <v>0</v>
      </c>
      <c r="H18" s="41">
        <f>H17+(Tabela32[[#This Row],[Geração Estimada (kWh)]]-Tabela32[[#This Row],[Consumo Mensal (kWp)]])</f>
        <v>-12015</v>
      </c>
      <c r="N18">
        <v>4140</v>
      </c>
    </row>
    <row r="19" spans="1:15" x14ac:dyDescent="0.25">
      <c r="A19" s="5"/>
      <c r="B19" s="1"/>
      <c r="C19" s="15"/>
      <c r="D19" s="87"/>
      <c r="E19" s="5" t="s">
        <v>17</v>
      </c>
      <c r="F19" s="1">
        <v>3860</v>
      </c>
      <c r="G19" s="1">
        <f t="shared" si="0"/>
        <v>0</v>
      </c>
      <c r="H19" s="41">
        <f>H18+(Tabela32[[#This Row],[Geração Estimada (kWh)]]-Tabela32[[#This Row],[Consumo Mensal (kWp)]])</f>
        <v>-15875</v>
      </c>
      <c r="N19">
        <v>4100</v>
      </c>
    </row>
    <row r="20" spans="1:15" x14ac:dyDescent="0.25">
      <c r="A20" s="5"/>
      <c r="B20" s="1"/>
      <c r="C20" s="15"/>
      <c r="D20" s="87"/>
      <c r="E20" s="5" t="s">
        <v>18</v>
      </c>
      <c r="F20" s="1">
        <v>3900</v>
      </c>
      <c r="G20" s="1">
        <f t="shared" si="0"/>
        <v>0</v>
      </c>
      <c r="H20" s="41">
        <f>H19+(Tabela32[[#This Row],[Geração Estimada (kWh)]]-Tabela32[[#This Row],[Consumo Mensal (kWp)]])</f>
        <v>-19775</v>
      </c>
      <c r="N20">
        <v>4060</v>
      </c>
    </row>
    <row r="21" spans="1:15" x14ac:dyDescent="0.25">
      <c r="A21" s="5"/>
      <c r="B21" s="1"/>
      <c r="C21" s="15"/>
      <c r="D21" s="87"/>
      <c r="E21" s="5" t="s">
        <v>19</v>
      </c>
      <c r="F21" s="1">
        <v>3700</v>
      </c>
      <c r="G21" s="1">
        <f t="shared" si="0"/>
        <v>0</v>
      </c>
      <c r="H21" s="41">
        <f>H20+(Tabela32[[#This Row],[Geração Estimada (kWh)]]-Tabela32[[#This Row],[Consumo Mensal (kWp)]])</f>
        <v>-23475</v>
      </c>
      <c r="N21">
        <v>4015</v>
      </c>
    </row>
    <row r="22" spans="1:15" x14ac:dyDescent="0.25">
      <c r="A22" s="5"/>
      <c r="B22" s="1"/>
      <c r="C22" s="15"/>
      <c r="D22" s="87"/>
      <c r="E22" s="5" t="s">
        <v>20</v>
      </c>
      <c r="F22" s="1">
        <v>3750</v>
      </c>
      <c r="G22" s="1">
        <f t="shared" si="0"/>
        <v>0</v>
      </c>
      <c r="H22" s="41">
        <f>H21+(Tabela32[[#This Row],[Geração Estimada (kWh)]]-Tabela32[[#This Row],[Consumo Mensal (kWp)]])</f>
        <v>-27225</v>
      </c>
      <c r="N22">
        <v>3985</v>
      </c>
    </row>
    <row r="23" spans="1:15" x14ac:dyDescent="0.25">
      <c r="A23" s="5"/>
      <c r="B23" s="1"/>
      <c r="C23" s="15"/>
      <c r="D23" s="87"/>
      <c r="E23" s="5" t="s">
        <v>21</v>
      </c>
      <c r="F23" s="1">
        <v>3985</v>
      </c>
      <c r="G23" s="1">
        <f t="shared" si="0"/>
        <v>0</v>
      </c>
      <c r="H23" s="41">
        <f>H22+(Tabela32[[#This Row],[Geração Estimada (kWh)]]-Tabela32[[#This Row],[Consumo Mensal (kWp)]])</f>
        <v>-31210</v>
      </c>
      <c r="N23">
        <v>3940</v>
      </c>
    </row>
    <row r="24" spans="1:15" x14ac:dyDescent="0.25">
      <c r="A24" s="5"/>
      <c r="B24" s="1"/>
      <c r="C24" s="15"/>
      <c r="D24" s="87"/>
      <c r="E24" s="5" t="s">
        <v>22</v>
      </c>
      <c r="F24" s="1">
        <v>4100</v>
      </c>
      <c r="G24" s="1">
        <f t="shared" si="0"/>
        <v>0</v>
      </c>
      <c r="H24" s="41">
        <f>H23+(Tabela32[[#This Row],[Geração Estimada (kWh)]]-Tabela32[[#This Row],[Consumo Mensal (kWp)]])</f>
        <v>-35310</v>
      </c>
      <c r="N24">
        <v>3900</v>
      </c>
    </row>
    <row r="25" spans="1:15" x14ac:dyDescent="0.25">
      <c r="A25" s="5"/>
      <c r="B25" s="1"/>
      <c r="C25" s="15"/>
      <c r="D25" s="87"/>
      <c r="E25" s="5" t="s">
        <v>23</v>
      </c>
      <c r="F25" s="1">
        <v>4140</v>
      </c>
      <c r="G25" s="1">
        <f t="shared" si="0"/>
        <v>0</v>
      </c>
      <c r="H25" s="41">
        <f>H24+(Tabela32[[#This Row],[Geração Estimada (kWh)]]-Tabela32[[#This Row],[Consumo Mensal (kWp)]])</f>
        <v>-39450</v>
      </c>
      <c r="N25">
        <v>3860</v>
      </c>
    </row>
    <row r="26" spans="1:15" x14ac:dyDescent="0.25">
      <c r="A26" s="5"/>
      <c r="B26" s="1"/>
      <c r="C26" s="15"/>
      <c r="D26" s="87"/>
      <c r="E26" s="5" t="s">
        <v>24</v>
      </c>
      <c r="F26" s="1">
        <v>4250</v>
      </c>
      <c r="G26" s="1">
        <f t="shared" si="0"/>
        <v>0</v>
      </c>
      <c r="H26" s="41">
        <f>H25+(Tabela32[[#This Row],[Geração Estimada (kWh)]]-Tabela32[[#This Row],[Consumo Mensal (kWp)]])</f>
        <v>-43700</v>
      </c>
      <c r="N26">
        <v>3750</v>
      </c>
    </row>
    <row r="27" spans="1:15" x14ac:dyDescent="0.25">
      <c r="A27" s="6"/>
      <c r="B27" s="1"/>
      <c r="C27" s="16"/>
      <c r="D27" s="87"/>
      <c r="E27" s="6" t="s">
        <v>25</v>
      </c>
      <c r="F27" s="1">
        <v>4300</v>
      </c>
      <c r="G27" s="1">
        <f t="shared" si="0"/>
        <v>0</v>
      </c>
      <c r="H27" s="43">
        <f>H26+(Tabela32[[#This Row],[Geração Estimada (kWh)]]-Tabela32[[#This Row],[Consumo Mensal (kWp)]])</f>
        <v>-48000</v>
      </c>
      <c r="N27">
        <v>3700</v>
      </c>
    </row>
    <row r="28" spans="1:15" x14ac:dyDescent="0.25">
      <c r="A28" s="20"/>
      <c r="B28" s="21"/>
      <c r="C28" s="22"/>
      <c r="D28" s="87"/>
      <c r="E28" s="20" t="s">
        <v>37</v>
      </c>
      <c r="F28" s="21">
        <f>SUM(Tabela32[Consumo Mensal (kWp)])/12</f>
        <v>4000</v>
      </c>
      <c r="G28" s="32">
        <f>SUM(Tabela32[Geração Estimada (kWh)])/12</f>
        <v>0</v>
      </c>
      <c r="H28" s="35"/>
    </row>
    <row r="29" spans="1:15" x14ac:dyDescent="0.25">
      <c r="D29" s="87"/>
    </row>
    <row r="30" spans="1:15" x14ac:dyDescent="0.25">
      <c r="A30" s="3"/>
      <c r="B30" s="3"/>
      <c r="C30" s="14"/>
      <c r="D30" s="87"/>
      <c r="E30" s="3" t="s">
        <v>11</v>
      </c>
      <c r="F30" s="3" t="s">
        <v>30</v>
      </c>
      <c r="G30" s="14" t="s">
        <v>29</v>
      </c>
    </row>
    <row r="31" spans="1:15" x14ac:dyDescent="0.25">
      <c r="A31" s="8"/>
      <c r="B31" s="11"/>
      <c r="C31" s="9"/>
      <c r="D31" s="87"/>
      <c r="E31" s="8" t="s">
        <v>14</v>
      </c>
      <c r="F31" s="11">
        <v>5.6</v>
      </c>
      <c r="G31" s="9">
        <v>31</v>
      </c>
    </row>
    <row r="32" spans="1:15" x14ac:dyDescent="0.25">
      <c r="A32" s="8"/>
      <c r="B32" s="11"/>
      <c r="C32" s="8"/>
      <c r="D32" s="87"/>
      <c r="E32" s="8" t="s">
        <v>15</v>
      </c>
      <c r="F32" s="11">
        <v>5.68</v>
      </c>
      <c r="G32" s="8">
        <v>29</v>
      </c>
      <c r="I32" s="105" t="s">
        <v>51</v>
      </c>
      <c r="J32" s="120"/>
      <c r="K32" s="120"/>
      <c r="L32" s="120"/>
      <c r="M32" s="120"/>
      <c r="N32" s="106"/>
      <c r="O32" s="118">
        <f>G28/(F45*30)</f>
        <v>0</v>
      </c>
    </row>
    <row r="33" spans="1:15" x14ac:dyDescent="0.25">
      <c r="A33" s="8"/>
      <c r="B33" s="11"/>
      <c r="C33" s="8"/>
      <c r="D33" s="87"/>
      <c r="E33" s="8" t="s">
        <v>16</v>
      </c>
      <c r="F33" s="11">
        <v>5.56</v>
      </c>
      <c r="G33" s="8">
        <v>31</v>
      </c>
      <c r="I33" s="107"/>
      <c r="J33" s="121"/>
      <c r="K33" s="121"/>
      <c r="L33" s="121"/>
      <c r="M33" s="121"/>
      <c r="N33" s="108"/>
      <c r="O33" s="119"/>
    </row>
    <row r="34" spans="1:15" ht="15" customHeight="1" x14ac:dyDescent="0.25">
      <c r="A34" s="8"/>
      <c r="B34" s="11"/>
      <c r="C34" s="8"/>
      <c r="D34" s="87"/>
      <c r="E34" s="8" t="s">
        <v>17</v>
      </c>
      <c r="F34" s="11">
        <v>4.92</v>
      </c>
      <c r="G34" s="8">
        <v>30</v>
      </c>
      <c r="I34" s="109" t="s">
        <v>52</v>
      </c>
      <c r="J34" s="110"/>
      <c r="K34" s="110"/>
      <c r="L34" s="110"/>
      <c r="M34" s="110"/>
      <c r="N34" s="110"/>
      <c r="O34" s="111"/>
    </row>
    <row r="35" spans="1:15" x14ac:dyDescent="0.25">
      <c r="A35" s="8"/>
      <c r="B35" s="11"/>
      <c r="C35" s="8"/>
      <c r="D35" s="87"/>
      <c r="E35" s="8" t="s">
        <v>18</v>
      </c>
      <c r="F35" s="11">
        <v>5.33</v>
      </c>
      <c r="G35" s="8">
        <v>31</v>
      </c>
      <c r="I35" s="112"/>
      <c r="J35" s="113"/>
      <c r="K35" s="113"/>
      <c r="L35" s="113"/>
      <c r="M35" s="113"/>
      <c r="N35" s="113"/>
      <c r="O35" s="114"/>
    </row>
    <row r="36" spans="1:15" x14ac:dyDescent="0.25">
      <c r="A36" s="8"/>
      <c r="B36" s="11"/>
      <c r="C36" s="8"/>
      <c r="D36" s="87"/>
      <c r="E36" s="8" t="s">
        <v>19</v>
      </c>
      <c r="F36" s="11">
        <v>5.41</v>
      </c>
      <c r="G36" s="8">
        <v>30</v>
      </c>
      <c r="I36" s="112"/>
      <c r="J36" s="113"/>
      <c r="K36" s="113"/>
      <c r="L36" s="113"/>
      <c r="M36" s="113"/>
      <c r="N36" s="113"/>
      <c r="O36" s="114"/>
    </row>
    <row r="37" spans="1:15" x14ac:dyDescent="0.25">
      <c r="A37" s="8"/>
      <c r="B37" s="11"/>
      <c r="C37" s="8"/>
      <c r="D37" s="87"/>
      <c r="E37" s="8" t="s">
        <v>20</v>
      </c>
      <c r="F37" s="11">
        <v>5.62</v>
      </c>
      <c r="G37" s="8">
        <v>31</v>
      </c>
      <c r="I37" s="115"/>
      <c r="J37" s="116"/>
      <c r="K37" s="116"/>
      <c r="L37" s="116"/>
      <c r="M37" s="116"/>
      <c r="N37" s="116"/>
      <c r="O37" s="117"/>
    </row>
    <row r="38" spans="1:15" x14ac:dyDescent="0.25">
      <c r="A38" s="8"/>
      <c r="B38" s="11"/>
      <c r="C38" s="8"/>
      <c r="D38" s="87"/>
      <c r="E38" s="8" t="s">
        <v>21</v>
      </c>
      <c r="F38" s="11">
        <v>6.01</v>
      </c>
      <c r="G38" s="8">
        <v>31</v>
      </c>
    </row>
    <row r="39" spans="1:15" ht="15" customHeight="1" x14ac:dyDescent="0.25">
      <c r="A39" s="8"/>
      <c r="B39" s="11"/>
      <c r="C39" s="8"/>
      <c r="D39" s="87"/>
      <c r="E39" s="8" t="s">
        <v>22</v>
      </c>
      <c r="F39" s="11">
        <v>6.08</v>
      </c>
      <c r="G39" s="8">
        <v>30</v>
      </c>
      <c r="I39" s="105" t="s">
        <v>79</v>
      </c>
      <c r="J39" s="106"/>
      <c r="K39" s="101" t="s">
        <v>78</v>
      </c>
      <c r="L39" s="102"/>
    </row>
    <row r="40" spans="1:15" x14ac:dyDescent="0.25">
      <c r="A40" s="8"/>
      <c r="B40" s="11"/>
      <c r="C40" s="8"/>
      <c r="D40" s="87"/>
      <c r="E40" s="8" t="s">
        <v>23</v>
      </c>
      <c r="F40" s="11">
        <v>6.22</v>
      </c>
      <c r="G40" s="8">
        <v>31</v>
      </c>
      <c r="I40" s="107"/>
      <c r="J40" s="108"/>
      <c r="K40" s="103"/>
      <c r="L40" s="104"/>
    </row>
    <row r="41" spans="1:15" x14ac:dyDescent="0.25">
      <c r="A41" s="8"/>
      <c r="B41" s="11"/>
      <c r="C41" s="8"/>
      <c r="D41" s="87"/>
      <c r="E41" s="8" t="s">
        <v>24</v>
      </c>
      <c r="F41" s="11">
        <v>6.18</v>
      </c>
      <c r="G41" s="8">
        <v>30</v>
      </c>
    </row>
    <row r="42" spans="1:15" x14ac:dyDescent="0.25">
      <c r="A42" s="13"/>
      <c r="B42" s="12"/>
      <c r="C42" s="8"/>
      <c r="D42" s="87"/>
      <c r="E42" s="13" t="s">
        <v>25</v>
      </c>
      <c r="F42" s="12">
        <v>5.77</v>
      </c>
      <c r="G42" s="8">
        <v>31</v>
      </c>
    </row>
    <row r="43" spans="1:15" x14ac:dyDescent="0.25">
      <c r="A43" s="23"/>
      <c r="B43" s="24"/>
      <c r="C43" s="25"/>
      <c r="D43" s="87"/>
      <c r="E43" s="23" t="s">
        <v>38</v>
      </c>
      <c r="F43" s="24">
        <v>5.7</v>
      </c>
      <c r="G43" s="25">
        <f>SUM(G31:G42)</f>
        <v>366</v>
      </c>
    </row>
    <row r="44" spans="1:15" x14ac:dyDescent="0.25">
      <c r="A44" s="98" t="s">
        <v>27</v>
      </c>
      <c r="B44" s="99"/>
      <c r="C44" s="100"/>
      <c r="D44" s="87"/>
    </row>
    <row r="45" spans="1:15" x14ac:dyDescent="0.25">
      <c r="A45" s="26"/>
      <c r="B45" s="27"/>
      <c r="D45" s="87"/>
      <c r="E45" s="18" t="s">
        <v>34</v>
      </c>
      <c r="F45" s="19">
        <f>(Tabela32[[#Totals],[Consumo Mensal (kWp)]]*12)/365</f>
        <v>131.50684931506851</v>
      </c>
    </row>
    <row r="46" spans="1:15" x14ac:dyDescent="0.25">
      <c r="A46" s="18"/>
      <c r="B46" s="19"/>
      <c r="D46" s="87"/>
      <c r="E46" s="18" t="s">
        <v>35</v>
      </c>
      <c r="F46" s="19">
        <v>0.85</v>
      </c>
    </row>
    <row r="47" spans="1:15" x14ac:dyDescent="0.25">
      <c r="A47" s="18"/>
      <c r="B47" s="19"/>
      <c r="D47" s="87"/>
      <c r="E47" s="18" t="s">
        <v>28</v>
      </c>
      <c r="F47" s="19">
        <f>(F45)/(F43*F46)</f>
        <v>27.142796556257693</v>
      </c>
      <c r="G47" s="19"/>
    </row>
    <row r="48" spans="1:15" x14ac:dyDescent="0.25">
      <c r="D48" s="87"/>
      <c r="E48" s="18" t="s">
        <v>49</v>
      </c>
      <c r="F48" s="19">
        <f>F47/(F9/1000)</f>
        <v>40.816235422943898</v>
      </c>
      <c r="G48" s="31"/>
    </row>
    <row r="50" spans="5:20" ht="28.5" x14ac:dyDescent="0.25">
      <c r="E50" s="79" t="s">
        <v>41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5:20" ht="23.25" x14ac:dyDescent="0.25">
      <c r="E51" s="80" t="s">
        <v>42</v>
      </c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5:20" ht="15.75" x14ac:dyDescent="0.25">
      <c r="E52" s="29" t="s">
        <v>43</v>
      </c>
      <c r="F52" s="29" t="s">
        <v>44</v>
      </c>
      <c r="G52" s="29" t="s">
        <v>45</v>
      </c>
      <c r="H52" s="29" t="s">
        <v>14</v>
      </c>
      <c r="I52" s="29" t="s">
        <v>15</v>
      </c>
      <c r="J52" s="29" t="s">
        <v>16</v>
      </c>
      <c r="K52" s="29" t="s">
        <v>17</v>
      </c>
      <c r="L52" s="29" t="s">
        <v>18</v>
      </c>
      <c r="M52" s="29" t="s">
        <v>19</v>
      </c>
      <c r="N52" s="29" t="s">
        <v>20</v>
      </c>
      <c r="O52" s="29" t="s">
        <v>21</v>
      </c>
      <c r="P52" s="29" t="s">
        <v>22</v>
      </c>
      <c r="Q52" s="29" t="s">
        <v>23</v>
      </c>
      <c r="R52" s="29" t="s">
        <v>24</v>
      </c>
      <c r="S52" s="29" t="s">
        <v>25</v>
      </c>
      <c r="T52" s="29" t="s">
        <v>46</v>
      </c>
    </row>
    <row r="53" spans="5:20" x14ac:dyDescent="0.25">
      <c r="E53" s="28">
        <v>82397</v>
      </c>
      <c r="F53" t="s">
        <v>47</v>
      </c>
      <c r="G53" s="28" t="s">
        <v>48</v>
      </c>
      <c r="H53" s="30">
        <v>31.2</v>
      </c>
      <c r="I53" s="30">
        <v>31.1</v>
      </c>
      <c r="J53" s="30">
        <v>30.8</v>
      </c>
      <c r="K53" s="30">
        <v>30.6</v>
      </c>
      <c r="L53" s="30">
        <v>30.8</v>
      </c>
      <c r="M53" s="30">
        <v>30.5</v>
      </c>
      <c r="N53" s="30">
        <v>30.6</v>
      </c>
      <c r="O53" s="30">
        <v>31.1</v>
      </c>
      <c r="P53" s="30">
        <v>31.4</v>
      </c>
      <c r="Q53" s="30">
        <v>31.6</v>
      </c>
      <c r="R53" s="30">
        <v>31.7</v>
      </c>
      <c r="S53" s="30">
        <v>31.7</v>
      </c>
      <c r="T53" s="30">
        <v>31.1</v>
      </c>
    </row>
    <row r="54" spans="5:20" x14ac:dyDescent="0.25">
      <c r="H54">
        <v>5</v>
      </c>
      <c r="I54">
        <v>6</v>
      </c>
      <c r="J54">
        <v>8</v>
      </c>
      <c r="K54">
        <v>10</v>
      </c>
      <c r="L54">
        <v>9</v>
      </c>
      <c r="M54">
        <v>12</v>
      </c>
      <c r="N54">
        <v>11</v>
      </c>
      <c r="O54">
        <v>7</v>
      </c>
      <c r="P54">
        <v>4</v>
      </c>
      <c r="Q54">
        <v>3</v>
      </c>
      <c r="R54">
        <v>2</v>
      </c>
      <c r="S54">
        <v>1</v>
      </c>
    </row>
  </sheetData>
  <mergeCells count="12">
    <mergeCell ref="A44:C44"/>
    <mergeCell ref="A1:B1"/>
    <mergeCell ref="E50:T50"/>
    <mergeCell ref="E51:T51"/>
    <mergeCell ref="I8:N13"/>
    <mergeCell ref="E5:F6"/>
    <mergeCell ref="D1:D48"/>
    <mergeCell ref="I32:N33"/>
    <mergeCell ref="O32:O33"/>
    <mergeCell ref="I34:O37"/>
    <mergeCell ref="K39:L40"/>
    <mergeCell ref="I39:J40"/>
  </mergeCells>
  <phoneticPr fontId="8" type="noConversion"/>
  <pageMargins left="0.511811024" right="0.511811024" top="0.78740157499999996" bottom="0.78740157499999996" header="0.31496062000000002" footer="0.31496062000000002"/>
  <pageSetup paperSize="0" orientation="portrait" horizontalDpi="203" verticalDpi="203" r:id="rId1"/>
  <ignoredErrors>
    <ignoredError sqref="H16" calculatedColumn="1"/>
  </ignoredErrors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zoomScale="103" workbookViewId="0">
      <selection activeCell="H19" sqref="H19:I19"/>
    </sheetView>
  </sheetViews>
  <sheetFormatPr defaultRowHeight="15" x14ac:dyDescent="0.25"/>
  <cols>
    <col min="2" max="2" width="12.7109375" customWidth="1"/>
    <col min="3" max="3" width="33.42578125" bestFit="1" customWidth="1"/>
    <col min="4" max="4" width="14.28515625" bestFit="1" customWidth="1"/>
    <col min="5" max="5" width="21.85546875" customWidth="1"/>
    <col min="6" max="6" width="17.5703125" bestFit="1" customWidth="1"/>
    <col min="7" max="8" width="17.5703125" customWidth="1"/>
    <col min="9" max="9" width="18.28515625" customWidth="1"/>
    <col min="10" max="10" width="15.28515625" customWidth="1"/>
    <col min="11" max="11" width="14.7109375" customWidth="1"/>
    <col min="12" max="12" width="13.85546875" customWidth="1"/>
    <col min="13" max="13" width="11" bestFit="1" customWidth="1"/>
    <col min="20" max="20" width="12.140625" customWidth="1"/>
  </cols>
  <sheetData>
    <row r="1" spans="2:20" x14ac:dyDescent="0.25">
      <c r="B1" s="94" t="s">
        <v>54</v>
      </c>
      <c r="C1" s="94"/>
      <c r="D1" s="94"/>
      <c r="E1" s="94"/>
      <c r="F1" s="95" t="s">
        <v>58</v>
      </c>
      <c r="G1" s="95"/>
      <c r="H1" s="95"/>
      <c r="I1" s="95"/>
      <c r="Q1" s="89" t="s">
        <v>116</v>
      </c>
      <c r="R1" s="89"/>
      <c r="S1" s="51" t="s">
        <v>117</v>
      </c>
      <c r="T1" s="51" t="s">
        <v>87</v>
      </c>
    </row>
    <row r="2" spans="2:20" x14ac:dyDescent="0.25">
      <c r="B2" s="38" t="s">
        <v>55</v>
      </c>
      <c r="C2" s="38" t="s">
        <v>56</v>
      </c>
      <c r="D2" s="38" t="s">
        <v>57</v>
      </c>
      <c r="E2" s="38"/>
      <c r="F2" s="95" t="s">
        <v>59</v>
      </c>
      <c r="G2" s="95"/>
      <c r="H2" s="95"/>
      <c r="I2" s="95"/>
      <c r="Q2" s="90"/>
      <c r="R2" s="90"/>
      <c r="S2" s="36">
        <v>4126.5539262499997</v>
      </c>
      <c r="T2" s="52">
        <v>26055.3256</v>
      </c>
    </row>
    <row r="3" spans="2:20" x14ac:dyDescent="0.25">
      <c r="B3" s="97" t="s">
        <v>53</v>
      </c>
      <c r="C3" s="97"/>
      <c r="D3" s="96" t="s">
        <v>75</v>
      </c>
      <c r="E3" s="96"/>
      <c r="F3" s="1" t="s">
        <v>76</v>
      </c>
      <c r="G3" s="1" t="s">
        <v>118</v>
      </c>
      <c r="H3" s="1" t="s">
        <v>144</v>
      </c>
      <c r="I3" s="45" t="s">
        <v>85</v>
      </c>
      <c r="J3" s="45" t="s">
        <v>86</v>
      </c>
      <c r="K3" s="45" t="s">
        <v>87</v>
      </c>
      <c r="M3" s="45" t="s">
        <v>46</v>
      </c>
      <c r="N3" s="45" t="s">
        <v>6</v>
      </c>
      <c r="Q3" s="33" t="s">
        <v>91</v>
      </c>
      <c r="R3" s="49">
        <v>0.02</v>
      </c>
      <c r="S3" s="53">
        <f>S2-(S2*R3)</f>
        <v>4044.0228477249998</v>
      </c>
      <c r="T3" s="33">
        <f>T2-(T2*R3)</f>
        <v>25534.219088000002</v>
      </c>
    </row>
    <row r="4" spans="2:20" x14ac:dyDescent="0.25">
      <c r="B4" s="36" t="s">
        <v>14</v>
      </c>
      <c r="C4" s="19">
        <v>4060</v>
      </c>
      <c r="D4" s="40" t="s">
        <v>14</v>
      </c>
      <c r="E4" s="40">
        <v>4121.3508000000002</v>
      </c>
      <c r="F4" s="1">
        <f>E4-C4</f>
        <v>61.350800000000163</v>
      </c>
      <c r="G4" s="1">
        <f>E4-C4</f>
        <v>61.350800000000163</v>
      </c>
      <c r="H4" s="1">
        <v>0</v>
      </c>
      <c r="I4" s="46">
        <f>((Plan2!C5*Plan2!$E$20)+(Plan2!C5*Plan2!$E$21))</f>
        <v>2848.0000999999997</v>
      </c>
      <c r="J4" s="46">
        <f>$I$19*100</f>
        <v>74.373000000000005</v>
      </c>
      <c r="K4" s="46">
        <f>Plan2!I4-J4</f>
        <v>2773.6270999999997</v>
      </c>
      <c r="M4" s="33">
        <v>2023</v>
      </c>
      <c r="N4" s="49">
        <v>0.15</v>
      </c>
      <c r="Q4" s="33" t="s">
        <v>92</v>
      </c>
      <c r="R4" s="50">
        <v>5.4999999999999997E-3</v>
      </c>
      <c r="S4" s="53">
        <f t="shared" ref="S4:S27" si="0">S3-(S3*R4)</f>
        <v>4021.7807220625123</v>
      </c>
      <c r="T4" s="33">
        <f t="shared" ref="T4:T27" si="1">T3-(R4*T3)</f>
        <v>25393.780883016003</v>
      </c>
    </row>
    <row r="5" spans="2:20" x14ac:dyDescent="0.25">
      <c r="B5" s="36" t="s">
        <v>15</v>
      </c>
      <c r="C5" s="19">
        <v>4015</v>
      </c>
      <c r="D5" s="40" t="s">
        <v>15</v>
      </c>
      <c r="E5" s="40">
        <v>3910.5351599999995</v>
      </c>
      <c r="F5" s="1">
        <f t="shared" ref="F5:F15" si="2">F4+(E5-C5)</f>
        <v>-43.114040000000386</v>
      </c>
      <c r="G5" s="1">
        <f t="shared" ref="G5:G15" si="3">E5-C5</f>
        <v>-104.46484000000055</v>
      </c>
      <c r="H5" s="1">
        <f>G5*$O$36*$I$19*$N$4</f>
        <v>-10.569403320235656</v>
      </c>
      <c r="I5" s="46">
        <f>((Plan2!C6*Plan2!$E$20)+(Plan2!C6*Plan2!$E$21))</f>
        <v>2794.7995999999998</v>
      </c>
      <c r="J5" s="46">
        <f t="shared" ref="J5:J14" si="4">$I$19*100</f>
        <v>74.373000000000005</v>
      </c>
      <c r="K5" s="46">
        <f>Plan2!I5-J5</f>
        <v>2720.4265999999998</v>
      </c>
      <c r="M5" s="33">
        <v>2024</v>
      </c>
      <c r="N5" s="49">
        <v>0.3</v>
      </c>
      <c r="Q5" s="33" t="s">
        <v>93</v>
      </c>
      <c r="R5" s="50">
        <v>5.4999999999999997E-3</v>
      </c>
      <c r="S5" s="53">
        <f t="shared" si="0"/>
        <v>3999.6609280911684</v>
      </c>
      <c r="T5" s="33">
        <f t="shared" si="1"/>
        <v>25254.115088159415</v>
      </c>
    </row>
    <row r="6" spans="2:20" x14ac:dyDescent="0.25">
      <c r="B6" s="36" t="s">
        <v>16</v>
      </c>
      <c r="C6" s="19">
        <v>3940</v>
      </c>
      <c r="D6" s="40" t="s">
        <v>16</v>
      </c>
      <c r="E6" s="40">
        <v>4091.9125799999997</v>
      </c>
      <c r="F6" s="1">
        <f t="shared" si="2"/>
        <v>108.79853999999932</v>
      </c>
      <c r="G6" s="1">
        <f t="shared" si="3"/>
        <v>151.91257999999971</v>
      </c>
      <c r="H6" s="1">
        <v>0</v>
      </c>
      <c r="I6" s="46">
        <f>((Plan2!C7*Plan2!$E$20)+(Plan2!C7*Plan2!$E$21))</f>
        <v>2738.0523999999996</v>
      </c>
      <c r="J6" s="46">
        <f t="shared" si="4"/>
        <v>74.373000000000005</v>
      </c>
      <c r="K6" s="46">
        <f>Plan2!I6-J6</f>
        <v>2663.6793999999995</v>
      </c>
      <c r="M6" s="33">
        <v>2025</v>
      </c>
      <c r="N6" s="49">
        <v>0.45</v>
      </c>
      <c r="Q6" s="33" t="s">
        <v>94</v>
      </c>
      <c r="R6" s="50">
        <v>5.4999999999999997E-3</v>
      </c>
      <c r="S6" s="53">
        <f t="shared" si="0"/>
        <v>3977.6627929866672</v>
      </c>
      <c r="T6" s="33">
        <f t="shared" si="1"/>
        <v>25115.217455174537</v>
      </c>
    </row>
    <row r="7" spans="2:20" x14ac:dyDescent="0.25">
      <c r="B7" s="36" t="s">
        <v>17</v>
      </c>
      <c r="C7" s="19">
        <v>3860</v>
      </c>
      <c r="D7" s="40" t="s">
        <v>17</v>
      </c>
      <c r="E7" s="40">
        <v>3504.0977999999996</v>
      </c>
      <c r="F7" s="1">
        <f t="shared" si="2"/>
        <v>-247.10366000000113</v>
      </c>
      <c r="G7" s="1">
        <f t="shared" si="3"/>
        <v>-355.90220000000045</v>
      </c>
      <c r="H7" s="1">
        <f t="shared" ref="H7:H15" si="5">G7*$O$36*$I$19*$N$4</f>
        <v>-36.008994934172684</v>
      </c>
      <c r="I7" s="46">
        <f>((Plan2!C8*Plan2!$E$20)+(Plan2!C8*Plan2!$E$21))</f>
        <v>2766.4259999999999</v>
      </c>
      <c r="J7" s="46">
        <f t="shared" si="4"/>
        <v>74.373000000000005</v>
      </c>
      <c r="K7" s="46">
        <f>Plan2!I7-J7</f>
        <v>2692.0529999999999</v>
      </c>
      <c r="M7" s="33">
        <v>2026</v>
      </c>
      <c r="N7" s="49">
        <v>0.6</v>
      </c>
      <c r="Q7" s="33" t="s">
        <v>95</v>
      </c>
      <c r="R7" s="50">
        <v>5.4999999999999997E-3</v>
      </c>
      <c r="S7" s="53">
        <f t="shared" si="0"/>
        <v>3955.7856476252405</v>
      </c>
      <c r="T7" s="33">
        <f t="shared" si="1"/>
        <v>24977.083759171077</v>
      </c>
    </row>
    <row r="8" spans="2:20" x14ac:dyDescent="0.25">
      <c r="B8" s="36" t="s">
        <v>18</v>
      </c>
      <c r="C8" s="19">
        <v>3900</v>
      </c>
      <c r="D8" s="40" t="s">
        <v>18</v>
      </c>
      <c r="E8" s="40">
        <v>3922.6428149999997</v>
      </c>
      <c r="F8" s="1">
        <f t="shared" si="2"/>
        <v>-224.46084500000143</v>
      </c>
      <c r="G8" s="1">
        <f t="shared" si="3"/>
        <v>22.6428149999997</v>
      </c>
      <c r="H8" s="1">
        <v>0</v>
      </c>
      <c r="I8" s="46">
        <f>((Plan2!C9*Plan2!$E$20)+(Plan2!C9*Plan2!$E$21))</f>
        <v>2624.558</v>
      </c>
      <c r="J8" s="46">
        <f t="shared" si="4"/>
        <v>74.373000000000005</v>
      </c>
      <c r="K8" s="46">
        <f>Plan2!I8-J8</f>
        <v>2550.1849999999999</v>
      </c>
      <c r="M8" s="33">
        <v>2027</v>
      </c>
      <c r="N8" s="49">
        <v>0.75</v>
      </c>
      <c r="Q8" s="33" t="s">
        <v>96</v>
      </c>
      <c r="R8" s="50">
        <v>5.4999999999999997E-3</v>
      </c>
      <c r="S8" s="53">
        <f t="shared" si="0"/>
        <v>3934.0288265633017</v>
      </c>
      <c r="T8" s="33">
        <f t="shared" si="1"/>
        <v>24839.709798495634</v>
      </c>
    </row>
    <row r="9" spans="2:20" x14ac:dyDescent="0.25">
      <c r="B9" s="36" t="s">
        <v>19</v>
      </c>
      <c r="C9" s="19">
        <v>3700</v>
      </c>
      <c r="D9" s="40" t="s">
        <v>19</v>
      </c>
      <c r="E9" s="40">
        <v>3853.0831499999999</v>
      </c>
      <c r="F9" s="1">
        <f t="shared" si="2"/>
        <v>-71.377695000001495</v>
      </c>
      <c r="G9" s="1">
        <f t="shared" si="3"/>
        <v>153.08314999999993</v>
      </c>
      <c r="H9" s="1">
        <v>0</v>
      </c>
      <c r="I9" s="46">
        <f>((Plan2!C10*Plan2!$E$20)+(Plan2!C10*Plan2!$E$21))</f>
        <v>2660.0249999999996</v>
      </c>
      <c r="J9" s="46">
        <f t="shared" si="4"/>
        <v>74.373000000000005</v>
      </c>
      <c r="K9" s="46">
        <f>Plan2!I9-J9</f>
        <v>2585.6519999999996</v>
      </c>
      <c r="M9" s="33">
        <v>2028</v>
      </c>
      <c r="N9" s="49">
        <v>0.9</v>
      </c>
      <c r="Q9" s="33" t="s">
        <v>97</v>
      </c>
      <c r="R9" s="50">
        <v>5.4999999999999997E-3</v>
      </c>
      <c r="S9" s="53">
        <f t="shared" si="0"/>
        <v>3912.3916680172033</v>
      </c>
      <c r="T9" s="33">
        <f t="shared" si="1"/>
        <v>24703.091394603907</v>
      </c>
    </row>
    <row r="10" spans="2:20" x14ac:dyDescent="0.25">
      <c r="B10" s="36" t="s">
        <v>20</v>
      </c>
      <c r="C10" s="19">
        <v>3750</v>
      </c>
      <c r="D10" s="40" t="s">
        <v>20</v>
      </c>
      <c r="E10" s="40">
        <v>4136.0699099999993</v>
      </c>
      <c r="F10" s="1">
        <f t="shared" si="2"/>
        <v>314.69221499999776</v>
      </c>
      <c r="G10" s="1">
        <f t="shared" si="3"/>
        <v>386.06990999999925</v>
      </c>
      <c r="H10" s="1">
        <v>0</v>
      </c>
      <c r="I10" s="46">
        <f>((Plan2!C11*Plan2!$E$20)+(Plan2!C11*Plan2!$E$21))</f>
        <v>2826.7199000000001</v>
      </c>
      <c r="J10" s="46">
        <f t="shared" si="4"/>
        <v>74.373000000000005</v>
      </c>
      <c r="K10" s="46">
        <f>Plan2!I10-J10</f>
        <v>2752.3469</v>
      </c>
      <c r="M10" s="33">
        <v>2029</v>
      </c>
      <c r="N10" s="60" t="s">
        <v>145</v>
      </c>
      <c r="Q10" s="33" t="s">
        <v>98</v>
      </c>
      <c r="R10" s="50">
        <v>5.4999999999999997E-3</v>
      </c>
      <c r="S10" s="53">
        <f t="shared" si="0"/>
        <v>3890.8735138431089</v>
      </c>
      <c r="T10" s="33">
        <f t="shared" si="1"/>
        <v>24567.224391933585</v>
      </c>
    </row>
    <row r="11" spans="2:20" x14ac:dyDescent="0.25">
      <c r="B11" s="36" t="s">
        <v>21</v>
      </c>
      <c r="C11" s="19">
        <v>3985</v>
      </c>
      <c r="D11" s="40" t="s">
        <v>21</v>
      </c>
      <c r="E11" s="40">
        <v>4423.0925549999993</v>
      </c>
      <c r="F11" s="1">
        <f t="shared" si="2"/>
        <v>752.78476999999702</v>
      </c>
      <c r="G11" s="1">
        <f t="shared" si="3"/>
        <v>438.09255499999927</v>
      </c>
      <c r="H11" s="1">
        <v>0</v>
      </c>
      <c r="I11" s="46">
        <f>((Plan2!C12*Plan2!$E$20)+(Plan2!C12*Plan2!$E$21))</f>
        <v>2908.2939999999999</v>
      </c>
      <c r="J11" s="46">
        <f t="shared" si="4"/>
        <v>74.373000000000005</v>
      </c>
      <c r="K11" s="46">
        <f>Plan2!I11-J11</f>
        <v>2833.9209999999998</v>
      </c>
      <c r="Q11" s="33" t="s">
        <v>99</v>
      </c>
      <c r="R11" s="50">
        <v>5.4999999999999997E-3</v>
      </c>
      <c r="S11" s="53">
        <f t="shared" si="0"/>
        <v>3869.4737095169717</v>
      </c>
      <c r="T11" s="33">
        <f t="shared" si="1"/>
        <v>24432.104657777949</v>
      </c>
    </row>
    <row r="12" spans="2:20" x14ac:dyDescent="0.25">
      <c r="B12" s="36" t="s">
        <v>22</v>
      </c>
      <c r="C12" s="19">
        <v>4100</v>
      </c>
      <c r="D12" s="40" t="s">
        <v>22</v>
      </c>
      <c r="E12" s="40">
        <v>4330.2672000000002</v>
      </c>
      <c r="F12" s="1">
        <f t="shared" si="2"/>
        <v>983.05196999999725</v>
      </c>
      <c r="G12" s="1">
        <f t="shared" si="3"/>
        <v>230.26720000000023</v>
      </c>
      <c r="H12" s="1">
        <v>0</v>
      </c>
      <c r="I12" s="46">
        <f>((Plan2!C13*Plan2!$E$20)+(Plan2!C13*Plan2!$E$21))</f>
        <v>2936.6675999999998</v>
      </c>
      <c r="J12" s="46">
        <f t="shared" si="4"/>
        <v>74.373000000000005</v>
      </c>
      <c r="K12" s="46">
        <f>Plan2!I12-J12</f>
        <v>2862.2945999999997</v>
      </c>
      <c r="Q12" s="33" t="s">
        <v>100</v>
      </c>
      <c r="R12" s="50">
        <v>5.4999999999999997E-3</v>
      </c>
      <c r="S12" s="53">
        <f t="shared" si="0"/>
        <v>3848.1916041146283</v>
      </c>
      <c r="T12" s="33">
        <f t="shared" si="1"/>
        <v>24297.728082160171</v>
      </c>
    </row>
    <row r="13" spans="2:20" x14ac:dyDescent="0.25">
      <c r="B13" s="36" t="s">
        <v>23</v>
      </c>
      <c r="C13" s="19">
        <v>4140</v>
      </c>
      <c r="D13" s="40" t="s">
        <v>23</v>
      </c>
      <c r="E13" s="40">
        <v>4577.6432099999993</v>
      </c>
      <c r="F13" s="1">
        <f t="shared" si="2"/>
        <v>1420.6951799999965</v>
      </c>
      <c r="G13" s="1">
        <f t="shared" si="3"/>
        <v>437.64320999999927</v>
      </c>
      <c r="H13" s="1">
        <v>0</v>
      </c>
      <c r="I13" s="46">
        <f>((Plan2!C14*Plan2!$E$20)+(Plan2!C14*Plan2!$E$21))</f>
        <v>3014.6949999999997</v>
      </c>
      <c r="J13" s="46">
        <f t="shared" si="4"/>
        <v>74.373000000000005</v>
      </c>
      <c r="K13" s="46">
        <f>Plan2!I13-J13</f>
        <v>2940.3219999999997</v>
      </c>
      <c r="Q13" s="33" t="s">
        <v>101</v>
      </c>
      <c r="R13" s="50">
        <v>5.4999999999999997E-3</v>
      </c>
      <c r="S13" s="53">
        <f t="shared" si="0"/>
        <v>3827.0265502919979</v>
      </c>
      <c r="T13" s="33">
        <f t="shared" si="1"/>
        <v>24164.090577708288</v>
      </c>
    </row>
    <row r="14" spans="2:20" x14ac:dyDescent="0.25">
      <c r="B14" s="36" t="s">
        <v>24</v>
      </c>
      <c r="C14" s="19">
        <v>4250</v>
      </c>
      <c r="D14" s="40" t="s">
        <v>24</v>
      </c>
      <c r="E14" s="40">
        <v>4401.4886999999999</v>
      </c>
      <c r="F14" s="1">
        <f t="shared" si="2"/>
        <v>1572.1838799999964</v>
      </c>
      <c r="G14" s="1">
        <f t="shared" si="3"/>
        <v>151.48869999999988</v>
      </c>
      <c r="H14" s="1">
        <v>0</v>
      </c>
      <c r="I14" s="46">
        <f>((Plan2!C15*Plan2!$E$20)+(Plan2!C15*Plan2!$E$21))</f>
        <v>3050.1619999999998</v>
      </c>
      <c r="J14" s="46">
        <f t="shared" si="4"/>
        <v>74.373000000000005</v>
      </c>
      <c r="K14" s="46">
        <f>Plan2!I14-J14</f>
        <v>2975.7889999999998</v>
      </c>
      <c r="Q14" s="33" t="s">
        <v>102</v>
      </c>
      <c r="R14" s="50">
        <v>5.4999999999999997E-3</v>
      </c>
      <c r="S14" s="53">
        <f t="shared" si="0"/>
        <v>3805.9779042653918</v>
      </c>
      <c r="T14" s="33">
        <f t="shared" si="1"/>
        <v>24031.188079530893</v>
      </c>
    </row>
    <row r="15" spans="2:20" x14ac:dyDescent="0.25">
      <c r="B15" s="36" t="s">
        <v>25</v>
      </c>
      <c r="C15" s="19">
        <v>4300</v>
      </c>
      <c r="D15" s="40" t="s">
        <v>25</v>
      </c>
      <c r="E15" s="40">
        <v>4246.4632349999993</v>
      </c>
      <c r="F15" s="1">
        <f t="shared" si="2"/>
        <v>1518.6471149999957</v>
      </c>
      <c r="G15" s="1">
        <f t="shared" si="3"/>
        <v>-53.536765000000742</v>
      </c>
      <c r="H15" s="1">
        <f t="shared" si="5"/>
        <v>-5.4166709272294966</v>
      </c>
      <c r="I15" s="92" t="s">
        <v>84</v>
      </c>
      <c r="J15" s="92"/>
      <c r="K15" s="45">
        <f>SUM(K4:K14)</f>
        <v>30350.296599999998</v>
      </c>
      <c r="Q15" s="33" t="s">
        <v>103</v>
      </c>
      <c r="R15" s="50">
        <v>5.4999999999999997E-3</v>
      </c>
      <c r="S15" s="53">
        <f t="shared" si="0"/>
        <v>3785.0450257919319</v>
      </c>
      <c r="T15" s="33">
        <f t="shared" si="1"/>
        <v>23899.016545093473</v>
      </c>
    </row>
    <row r="16" spans="2:20" x14ac:dyDescent="0.25">
      <c r="I16" s="93" t="s">
        <v>89</v>
      </c>
      <c r="J16" s="93"/>
      <c r="K16" s="38">
        <v>4332.8</v>
      </c>
      <c r="Q16" s="33" t="s">
        <v>104</v>
      </c>
      <c r="R16" s="50">
        <v>5.4999999999999997E-3</v>
      </c>
      <c r="S16" s="53">
        <f t="shared" si="0"/>
        <v>3764.2272781500765</v>
      </c>
      <c r="T16" s="33">
        <f t="shared" si="1"/>
        <v>23767.57195409546</v>
      </c>
    </row>
    <row r="17" spans="2:20" x14ac:dyDescent="0.25">
      <c r="I17" s="92" t="s">
        <v>90</v>
      </c>
      <c r="J17" s="92"/>
      <c r="K17" s="48">
        <f>K15-K16</f>
        <v>26017.496599999999</v>
      </c>
      <c r="Q17" s="33" t="s">
        <v>105</v>
      </c>
      <c r="R17" s="50">
        <v>5.4999999999999997E-3</v>
      </c>
      <c r="S17" s="53">
        <f t="shared" si="0"/>
        <v>3743.5240281202509</v>
      </c>
      <c r="T17" s="33">
        <f t="shared" si="1"/>
        <v>23636.850308347934</v>
      </c>
    </row>
    <row r="18" spans="2:20" x14ac:dyDescent="0.25">
      <c r="B18" s="91" t="s">
        <v>60</v>
      </c>
      <c r="C18" s="91"/>
      <c r="D18" s="91"/>
      <c r="E18" s="91"/>
      <c r="F18" s="91"/>
      <c r="G18" s="91"/>
      <c r="H18" s="91"/>
      <c r="I18" s="91"/>
      <c r="J18" s="91"/>
      <c r="K18" s="91"/>
      <c r="Q18" s="33" t="s">
        <v>106</v>
      </c>
      <c r="R18" s="50">
        <v>5.4999999999999997E-3</v>
      </c>
      <c r="S18" s="53">
        <f t="shared" si="0"/>
        <v>3722.9346459655894</v>
      </c>
      <c r="T18" s="33">
        <f t="shared" si="1"/>
        <v>23506.847631652021</v>
      </c>
    </row>
    <row r="19" spans="2:20" ht="17.25" x14ac:dyDescent="0.3">
      <c r="B19" s="1" t="s">
        <v>61</v>
      </c>
      <c r="C19" s="1" t="s">
        <v>0</v>
      </c>
      <c r="D19" s="1" t="s">
        <v>62</v>
      </c>
      <c r="E19" s="1" t="s">
        <v>63</v>
      </c>
      <c r="F19" s="1"/>
      <c r="G19" s="1"/>
      <c r="H19" s="1" t="s">
        <v>146</v>
      </c>
      <c r="I19" s="1">
        <v>0.74373</v>
      </c>
      <c r="K19" s="47" t="s">
        <v>88</v>
      </c>
      <c r="Q19" s="33" t="s">
        <v>107</v>
      </c>
      <c r="R19" s="50">
        <v>5.4999999999999997E-3</v>
      </c>
      <c r="S19" s="53">
        <f t="shared" si="0"/>
        <v>3702.4585054127788</v>
      </c>
      <c r="T19" s="33">
        <f t="shared" si="1"/>
        <v>23377.559969677935</v>
      </c>
    </row>
    <row r="20" spans="2:20" x14ac:dyDescent="0.25">
      <c r="B20" s="39" t="s">
        <v>71</v>
      </c>
      <c r="C20" s="33" t="s">
        <v>64</v>
      </c>
      <c r="D20" s="37">
        <v>4060</v>
      </c>
      <c r="E20" s="1">
        <v>0.41372999999999999</v>
      </c>
      <c r="F20" s="1"/>
      <c r="G20" s="1"/>
      <c r="H20" s="1" t="s">
        <v>137</v>
      </c>
      <c r="I20" s="1"/>
      <c r="Q20" s="33" t="s">
        <v>108</v>
      </c>
      <c r="R20" s="50">
        <v>5.4999999999999997E-3</v>
      </c>
      <c r="S20" s="53">
        <f t="shared" si="0"/>
        <v>3682.0949836330083</v>
      </c>
      <c r="T20" s="33">
        <f t="shared" si="1"/>
        <v>23248.983389844707</v>
      </c>
    </row>
    <row r="21" spans="2:20" x14ac:dyDescent="0.25">
      <c r="B21" s="39" t="s">
        <v>72</v>
      </c>
      <c r="C21" s="33" t="s">
        <v>65</v>
      </c>
      <c r="D21" s="37">
        <v>4060</v>
      </c>
      <c r="E21" s="1">
        <v>0.29560999999999998</v>
      </c>
      <c r="F21" s="1"/>
      <c r="G21" s="1"/>
      <c r="H21" s="1"/>
      <c r="I21" s="1"/>
      <c r="Q21" s="33" t="s">
        <v>109</v>
      </c>
      <c r="R21" s="50">
        <v>5.4999999999999997E-3</v>
      </c>
      <c r="S21" s="53">
        <f t="shared" si="0"/>
        <v>3661.8434612230267</v>
      </c>
      <c r="T21" s="33">
        <f t="shared" si="1"/>
        <v>23121.11398120056</v>
      </c>
    </row>
    <row r="22" spans="2:20" x14ac:dyDescent="0.25">
      <c r="B22" s="39" t="s">
        <v>71</v>
      </c>
      <c r="C22" s="33" t="s">
        <v>66</v>
      </c>
      <c r="D22" s="44">
        <v>-3960</v>
      </c>
      <c r="E22" s="1">
        <v>0.41372999999999999</v>
      </c>
      <c r="F22" s="1"/>
      <c r="G22" s="1"/>
      <c r="H22" s="1"/>
      <c r="I22" s="1"/>
      <c r="Q22" s="33" t="s">
        <v>110</v>
      </c>
      <c r="R22" s="50">
        <v>5.4999999999999997E-3</v>
      </c>
      <c r="S22" s="53">
        <f t="shared" si="0"/>
        <v>3641.7033221862998</v>
      </c>
      <c r="T22" s="33">
        <f t="shared" si="1"/>
        <v>22993.947854303959</v>
      </c>
    </row>
    <row r="23" spans="2:20" x14ac:dyDescent="0.25">
      <c r="B23" s="39" t="s">
        <v>72</v>
      </c>
      <c r="C23" s="33" t="s">
        <v>67</v>
      </c>
      <c r="D23" s="44">
        <v>-3960</v>
      </c>
      <c r="E23" s="1">
        <v>0.29560999999999998</v>
      </c>
      <c r="F23" s="1"/>
      <c r="G23" s="1"/>
      <c r="H23" s="1"/>
      <c r="I23" s="1"/>
      <c r="Q23" s="33" t="s">
        <v>111</v>
      </c>
      <c r="R23" s="50">
        <v>5.4999999999999997E-3</v>
      </c>
      <c r="S23" s="53">
        <f t="shared" si="0"/>
        <v>3621.673953914275</v>
      </c>
      <c r="T23" s="33">
        <f t="shared" si="1"/>
        <v>22867.481141105287</v>
      </c>
    </row>
    <row r="24" spans="2:20" x14ac:dyDescent="0.25">
      <c r="B24" s="39" t="s">
        <v>73</v>
      </c>
      <c r="C24" s="33" t="s">
        <v>68</v>
      </c>
      <c r="D24" s="1"/>
      <c r="E24" s="1"/>
      <c r="F24" s="1"/>
      <c r="G24" s="1"/>
      <c r="H24" s="1"/>
      <c r="I24" s="1"/>
      <c r="Q24" s="33" t="s">
        <v>112</v>
      </c>
      <c r="R24" s="50">
        <v>5.4999999999999997E-3</v>
      </c>
      <c r="S24" s="53">
        <f t="shared" si="0"/>
        <v>3601.7547471677467</v>
      </c>
      <c r="T24" s="33">
        <f t="shared" si="1"/>
        <v>22741.709994829209</v>
      </c>
    </row>
    <row r="25" spans="2:20" x14ac:dyDescent="0.25">
      <c r="B25" s="39" t="s">
        <v>73</v>
      </c>
      <c r="C25" s="33" t="s">
        <v>68</v>
      </c>
      <c r="D25" s="1"/>
      <c r="E25" s="1"/>
      <c r="F25" s="1"/>
      <c r="G25" s="1"/>
      <c r="H25" s="1"/>
      <c r="I25" s="1"/>
      <c r="Q25" s="33" t="s">
        <v>113</v>
      </c>
      <c r="R25" s="50">
        <v>5.4999999999999997E-3</v>
      </c>
      <c r="S25" s="53">
        <f t="shared" si="0"/>
        <v>3581.945096058324</v>
      </c>
      <c r="T25" s="33">
        <f t="shared" si="1"/>
        <v>22616.630589857647</v>
      </c>
    </row>
    <row r="26" spans="2:20" x14ac:dyDescent="0.25">
      <c r="B26" s="39" t="s">
        <v>73</v>
      </c>
      <c r="C26" s="33" t="s">
        <v>69</v>
      </c>
      <c r="D26" s="1"/>
      <c r="E26" s="1"/>
      <c r="F26" s="1"/>
      <c r="G26" s="1"/>
      <c r="H26" s="1"/>
      <c r="I26" s="1"/>
      <c r="Q26" s="33" t="s">
        <v>114</v>
      </c>
      <c r="R26" s="50">
        <v>5.4999999999999997E-3</v>
      </c>
      <c r="S26" s="53">
        <f t="shared" si="0"/>
        <v>3562.2443980300031</v>
      </c>
      <c r="T26" s="33">
        <f t="shared" si="1"/>
        <v>22492.239121613431</v>
      </c>
    </row>
    <row r="27" spans="2:20" x14ac:dyDescent="0.25">
      <c r="B27" s="39" t="s">
        <v>73</v>
      </c>
      <c r="C27" s="33" t="s">
        <v>69</v>
      </c>
      <c r="D27" s="1"/>
      <c r="E27" s="1"/>
      <c r="F27" s="1"/>
      <c r="G27" s="1"/>
      <c r="H27" s="1"/>
      <c r="I27" s="1"/>
      <c r="Q27" s="33" t="s">
        <v>115</v>
      </c>
      <c r="R27" s="50">
        <v>5.4999999999999997E-3</v>
      </c>
      <c r="S27" s="53">
        <f t="shared" si="0"/>
        <v>3542.6520538408381</v>
      </c>
      <c r="T27" s="33">
        <f t="shared" si="1"/>
        <v>22368.531806444556</v>
      </c>
    </row>
    <row r="28" spans="2:20" x14ac:dyDescent="0.25">
      <c r="B28" s="39" t="s">
        <v>74</v>
      </c>
      <c r="C28" s="33" t="s">
        <v>70</v>
      </c>
      <c r="D28" s="1">
        <v>1000</v>
      </c>
      <c r="E28" s="1"/>
      <c r="F28" s="33">
        <f>1000*0.40905*0.8549</f>
        <v>349.696845</v>
      </c>
      <c r="G28" s="33"/>
      <c r="H28" s="33"/>
      <c r="I28" s="1"/>
    </row>
    <row r="29" spans="2:20" x14ac:dyDescent="0.25">
      <c r="B29" s="33"/>
      <c r="C29" s="33" t="s">
        <v>84</v>
      </c>
      <c r="D29" s="88">
        <f>SUM(F20:F23)</f>
        <v>0</v>
      </c>
      <c r="E29" s="88"/>
      <c r="F29" s="88"/>
      <c r="G29" s="88"/>
      <c r="H29" s="88"/>
      <c r="I29" s="88"/>
    </row>
    <row r="31" spans="2:20" x14ac:dyDescent="0.25">
      <c r="C31" s="91" t="s">
        <v>80</v>
      </c>
      <c r="D31" s="91"/>
      <c r="E31" s="91"/>
      <c r="F31" t="s">
        <v>81</v>
      </c>
      <c r="I31" t="s">
        <v>82</v>
      </c>
      <c r="J31" t="s">
        <v>83</v>
      </c>
    </row>
    <row r="33" spans="2:16" x14ac:dyDescent="0.25">
      <c r="B33" s="57" t="s">
        <v>119</v>
      </c>
      <c r="C33" s="57" t="s">
        <v>120</v>
      </c>
      <c r="D33" s="57" t="s">
        <v>121</v>
      </c>
      <c r="E33" s="57" t="s">
        <v>122</v>
      </c>
      <c r="F33" s="57" t="s">
        <v>123</v>
      </c>
      <c r="G33" s="57" t="s">
        <v>124</v>
      </c>
      <c r="H33" s="57" t="s">
        <v>125</v>
      </c>
      <c r="I33" s="57" t="s">
        <v>126</v>
      </c>
      <c r="J33" s="57" t="s">
        <v>127</v>
      </c>
      <c r="K33" s="57" t="s">
        <v>128</v>
      </c>
      <c r="L33" s="57" t="s">
        <v>129</v>
      </c>
      <c r="M33" s="57" t="s">
        <v>130</v>
      </c>
      <c r="N33" s="57" t="s">
        <v>131</v>
      </c>
      <c r="O33" s="59" t="s">
        <v>132</v>
      </c>
      <c r="P33" s="59" t="s">
        <v>133</v>
      </c>
    </row>
    <row r="34" spans="2:16" x14ac:dyDescent="0.25">
      <c r="B34" s="57" t="s">
        <v>134</v>
      </c>
      <c r="C34" s="57" t="s">
        <v>135</v>
      </c>
      <c r="D34" s="58">
        <v>45038</v>
      </c>
      <c r="E34" s="58">
        <v>45403</v>
      </c>
      <c r="F34" s="57" t="s">
        <v>136</v>
      </c>
      <c r="G34" s="57" t="s">
        <v>137</v>
      </c>
      <c r="H34" s="57" t="s">
        <v>138</v>
      </c>
      <c r="I34" s="57" t="s">
        <v>139</v>
      </c>
      <c r="J34" s="57" t="s">
        <v>139</v>
      </c>
      <c r="K34" s="57" t="s">
        <v>139</v>
      </c>
      <c r="L34" s="57" t="s">
        <v>139</v>
      </c>
      <c r="M34" s="57" t="s">
        <v>139</v>
      </c>
      <c r="N34" s="57" t="s">
        <v>140</v>
      </c>
      <c r="O34" s="59">
        <v>444.91</v>
      </c>
      <c r="P34" s="59">
        <v>298.82</v>
      </c>
    </row>
    <row r="35" spans="2:16" x14ac:dyDescent="0.25">
      <c r="B35" s="57" t="s">
        <v>134</v>
      </c>
      <c r="C35" s="57" t="s">
        <v>135</v>
      </c>
      <c r="D35" s="58">
        <v>45038</v>
      </c>
      <c r="E35" s="58">
        <v>45403</v>
      </c>
      <c r="F35" s="57" t="s">
        <v>141</v>
      </c>
      <c r="G35" s="57" t="s">
        <v>137</v>
      </c>
      <c r="H35" s="57" t="s">
        <v>138</v>
      </c>
      <c r="I35" s="57" t="s">
        <v>139</v>
      </c>
      <c r="J35" s="57" t="s">
        <v>139</v>
      </c>
      <c r="K35" s="57" t="s">
        <v>139</v>
      </c>
      <c r="L35" s="57" t="s">
        <v>139</v>
      </c>
      <c r="M35" s="57" t="s">
        <v>139</v>
      </c>
      <c r="N35" s="57" t="s">
        <v>140</v>
      </c>
      <c r="O35" s="59">
        <v>462.02</v>
      </c>
      <c r="P35" s="59">
        <v>306.89999999999998</v>
      </c>
    </row>
    <row r="36" spans="2:16" x14ac:dyDescent="0.25">
      <c r="N36" s="55" t="s">
        <v>143</v>
      </c>
      <c r="O36" s="56">
        <f>(O34+O35)/1000</f>
        <v>0.90693000000000001</v>
      </c>
      <c r="P36" s="56">
        <f>(P34+P35)/1000</f>
        <v>0.60572000000000004</v>
      </c>
    </row>
    <row r="37" spans="2:16" x14ac:dyDescent="0.25">
      <c r="B37" s="54" t="s">
        <v>142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</sheetData>
  <mergeCells count="12">
    <mergeCell ref="Q1:R2"/>
    <mergeCell ref="C31:E31"/>
    <mergeCell ref="D29:I29"/>
    <mergeCell ref="I15:J15"/>
    <mergeCell ref="I16:J16"/>
    <mergeCell ref="I17:J17"/>
    <mergeCell ref="B1:E1"/>
    <mergeCell ref="F1:I1"/>
    <mergeCell ref="F2:I2"/>
    <mergeCell ref="B18:K18"/>
    <mergeCell ref="D3:E3"/>
    <mergeCell ref="B3:C3"/>
  </mergeCells>
  <phoneticPr fontId="8" type="noConversion"/>
  <pageMargins left="0.511811024" right="0.511811024" top="0.78740157499999996" bottom="0.78740157499999996" header="0.31496062000000002" footer="0.31496062000000002"/>
  <ignoredErrors>
    <ignoredError sqref="B20:B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7"/>
  <sheetViews>
    <sheetView tabSelected="1" topLeftCell="Z2" zoomScale="85" zoomScaleNormal="85" workbookViewId="0">
      <selection activeCell="AD20" sqref="AD20"/>
    </sheetView>
  </sheetViews>
  <sheetFormatPr defaultRowHeight="15" x14ac:dyDescent="0.25"/>
  <cols>
    <col min="1" max="1" width="13.28515625" bestFit="1" customWidth="1"/>
    <col min="2" max="2" width="11.85546875" bestFit="1" customWidth="1"/>
    <col min="3" max="3" width="12" bestFit="1" customWidth="1"/>
    <col min="29" max="29" width="17.28515625" customWidth="1"/>
    <col min="30" max="30" width="16.85546875" customWidth="1"/>
    <col min="31" max="31" width="13.85546875" customWidth="1"/>
  </cols>
  <sheetData>
    <row r="1" spans="1:55" x14ac:dyDescent="0.25">
      <c r="AE1" s="134" t="s">
        <v>152</v>
      </c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</row>
    <row r="2" spans="1:55" x14ac:dyDescent="0.25">
      <c r="B2" s="33">
        <v>4000</v>
      </c>
      <c r="C2" s="67">
        <v>0.15</v>
      </c>
      <c r="D2" s="67">
        <v>0.3</v>
      </c>
      <c r="E2" s="67">
        <v>0.45</v>
      </c>
      <c r="F2" s="67">
        <v>0.6</v>
      </c>
      <c r="G2" s="67">
        <v>0.75</v>
      </c>
      <c r="H2" s="67">
        <v>0.9</v>
      </c>
      <c r="I2" s="67">
        <v>0.9</v>
      </c>
      <c r="J2" s="67">
        <v>0.9</v>
      </c>
      <c r="K2" s="67">
        <v>0.9</v>
      </c>
      <c r="L2" s="67">
        <v>0.9</v>
      </c>
      <c r="M2" s="67">
        <v>0.9</v>
      </c>
      <c r="N2" s="67">
        <v>0.9</v>
      </c>
      <c r="O2" s="67">
        <v>0.9</v>
      </c>
      <c r="P2" s="67">
        <v>0.9</v>
      </c>
      <c r="Q2" s="67">
        <v>0.9</v>
      </c>
      <c r="R2" s="67">
        <v>0.9</v>
      </c>
      <c r="S2" s="67">
        <v>0.9</v>
      </c>
      <c r="T2" s="67">
        <v>0.9</v>
      </c>
      <c r="U2" s="67">
        <v>0.9</v>
      </c>
      <c r="V2" s="67">
        <v>0.9</v>
      </c>
      <c r="W2" s="67">
        <v>0.9</v>
      </c>
      <c r="X2" s="67">
        <v>0.9</v>
      </c>
      <c r="Y2" s="67">
        <v>0.9</v>
      </c>
      <c r="Z2" s="67">
        <v>0.9</v>
      </c>
      <c r="AA2" s="67">
        <v>0.9</v>
      </c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</row>
    <row r="3" spans="1:55" x14ac:dyDescent="0.25">
      <c r="B3" s="33"/>
      <c r="C3" s="61" t="s">
        <v>147</v>
      </c>
      <c r="D3" s="65">
        <v>2</v>
      </c>
      <c r="E3" s="66">
        <v>3</v>
      </c>
      <c r="F3" s="66">
        <v>4</v>
      </c>
      <c r="G3" s="66">
        <v>5</v>
      </c>
      <c r="H3" s="66">
        <v>6</v>
      </c>
      <c r="I3" s="66">
        <v>7</v>
      </c>
      <c r="J3" s="66">
        <v>8</v>
      </c>
      <c r="K3" s="66">
        <v>9</v>
      </c>
      <c r="L3" s="66">
        <v>10</v>
      </c>
      <c r="M3" s="66">
        <v>11</v>
      </c>
      <c r="N3" s="66">
        <v>12</v>
      </c>
      <c r="O3" s="66">
        <v>13</v>
      </c>
      <c r="P3" s="66">
        <v>14</v>
      </c>
      <c r="Q3" s="66">
        <v>15</v>
      </c>
      <c r="R3" s="66">
        <v>16</v>
      </c>
      <c r="S3" s="66">
        <v>17</v>
      </c>
      <c r="T3" s="66">
        <v>18</v>
      </c>
      <c r="U3" s="66">
        <v>19</v>
      </c>
      <c r="V3" s="66">
        <v>20</v>
      </c>
      <c r="W3" s="66">
        <v>21</v>
      </c>
      <c r="X3" s="66">
        <v>22</v>
      </c>
      <c r="Y3" s="66">
        <v>23</v>
      </c>
      <c r="Z3" s="66">
        <v>24</v>
      </c>
      <c r="AA3" s="66">
        <v>25</v>
      </c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</row>
    <row r="4" spans="1:55" x14ac:dyDescent="0.25">
      <c r="B4" s="96" t="s">
        <v>75</v>
      </c>
      <c r="C4" s="96"/>
      <c r="D4" s="63">
        <v>0.02</v>
      </c>
      <c r="E4" s="64">
        <v>5.4999999999999997E-3</v>
      </c>
      <c r="F4" s="64">
        <v>5.4999999999999997E-3</v>
      </c>
      <c r="G4" s="64">
        <v>5.4999999999999997E-3</v>
      </c>
      <c r="H4" s="64">
        <v>5.4999999999999997E-3</v>
      </c>
      <c r="I4" s="64">
        <v>5.4999999999999997E-3</v>
      </c>
      <c r="J4" s="64">
        <v>5.4999999999999997E-3</v>
      </c>
      <c r="K4" s="64">
        <v>5.4999999999999997E-3</v>
      </c>
      <c r="L4" s="64">
        <v>5.4999999999999997E-3</v>
      </c>
      <c r="M4" s="64">
        <v>5.4999999999999997E-3</v>
      </c>
      <c r="N4" s="64">
        <v>5.4999999999999997E-3</v>
      </c>
      <c r="O4" s="64">
        <v>5.4999999999999997E-3</v>
      </c>
      <c r="P4" s="64">
        <v>5.4999999999999997E-3</v>
      </c>
      <c r="Q4" s="64">
        <v>5.4999999999999997E-3</v>
      </c>
      <c r="R4" s="64">
        <v>5.4999999999999997E-3</v>
      </c>
      <c r="S4" s="64">
        <v>5.4999999999999997E-3</v>
      </c>
      <c r="T4" s="64">
        <v>5.4999999999999997E-3</v>
      </c>
      <c r="U4" s="64">
        <v>5.4999999999999997E-3</v>
      </c>
      <c r="V4" s="64">
        <v>5.4999999999999997E-3</v>
      </c>
      <c r="W4" s="64">
        <v>5.4999999999999997E-3</v>
      </c>
      <c r="X4" s="64">
        <v>5.4999999999999997E-3</v>
      </c>
      <c r="Y4" s="64">
        <v>5.4999999999999997E-3</v>
      </c>
      <c r="Z4" s="64">
        <v>5.4999999999999997E-3</v>
      </c>
      <c r="AA4" s="64">
        <v>5.4999999999999997E-3</v>
      </c>
      <c r="AD4" s="131" t="s">
        <v>75</v>
      </c>
      <c r="AE4" s="132" t="s">
        <v>149</v>
      </c>
      <c r="AF4" s="133">
        <v>2</v>
      </c>
      <c r="AG4" s="133">
        <v>3</v>
      </c>
      <c r="AH4" s="133">
        <v>4</v>
      </c>
      <c r="AI4" s="133">
        <v>5</v>
      </c>
      <c r="AJ4" s="133">
        <v>6</v>
      </c>
      <c r="AK4" s="133">
        <v>7</v>
      </c>
      <c r="AL4" s="133">
        <v>8</v>
      </c>
      <c r="AM4" s="133">
        <v>9</v>
      </c>
      <c r="AN4" s="133">
        <v>10</v>
      </c>
      <c r="AO4" s="133">
        <v>11</v>
      </c>
      <c r="AP4" s="133">
        <v>12</v>
      </c>
      <c r="AQ4" s="133">
        <v>13</v>
      </c>
      <c r="AR4" s="133">
        <v>14</v>
      </c>
      <c r="AS4" s="133">
        <v>15</v>
      </c>
      <c r="AT4" s="133">
        <v>16</v>
      </c>
      <c r="AU4" s="133">
        <v>17</v>
      </c>
      <c r="AV4" s="133">
        <v>18</v>
      </c>
      <c r="AW4" s="133">
        <v>19</v>
      </c>
      <c r="AX4" s="133">
        <v>20</v>
      </c>
      <c r="AY4" s="133">
        <v>21</v>
      </c>
      <c r="AZ4" s="133">
        <v>22</v>
      </c>
      <c r="BA4" s="133">
        <v>23</v>
      </c>
      <c r="BB4" s="133">
        <v>24</v>
      </c>
      <c r="BC4" s="133">
        <v>25</v>
      </c>
    </row>
    <row r="5" spans="1:55" x14ac:dyDescent="0.25">
      <c r="A5" s="62">
        <v>4060</v>
      </c>
      <c r="B5" s="40" t="s">
        <v>14</v>
      </c>
      <c r="C5" s="40">
        <v>4121.3508000000002</v>
      </c>
      <c r="D5" s="33">
        <f>C5-(C5*$D$4)</f>
        <v>4038.9237840000001</v>
      </c>
      <c r="E5" s="33">
        <f>D5-(D5*$E$4)</f>
        <v>4016.7097031880003</v>
      </c>
      <c r="F5" s="33">
        <f>E5-(E5*$F$4)</f>
        <v>3994.6177998204662</v>
      </c>
      <c r="G5" s="33">
        <f t="shared" ref="G5:AA16" si="0">F5-(F5*$F$4)</f>
        <v>3972.6474019214538</v>
      </c>
      <c r="H5" s="33">
        <f t="shared" si="0"/>
        <v>3950.797841210886</v>
      </c>
      <c r="I5" s="33">
        <f t="shared" si="0"/>
        <v>3929.0684530842259</v>
      </c>
      <c r="J5" s="33">
        <f t="shared" si="0"/>
        <v>3907.4585765922625</v>
      </c>
      <c r="K5" s="33">
        <f t="shared" si="0"/>
        <v>3885.9675544210049</v>
      </c>
      <c r="L5" s="33">
        <f t="shared" si="0"/>
        <v>3864.5947328716893</v>
      </c>
      <c r="M5" s="33">
        <f t="shared" si="0"/>
        <v>3843.3394618408952</v>
      </c>
      <c r="N5" s="33">
        <f t="shared" si="0"/>
        <v>3822.2010948007701</v>
      </c>
      <c r="O5" s="33">
        <f t="shared" si="0"/>
        <v>3801.1789887793657</v>
      </c>
      <c r="P5" s="33">
        <f t="shared" si="0"/>
        <v>3780.2725043410792</v>
      </c>
      <c r="Q5" s="33">
        <f t="shared" si="0"/>
        <v>3759.4810055672033</v>
      </c>
      <c r="R5" s="33">
        <f t="shared" si="0"/>
        <v>3738.8038600365835</v>
      </c>
      <c r="S5" s="33">
        <f t="shared" si="0"/>
        <v>3718.2404388063824</v>
      </c>
      <c r="T5" s="33">
        <f t="shared" si="0"/>
        <v>3697.7901163929473</v>
      </c>
      <c r="U5" s="33">
        <f t="shared" si="0"/>
        <v>3677.4522707527863</v>
      </c>
      <c r="V5" s="33">
        <f t="shared" si="0"/>
        <v>3657.2262832636461</v>
      </c>
      <c r="W5" s="33">
        <f t="shared" si="0"/>
        <v>3637.1115387056961</v>
      </c>
      <c r="X5" s="33">
        <f t="shared" si="0"/>
        <v>3617.1074252428148</v>
      </c>
      <c r="Y5" s="33">
        <f t="shared" si="0"/>
        <v>3597.2133344039794</v>
      </c>
      <c r="Z5" s="33">
        <f t="shared" si="0"/>
        <v>3577.4286610647573</v>
      </c>
      <c r="AA5" s="33">
        <f t="shared" si="0"/>
        <v>3557.7528034289012</v>
      </c>
      <c r="AC5" s="62">
        <v>4060</v>
      </c>
      <c r="AD5" s="40" t="s">
        <v>14</v>
      </c>
      <c r="AE5" s="40">
        <v>4121.3508000000002</v>
      </c>
      <c r="AF5" s="33">
        <f>C5-A5</f>
        <v>61.350800000000163</v>
      </c>
      <c r="AG5" s="33">
        <f>D5-$A$5</f>
        <v>-21.076215999999931</v>
      </c>
      <c r="AH5" s="33">
        <f>E5-A5</f>
        <v>-43.290296811999724</v>
      </c>
      <c r="AI5" s="33">
        <f>F5-A5</f>
        <v>-65.382200179533811</v>
      </c>
      <c r="AJ5" s="33">
        <f>G5-A5</f>
        <v>-87.35259807854618</v>
      </c>
      <c r="AK5" s="33">
        <f>H5-A5</f>
        <v>-109.20215878911404</v>
      </c>
      <c r="AL5" s="33">
        <f>I5-A5</f>
        <v>-130.93154691577411</v>
      </c>
      <c r="AM5" s="33">
        <f>J5-A5</f>
        <v>-152.54142340773751</v>
      </c>
      <c r="AN5" s="33">
        <f>K5-A5</f>
        <v>-174.03244557899507</v>
      </c>
      <c r="AO5" s="33">
        <f>L5-A5</f>
        <v>-195.4052671283107</v>
      </c>
      <c r="AP5" s="33">
        <f>M5-A5</f>
        <v>-216.66053815910482</v>
      </c>
      <c r="AQ5" s="33">
        <f>N5-A5</f>
        <v>-237.79890519922992</v>
      </c>
      <c r="AR5" s="33">
        <f>O5-A5</f>
        <v>-258.82101122063432</v>
      </c>
      <c r="AS5" s="33">
        <f>P5-A5</f>
        <v>-279.72749565892082</v>
      </c>
      <c r="AT5" s="33">
        <f>Q5-A5</f>
        <v>-300.51899443279672</v>
      </c>
      <c r="AU5" s="33">
        <f>R5-A5</f>
        <v>-321.1961399634165</v>
      </c>
      <c r="AV5" s="33">
        <f>S5-A5</f>
        <v>-341.75956119361763</v>
      </c>
      <c r="AW5" s="33">
        <f>T5-A5</f>
        <v>-362.20988360705269</v>
      </c>
      <c r="AX5" s="33">
        <f>U5-A5</f>
        <v>-382.54772924721374</v>
      </c>
      <c r="AY5" s="33">
        <f>V5-A5</f>
        <v>-402.77371673635389</v>
      </c>
      <c r="AZ5" s="33">
        <f>W5-A5</f>
        <v>-422.88846129430385</v>
      </c>
      <c r="BA5" s="33">
        <f>X5-A5</f>
        <v>-442.89257475718523</v>
      </c>
      <c r="BB5" s="33">
        <f>Y5-A5</f>
        <v>-462.78666559602061</v>
      </c>
      <c r="BC5" s="33">
        <f>Z5-A5</f>
        <v>-482.57133893524269</v>
      </c>
    </row>
    <row r="6" spans="1:55" x14ac:dyDescent="0.25">
      <c r="A6" s="62">
        <v>4015</v>
      </c>
      <c r="B6" s="40" t="s">
        <v>15</v>
      </c>
      <c r="C6" s="40">
        <v>3910.5351599999995</v>
      </c>
      <c r="D6" s="33">
        <f t="shared" ref="D6:D16" si="1">C6-(C6*$D$4)</f>
        <v>3832.3244567999996</v>
      </c>
      <c r="E6" s="33">
        <f t="shared" ref="E6:E16" si="2">D6-(D6*$E$4)</f>
        <v>3811.2466722875997</v>
      </c>
      <c r="F6" s="33">
        <f t="shared" ref="F6:U16" si="3">E6-(E6*$F$4)</f>
        <v>3790.2848155900178</v>
      </c>
      <c r="G6" s="33">
        <f t="shared" si="3"/>
        <v>3769.4382491042729</v>
      </c>
      <c r="H6" s="33">
        <f t="shared" si="3"/>
        <v>3748.7063387341996</v>
      </c>
      <c r="I6" s="33">
        <f t="shared" si="3"/>
        <v>3728.0884538711616</v>
      </c>
      <c r="J6" s="33">
        <f t="shared" si="3"/>
        <v>3707.5839673748701</v>
      </c>
      <c r="K6" s="33">
        <f t="shared" si="3"/>
        <v>3687.1922555543083</v>
      </c>
      <c r="L6" s="33">
        <f t="shared" si="3"/>
        <v>3666.9126981487598</v>
      </c>
      <c r="M6" s="33">
        <f t="shared" si="3"/>
        <v>3646.7446783089417</v>
      </c>
      <c r="N6" s="33">
        <f t="shared" si="3"/>
        <v>3626.6875825782427</v>
      </c>
      <c r="O6" s="33">
        <f t="shared" si="3"/>
        <v>3606.7408008740622</v>
      </c>
      <c r="P6" s="33">
        <f t="shared" si="3"/>
        <v>3586.9037264692547</v>
      </c>
      <c r="Q6" s="33">
        <f t="shared" si="3"/>
        <v>3567.1757559736739</v>
      </c>
      <c r="R6" s="33">
        <f t="shared" si="3"/>
        <v>3547.5562893158185</v>
      </c>
      <c r="S6" s="33">
        <f t="shared" si="3"/>
        <v>3528.0447297245814</v>
      </c>
      <c r="T6" s="33">
        <f t="shared" si="3"/>
        <v>3508.6404837110963</v>
      </c>
      <c r="U6" s="33">
        <f t="shared" si="3"/>
        <v>3489.3429610506851</v>
      </c>
      <c r="V6" s="33">
        <f t="shared" si="0"/>
        <v>3470.1515747649064</v>
      </c>
      <c r="W6" s="33">
        <f t="shared" si="0"/>
        <v>3451.0657411036996</v>
      </c>
      <c r="X6" s="33">
        <f t="shared" si="0"/>
        <v>3432.0848795276293</v>
      </c>
      <c r="Y6" s="33">
        <f t="shared" si="0"/>
        <v>3413.2084126902273</v>
      </c>
      <c r="Z6" s="33">
        <f t="shared" si="0"/>
        <v>3394.4357664204313</v>
      </c>
      <c r="AA6" s="33">
        <f t="shared" si="0"/>
        <v>3375.7663697051189</v>
      </c>
      <c r="AC6" s="62">
        <v>4015</v>
      </c>
      <c r="AD6" s="40" t="s">
        <v>15</v>
      </c>
      <c r="AE6" s="40">
        <v>3910.5351599999995</v>
      </c>
      <c r="AF6" s="33">
        <f t="shared" ref="AF6:AF16" si="4">C6-A6</f>
        <v>-104.46484000000055</v>
      </c>
      <c r="AG6" s="33">
        <f t="shared" ref="AG6:AG16" si="5">D6-$A6</f>
        <v>-182.67554320000045</v>
      </c>
      <c r="AH6" s="33">
        <f t="shared" ref="AH6:AH16" si="6">E6-A6</f>
        <v>-203.75332771240028</v>
      </c>
      <c r="AI6" s="33">
        <f t="shared" ref="AI6:AI16" si="7">F6-A6</f>
        <v>-224.71518440998216</v>
      </c>
      <c r="AJ6" s="33">
        <f t="shared" ref="AJ6:AJ16" si="8">G6-A6</f>
        <v>-245.56175089572707</v>
      </c>
      <c r="AK6" s="33">
        <f t="shared" ref="AK6:AK16" si="9">H6-A6</f>
        <v>-266.29366126580044</v>
      </c>
      <c r="AL6" s="33">
        <f t="shared" ref="AL6:AL15" si="10">I6-A6</f>
        <v>-286.91154612883838</v>
      </c>
      <c r="AM6" s="33">
        <f t="shared" ref="AM6:AM16" si="11">J6-A6</f>
        <v>-307.4160326251299</v>
      </c>
      <c r="AN6" s="33">
        <f t="shared" ref="AN6:AN16" si="12">K6-A6</f>
        <v>-327.8077444456917</v>
      </c>
      <c r="AO6" s="33">
        <f t="shared" ref="AO6:AO16" si="13">L6-A6</f>
        <v>-348.08730185124023</v>
      </c>
      <c r="AP6" s="33">
        <f t="shared" ref="AP6:AP16" si="14">M6-A6</f>
        <v>-368.25532169105827</v>
      </c>
      <c r="AQ6" s="33">
        <f t="shared" ref="AQ6:AQ16" si="15">N6-A6</f>
        <v>-388.31241742175735</v>
      </c>
      <c r="AR6" s="33">
        <f t="shared" ref="AR6:AR16" si="16">O6-A6</f>
        <v>-408.25919912593781</v>
      </c>
      <c r="AS6" s="33">
        <f t="shared" ref="AS6:AS16" si="17">P6-A6</f>
        <v>-428.09627353074529</v>
      </c>
      <c r="AT6" s="33">
        <f t="shared" ref="AT6:AT16" si="18">Q6-A6</f>
        <v>-447.82424402632614</v>
      </c>
      <c r="AU6" s="33">
        <f t="shared" ref="AU6:AU16" si="19">R6-A6</f>
        <v>-467.4437106841815</v>
      </c>
      <c r="AV6" s="33">
        <f t="shared" ref="AV6:AV16" si="20">S6-A6</f>
        <v>-486.95527027541857</v>
      </c>
      <c r="AW6" s="33">
        <f t="shared" ref="AW6:AW16" si="21">T6-A6</f>
        <v>-506.35951628890371</v>
      </c>
      <c r="AX6" s="33">
        <f t="shared" ref="AX6:AX16" si="22">U6-A6</f>
        <v>-525.65703894931494</v>
      </c>
      <c r="AY6" s="33">
        <f t="shared" ref="AY6:AY16" si="23">V6-A6</f>
        <v>-544.8484252350936</v>
      </c>
      <c r="AZ6" s="33">
        <f t="shared" ref="AZ6:AZ16" si="24">W6-A6</f>
        <v>-563.93425889630043</v>
      </c>
      <c r="BA6" s="33">
        <f t="shared" ref="BA6:BA16" si="25">X6-A6</f>
        <v>-582.91512047237075</v>
      </c>
      <c r="BB6" s="33">
        <f t="shared" ref="BB6:BB16" si="26">Y6-A6</f>
        <v>-601.79158730977269</v>
      </c>
      <c r="BC6" s="33">
        <f t="shared" ref="BC6:BC16" si="27">Z6-A6</f>
        <v>-620.56423357956874</v>
      </c>
    </row>
    <row r="7" spans="1:55" x14ac:dyDescent="0.25">
      <c r="A7" s="62">
        <v>3940</v>
      </c>
      <c r="B7" s="40" t="s">
        <v>16</v>
      </c>
      <c r="C7" s="40">
        <v>4091.9125799999997</v>
      </c>
      <c r="D7" s="33">
        <f t="shared" si="1"/>
        <v>4010.0743283999996</v>
      </c>
      <c r="E7" s="33">
        <f t="shared" si="2"/>
        <v>3988.0189195937996</v>
      </c>
      <c r="F7" s="33">
        <f t="shared" si="3"/>
        <v>3966.0848155360336</v>
      </c>
      <c r="G7" s="33">
        <f t="shared" si="0"/>
        <v>3944.2713490505853</v>
      </c>
      <c r="H7" s="33">
        <f t="shared" si="0"/>
        <v>3922.5778566308072</v>
      </c>
      <c r="I7" s="33">
        <f t="shared" si="0"/>
        <v>3901.0036784193376</v>
      </c>
      <c r="J7" s="33">
        <f t="shared" si="0"/>
        <v>3879.5481581880313</v>
      </c>
      <c r="K7" s="33">
        <f t="shared" si="0"/>
        <v>3858.210643317997</v>
      </c>
      <c r="L7" s="33">
        <f t="shared" si="0"/>
        <v>3836.9904847797479</v>
      </c>
      <c r="M7" s="33">
        <f t="shared" si="0"/>
        <v>3815.8870371134594</v>
      </c>
      <c r="N7" s="33">
        <f t="shared" si="0"/>
        <v>3794.8996584093352</v>
      </c>
      <c r="O7" s="33">
        <f t="shared" si="0"/>
        <v>3774.0277102880837</v>
      </c>
      <c r="P7" s="33">
        <f t="shared" si="0"/>
        <v>3753.2705578814994</v>
      </c>
      <c r="Q7" s="33">
        <f t="shared" si="0"/>
        <v>3732.6275698131512</v>
      </c>
      <c r="R7" s="33">
        <f t="shared" si="0"/>
        <v>3712.098118179179</v>
      </c>
      <c r="S7" s="33">
        <f t="shared" si="0"/>
        <v>3691.6815785291933</v>
      </c>
      <c r="T7" s="33">
        <f t="shared" si="0"/>
        <v>3671.3773298472829</v>
      </c>
      <c r="U7" s="33">
        <f t="shared" si="0"/>
        <v>3651.1847545331229</v>
      </c>
      <c r="V7" s="33">
        <f t="shared" si="0"/>
        <v>3631.1032383831907</v>
      </c>
      <c r="W7" s="33">
        <f t="shared" si="0"/>
        <v>3611.1321705720834</v>
      </c>
      <c r="X7" s="33">
        <f t="shared" si="0"/>
        <v>3591.2709436339369</v>
      </c>
      <c r="Y7" s="33">
        <f t="shared" si="0"/>
        <v>3571.5189534439501</v>
      </c>
      <c r="Z7" s="33">
        <f t="shared" si="0"/>
        <v>3551.8755992000083</v>
      </c>
      <c r="AA7" s="33">
        <f t="shared" si="0"/>
        <v>3532.3402834044082</v>
      </c>
      <c r="AC7" s="62">
        <v>3940</v>
      </c>
      <c r="AD7" s="40" t="s">
        <v>16</v>
      </c>
      <c r="AE7" s="40">
        <v>4091.9125799999997</v>
      </c>
      <c r="AF7" s="33">
        <f t="shared" si="4"/>
        <v>151.91257999999971</v>
      </c>
      <c r="AG7" s="33">
        <f t="shared" si="5"/>
        <v>70.074328399999558</v>
      </c>
      <c r="AH7" s="33">
        <f t="shared" si="6"/>
        <v>48.018919593799637</v>
      </c>
      <c r="AI7" s="33">
        <f t="shared" si="7"/>
        <v>26.084815536033602</v>
      </c>
      <c r="AJ7" s="33">
        <f t="shared" si="8"/>
        <v>4.271349050585286</v>
      </c>
      <c r="AK7" s="33">
        <f t="shared" si="9"/>
        <v>-17.422143369192781</v>
      </c>
      <c r="AL7" s="33">
        <f t="shared" si="10"/>
        <v>-38.996321580662425</v>
      </c>
      <c r="AM7" s="33">
        <f t="shared" si="11"/>
        <v>-60.451841811968734</v>
      </c>
      <c r="AN7" s="33">
        <f t="shared" si="12"/>
        <v>-81.789356682003017</v>
      </c>
      <c r="AO7" s="33">
        <f t="shared" si="13"/>
        <v>-103.00951522025207</v>
      </c>
      <c r="AP7" s="33">
        <f t="shared" si="14"/>
        <v>-124.11296288654057</v>
      </c>
      <c r="AQ7" s="33">
        <f t="shared" si="15"/>
        <v>-145.10034159066481</v>
      </c>
      <c r="AR7" s="33">
        <f t="shared" si="16"/>
        <v>-165.97228971191635</v>
      </c>
      <c r="AS7" s="33">
        <f t="shared" si="17"/>
        <v>-186.72944211850063</v>
      </c>
      <c r="AT7" s="33">
        <f t="shared" si="18"/>
        <v>-207.37243018684876</v>
      </c>
      <c r="AU7" s="33">
        <f t="shared" si="19"/>
        <v>-227.90188182082102</v>
      </c>
      <c r="AV7" s="33">
        <f t="shared" si="20"/>
        <v>-248.3184214708067</v>
      </c>
      <c r="AW7" s="33">
        <f t="shared" si="21"/>
        <v>-268.62267015271709</v>
      </c>
      <c r="AX7" s="33">
        <f t="shared" si="22"/>
        <v>-288.81524546687706</v>
      </c>
      <c r="AY7" s="33">
        <f t="shared" si="23"/>
        <v>-308.89676161680927</v>
      </c>
      <c r="AZ7" s="33">
        <f t="shared" si="24"/>
        <v>-328.8678294279166</v>
      </c>
      <c r="BA7" s="33">
        <f t="shared" si="25"/>
        <v>-348.72905636606311</v>
      </c>
      <c r="BB7" s="33">
        <f t="shared" si="26"/>
        <v>-368.48104655604993</v>
      </c>
      <c r="BC7" s="33">
        <f t="shared" si="27"/>
        <v>-388.12440079999169</v>
      </c>
    </row>
    <row r="8" spans="1:55" x14ac:dyDescent="0.25">
      <c r="A8" s="62">
        <v>3860</v>
      </c>
      <c r="B8" s="40" t="s">
        <v>17</v>
      </c>
      <c r="C8" s="40">
        <v>3504.0977999999996</v>
      </c>
      <c r="D8" s="33">
        <f t="shared" si="1"/>
        <v>3434.0158439999996</v>
      </c>
      <c r="E8" s="33">
        <f t="shared" si="2"/>
        <v>3415.1287568579996</v>
      </c>
      <c r="F8" s="33">
        <f t="shared" si="3"/>
        <v>3396.3455486952807</v>
      </c>
      <c r="G8" s="33">
        <f t="shared" si="0"/>
        <v>3377.6656481774567</v>
      </c>
      <c r="H8" s="33">
        <f t="shared" si="0"/>
        <v>3359.0884871124808</v>
      </c>
      <c r="I8" s="33">
        <f t="shared" si="0"/>
        <v>3340.6135004333623</v>
      </c>
      <c r="J8" s="33">
        <f t="shared" si="0"/>
        <v>3322.2401261809787</v>
      </c>
      <c r="K8" s="33">
        <f t="shared" si="0"/>
        <v>3303.9678054869833</v>
      </c>
      <c r="L8" s="33">
        <f t="shared" si="0"/>
        <v>3285.795982556805</v>
      </c>
      <c r="M8" s="33">
        <f t="shared" si="0"/>
        <v>3267.7241046527424</v>
      </c>
      <c r="N8" s="33">
        <f t="shared" si="0"/>
        <v>3249.7516220771522</v>
      </c>
      <c r="O8" s="33">
        <f t="shared" si="0"/>
        <v>3231.877988155728</v>
      </c>
      <c r="P8" s="33">
        <f t="shared" si="0"/>
        <v>3214.1026592208714</v>
      </c>
      <c r="Q8" s="33">
        <f t="shared" si="0"/>
        <v>3196.4250945951567</v>
      </c>
      <c r="R8" s="33">
        <f t="shared" si="0"/>
        <v>3178.8447565748834</v>
      </c>
      <c r="S8" s="33">
        <f t="shared" si="0"/>
        <v>3161.3611104137217</v>
      </c>
      <c r="T8" s="33">
        <f t="shared" si="0"/>
        <v>3143.9736243064463</v>
      </c>
      <c r="U8" s="33">
        <f t="shared" si="0"/>
        <v>3126.6817693727608</v>
      </c>
      <c r="V8" s="33">
        <f t="shared" si="0"/>
        <v>3109.4850196412108</v>
      </c>
      <c r="W8" s="33">
        <f t="shared" si="0"/>
        <v>3092.382852033184</v>
      </c>
      <c r="X8" s="33">
        <f t="shared" si="0"/>
        <v>3075.3747463470013</v>
      </c>
      <c r="Y8" s="33">
        <f t="shared" si="0"/>
        <v>3058.4601852420928</v>
      </c>
      <c r="Z8" s="33">
        <f t="shared" si="0"/>
        <v>3041.6386542232613</v>
      </c>
      <c r="AA8" s="33">
        <f t="shared" si="0"/>
        <v>3024.9096416250331</v>
      </c>
      <c r="AC8" s="62">
        <v>3860</v>
      </c>
      <c r="AD8" s="40" t="s">
        <v>17</v>
      </c>
      <c r="AE8" s="40">
        <v>3504.0977999999996</v>
      </c>
      <c r="AF8" s="33">
        <f t="shared" si="4"/>
        <v>-355.90220000000045</v>
      </c>
      <c r="AG8" s="33">
        <f t="shared" si="5"/>
        <v>-425.98415600000044</v>
      </c>
      <c r="AH8" s="33">
        <f t="shared" si="6"/>
        <v>-444.87124314200037</v>
      </c>
      <c r="AI8" s="33">
        <f t="shared" si="7"/>
        <v>-463.65445130471926</v>
      </c>
      <c r="AJ8" s="33">
        <f t="shared" si="8"/>
        <v>-482.33435182254334</v>
      </c>
      <c r="AK8" s="33">
        <f t="shared" si="9"/>
        <v>-500.91151288751917</v>
      </c>
      <c r="AL8" s="33">
        <f t="shared" si="10"/>
        <v>-519.38649956663767</v>
      </c>
      <c r="AM8" s="33">
        <f t="shared" si="11"/>
        <v>-537.75987381902132</v>
      </c>
      <c r="AN8" s="33">
        <f t="shared" si="12"/>
        <v>-556.03219451301675</v>
      </c>
      <c r="AO8" s="33">
        <f t="shared" si="13"/>
        <v>-574.20401744319497</v>
      </c>
      <c r="AP8" s="33">
        <f t="shared" si="14"/>
        <v>-592.27589534725757</v>
      </c>
      <c r="AQ8" s="33">
        <f t="shared" si="15"/>
        <v>-610.24837792284779</v>
      </c>
      <c r="AR8" s="33">
        <f t="shared" si="16"/>
        <v>-628.12201184427204</v>
      </c>
      <c r="AS8" s="33">
        <f t="shared" si="17"/>
        <v>-645.89734077912863</v>
      </c>
      <c r="AT8" s="33">
        <f t="shared" si="18"/>
        <v>-663.57490540484332</v>
      </c>
      <c r="AU8" s="33">
        <f t="shared" si="19"/>
        <v>-681.15524342511662</v>
      </c>
      <c r="AV8" s="33">
        <f t="shared" si="20"/>
        <v>-698.63888958627831</v>
      </c>
      <c r="AW8" s="33">
        <f t="shared" si="21"/>
        <v>-716.02637569355375</v>
      </c>
      <c r="AX8" s="33">
        <f t="shared" si="22"/>
        <v>-733.31823062723925</v>
      </c>
      <c r="AY8" s="33">
        <f t="shared" si="23"/>
        <v>-750.51498035878922</v>
      </c>
      <c r="AZ8" s="33">
        <f t="shared" si="24"/>
        <v>-767.61714796681599</v>
      </c>
      <c r="BA8" s="33">
        <f t="shared" si="25"/>
        <v>-784.62525365299871</v>
      </c>
      <c r="BB8" s="33">
        <f t="shared" si="26"/>
        <v>-801.53981475790715</v>
      </c>
      <c r="BC8" s="33">
        <f t="shared" si="27"/>
        <v>-818.36134577673874</v>
      </c>
    </row>
    <row r="9" spans="1:55" x14ac:dyDescent="0.25">
      <c r="A9" s="62">
        <v>3900</v>
      </c>
      <c r="B9" s="40" t="s">
        <v>18</v>
      </c>
      <c r="C9" s="40">
        <v>3922.6428149999997</v>
      </c>
      <c r="D9" s="33">
        <f t="shared" si="1"/>
        <v>3844.1899586999998</v>
      </c>
      <c r="E9" s="33">
        <f t="shared" si="2"/>
        <v>3823.0469139271499</v>
      </c>
      <c r="F9" s="33">
        <f t="shared" si="3"/>
        <v>3802.0201559005504</v>
      </c>
      <c r="G9" s="33">
        <f t="shared" si="0"/>
        <v>3781.1090450430975</v>
      </c>
      <c r="H9" s="33">
        <f t="shared" si="0"/>
        <v>3760.3129452953604</v>
      </c>
      <c r="I9" s="33">
        <f t="shared" si="0"/>
        <v>3739.6312240962357</v>
      </c>
      <c r="J9" s="33">
        <f t="shared" si="0"/>
        <v>3719.0632523637064</v>
      </c>
      <c r="K9" s="33">
        <f t="shared" si="0"/>
        <v>3698.6084044757058</v>
      </c>
      <c r="L9" s="33">
        <f t="shared" si="0"/>
        <v>3678.2660582510894</v>
      </c>
      <c r="M9" s="33">
        <f t="shared" si="0"/>
        <v>3658.0355949307082</v>
      </c>
      <c r="N9" s="33">
        <f t="shared" si="0"/>
        <v>3637.9163991585892</v>
      </c>
      <c r="O9" s="33">
        <f t="shared" si="0"/>
        <v>3617.9078589632168</v>
      </c>
      <c r="P9" s="33">
        <f t="shared" si="0"/>
        <v>3598.0093657389189</v>
      </c>
      <c r="Q9" s="33">
        <f t="shared" si="0"/>
        <v>3578.2203142273547</v>
      </c>
      <c r="R9" s="33">
        <f t="shared" si="0"/>
        <v>3558.5401024991043</v>
      </c>
      <c r="S9" s="33">
        <f t="shared" si="0"/>
        <v>3538.968131935359</v>
      </c>
      <c r="T9" s="33">
        <f t="shared" si="0"/>
        <v>3519.5038072097145</v>
      </c>
      <c r="U9" s="33">
        <f t="shared" si="0"/>
        <v>3500.146536270061</v>
      </c>
      <c r="V9" s="33">
        <f t="shared" si="0"/>
        <v>3480.8957303205757</v>
      </c>
      <c r="W9" s="33">
        <f t="shared" si="0"/>
        <v>3461.7508038038127</v>
      </c>
      <c r="X9" s="33">
        <f t="shared" si="0"/>
        <v>3442.7111743828918</v>
      </c>
      <c r="Y9" s="33">
        <f t="shared" si="0"/>
        <v>3423.7762629237859</v>
      </c>
      <c r="Z9" s="33">
        <f t="shared" si="0"/>
        <v>3404.945493477705</v>
      </c>
      <c r="AA9" s="33">
        <f t="shared" si="0"/>
        <v>3386.2182932635778</v>
      </c>
      <c r="AC9" s="62">
        <v>3900</v>
      </c>
      <c r="AD9" s="40" t="s">
        <v>18</v>
      </c>
      <c r="AE9" s="40">
        <v>3922.6428149999997</v>
      </c>
      <c r="AF9" s="33">
        <f t="shared" si="4"/>
        <v>22.6428149999997</v>
      </c>
      <c r="AG9" s="33">
        <f t="shared" si="5"/>
        <v>-55.810041300000194</v>
      </c>
      <c r="AH9" s="33">
        <f t="shared" si="6"/>
        <v>-76.953086072850056</v>
      </c>
      <c r="AI9" s="33">
        <f t="shared" si="7"/>
        <v>-97.979844099449565</v>
      </c>
      <c r="AJ9" s="33">
        <f t="shared" si="8"/>
        <v>-118.89095495690253</v>
      </c>
      <c r="AK9" s="33">
        <f t="shared" si="9"/>
        <v>-139.68705470463965</v>
      </c>
      <c r="AL9" s="33">
        <f t="shared" si="10"/>
        <v>-160.36877590376434</v>
      </c>
      <c r="AM9" s="33">
        <f t="shared" si="11"/>
        <v>-180.9367476362936</v>
      </c>
      <c r="AN9" s="33">
        <f t="shared" si="12"/>
        <v>-201.39159552429419</v>
      </c>
      <c r="AO9" s="33">
        <f t="shared" si="13"/>
        <v>-221.73394174891064</v>
      </c>
      <c r="AP9" s="33">
        <f t="shared" si="14"/>
        <v>-241.96440506929184</v>
      </c>
      <c r="AQ9" s="33">
        <f t="shared" si="15"/>
        <v>-262.08360084141077</v>
      </c>
      <c r="AR9" s="33">
        <f t="shared" si="16"/>
        <v>-282.09214103678323</v>
      </c>
      <c r="AS9" s="33">
        <f t="shared" si="17"/>
        <v>-301.99063426108114</v>
      </c>
      <c r="AT9" s="33">
        <f t="shared" si="18"/>
        <v>-321.77968577264528</v>
      </c>
      <c r="AU9" s="33">
        <f t="shared" si="19"/>
        <v>-341.45989750089575</v>
      </c>
      <c r="AV9" s="33">
        <f t="shared" si="20"/>
        <v>-361.031868064641</v>
      </c>
      <c r="AW9" s="33">
        <f t="shared" si="21"/>
        <v>-380.49619279028548</v>
      </c>
      <c r="AX9" s="33">
        <f t="shared" si="22"/>
        <v>-399.85346372993899</v>
      </c>
      <c r="AY9" s="33">
        <f t="shared" si="23"/>
        <v>-419.10426967942431</v>
      </c>
      <c r="AZ9" s="33">
        <f t="shared" si="24"/>
        <v>-438.24919619618731</v>
      </c>
      <c r="BA9" s="33">
        <f t="shared" si="25"/>
        <v>-457.28882561710816</v>
      </c>
      <c r="BB9" s="33">
        <f t="shared" si="26"/>
        <v>-476.22373707621409</v>
      </c>
      <c r="BC9" s="33">
        <f t="shared" si="27"/>
        <v>-495.05450652229501</v>
      </c>
    </row>
    <row r="10" spans="1:55" x14ac:dyDescent="0.25">
      <c r="A10" s="62">
        <v>3700</v>
      </c>
      <c r="B10" s="40" t="s">
        <v>19</v>
      </c>
      <c r="C10" s="40">
        <v>3853.0831499999999</v>
      </c>
      <c r="D10" s="33">
        <f t="shared" si="1"/>
        <v>3776.021487</v>
      </c>
      <c r="E10" s="33">
        <f t="shared" si="2"/>
        <v>3755.2533688214999</v>
      </c>
      <c r="F10" s="33">
        <f t="shared" si="3"/>
        <v>3734.5994752929814</v>
      </c>
      <c r="G10" s="33">
        <f t="shared" si="0"/>
        <v>3714.0591781788698</v>
      </c>
      <c r="H10" s="33">
        <f t="shared" si="0"/>
        <v>3693.6318526988862</v>
      </c>
      <c r="I10" s="33">
        <f t="shared" si="0"/>
        <v>3673.3168775090421</v>
      </c>
      <c r="J10" s="33">
        <f t="shared" si="0"/>
        <v>3653.1136346827425</v>
      </c>
      <c r="K10" s="33">
        <f t="shared" si="0"/>
        <v>3633.0215096919874</v>
      </c>
      <c r="L10" s="33">
        <f t="shared" si="0"/>
        <v>3613.0398913886816</v>
      </c>
      <c r="M10" s="33">
        <f t="shared" si="0"/>
        <v>3593.1681719860439</v>
      </c>
      <c r="N10" s="33">
        <f t="shared" si="0"/>
        <v>3573.4057470401208</v>
      </c>
      <c r="O10" s="33">
        <f t="shared" si="0"/>
        <v>3553.7520154314002</v>
      </c>
      <c r="P10" s="33">
        <f t="shared" si="0"/>
        <v>3534.2063793465277</v>
      </c>
      <c r="Q10" s="33">
        <f t="shared" si="0"/>
        <v>3514.7682442601217</v>
      </c>
      <c r="R10" s="33">
        <f t="shared" si="0"/>
        <v>3495.4370189166912</v>
      </c>
      <c r="S10" s="33">
        <f t="shared" si="0"/>
        <v>3476.2121153126495</v>
      </c>
      <c r="T10" s="33">
        <f t="shared" si="0"/>
        <v>3457.0929486784298</v>
      </c>
      <c r="U10" s="33">
        <f t="shared" si="0"/>
        <v>3438.0789374606984</v>
      </c>
      <c r="V10" s="33">
        <f t="shared" si="0"/>
        <v>3419.1695033046644</v>
      </c>
      <c r="W10" s="33">
        <f t="shared" si="0"/>
        <v>3400.3640710364889</v>
      </c>
      <c r="X10" s="33">
        <f t="shared" si="0"/>
        <v>3381.6620686457882</v>
      </c>
      <c r="Y10" s="33">
        <f t="shared" si="0"/>
        <v>3363.0629272682363</v>
      </c>
      <c r="Z10" s="33">
        <f t="shared" si="0"/>
        <v>3344.566081168261</v>
      </c>
      <c r="AA10" s="33">
        <f t="shared" si="0"/>
        <v>3326.1709677218355</v>
      </c>
      <c r="AC10" s="62">
        <v>3700</v>
      </c>
      <c r="AD10" s="40" t="s">
        <v>19</v>
      </c>
      <c r="AE10" s="40">
        <v>3853.0831499999999</v>
      </c>
      <c r="AF10" s="33">
        <f t="shared" si="4"/>
        <v>153.08314999999993</v>
      </c>
      <c r="AG10" s="33">
        <f t="shared" si="5"/>
        <v>76.021486999999979</v>
      </c>
      <c r="AH10" s="33">
        <f t="shared" si="6"/>
        <v>55.253368821499862</v>
      </c>
      <c r="AI10" s="33">
        <f t="shared" si="7"/>
        <v>34.599475292981424</v>
      </c>
      <c r="AJ10" s="33">
        <f t="shared" si="8"/>
        <v>14.059178178869843</v>
      </c>
      <c r="AK10" s="33">
        <f t="shared" si="9"/>
        <v>-6.3681473011138223</v>
      </c>
      <c r="AL10" s="33">
        <f t="shared" si="10"/>
        <v>-26.683122490957885</v>
      </c>
      <c r="AM10" s="33">
        <f t="shared" si="11"/>
        <v>-46.886365317257514</v>
      </c>
      <c r="AN10" s="33">
        <f t="shared" si="12"/>
        <v>-66.978490308012624</v>
      </c>
      <c r="AO10" s="33">
        <f t="shared" si="13"/>
        <v>-86.960108611318446</v>
      </c>
      <c r="AP10" s="33">
        <f t="shared" si="14"/>
        <v>-106.83182801395606</v>
      </c>
      <c r="AQ10" s="33">
        <f t="shared" si="15"/>
        <v>-126.59425295987921</v>
      </c>
      <c r="AR10" s="33">
        <f t="shared" si="16"/>
        <v>-146.2479845685998</v>
      </c>
      <c r="AS10" s="33">
        <f t="shared" si="17"/>
        <v>-165.79362065347232</v>
      </c>
      <c r="AT10" s="33">
        <f t="shared" si="18"/>
        <v>-185.23175573987828</v>
      </c>
      <c r="AU10" s="33">
        <f t="shared" si="19"/>
        <v>-204.56298108330884</v>
      </c>
      <c r="AV10" s="33">
        <f t="shared" si="20"/>
        <v>-223.78788468735047</v>
      </c>
      <c r="AW10" s="33">
        <f t="shared" si="21"/>
        <v>-242.90705132157018</v>
      </c>
      <c r="AX10" s="33">
        <f t="shared" si="22"/>
        <v>-261.9210625393016</v>
      </c>
      <c r="AY10" s="33">
        <f t="shared" si="23"/>
        <v>-280.83049669533557</v>
      </c>
      <c r="AZ10" s="33">
        <f t="shared" si="24"/>
        <v>-299.63592896351111</v>
      </c>
      <c r="BA10" s="33">
        <f t="shared" si="25"/>
        <v>-318.33793135421183</v>
      </c>
      <c r="BB10" s="33">
        <f t="shared" si="26"/>
        <v>-336.93707273176369</v>
      </c>
      <c r="BC10" s="33">
        <f t="shared" si="27"/>
        <v>-355.43391883173899</v>
      </c>
    </row>
    <row r="11" spans="1:55" x14ac:dyDescent="0.25">
      <c r="A11" s="62">
        <v>3750</v>
      </c>
      <c r="B11" s="40" t="s">
        <v>20</v>
      </c>
      <c r="C11" s="40">
        <v>4136.0699099999993</v>
      </c>
      <c r="D11" s="33">
        <f t="shared" si="1"/>
        <v>4053.3485117999994</v>
      </c>
      <c r="E11" s="33">
        <f t="shared" si="2"/>
        <v>4031.0550949850995</v>
      </c>
      <c r="F11" s="33">
        <f t="shared" si="3"/>
        <v>4008.8842919626813</v>
      </c>
      <c r="G11" s="33">
        <f t="shared" si="0"/>
        <v>3986.8354283568865</v>
      </c>
      <c r="H11" s="33">
        <f t="shared" si="0"/>
        <v>3964.9078335009235</v>
      </c>
      <c r="I11" s="33">
        <f t="shared" si="0"/>
        <v>3943.1008404166682</v>
      </c>
      <c r="J11" s="33">
        <f t="shared" si="0"/>
        <v>3921.4137857943765</v>
      </c>
      <c r="K11" s="33">
        <f t="shared" si="0"/>
        <v>3899.8460099725075</v>
      </c>
      <c r="L11" s="33">
        <f t="shared" si="0"/>
        <v>3878.3968569176586</v>
      </c>
      <c r="M11" s="33">
        <f t="shared" si="0"/>
        <v>3857.0656742046117</v>
      </c>
      <c r="N11" s="33">
        <f t="shared" si="0"/>
        <v>3835.8518129964864</v>
      </c>
      <c r="O11" s="33">
        <f t="shared" si="0"/>
        <v>3814.7546280250058</v>
      </c>
      <c r="P11" s="33">
        <f t="shared" si="0"/>
        <v>3793.7734775708682</v>
      </c>
      <c r="Q11" s="33">
        <f t="shared" si="0"/>
        <v>3772.9077234442284</v>
      </c>
      <c r="R11" s="33">
        <f t="shared" si="0"/>
        <v>3752.1567309652851</v>
      </c>
      <c r="S11" s="33">
        <f t="shared" si="0"/>
        <v>3731.5198689449762</v>
      </c>
      <c r="T11" s="33">
        <f t="shared" si="0"/>
        <v>3710.9965096657788</v>
      </c>
      <c r="U11" s="33">
        <f t="shared" si="0"/>
        <v>3690.5860288626172</v>
      </c>
      <c r="V11" s="33">
        <f t="shared" si="0"/>
        <v>3670.2878057038729</v>
      </c>
      <c r="W11" s="33">
        <f t="shared" si="0"/>
        <v>3650.1012227725014</v>
      </c>
      <c r="X11" s="33">
        <f t="shared" si="0"/>
        <v>3630.0256660472528</v>
      </c>
      <c r="Y11" s="33">
        <f t="shared" si="0"/>
        <v>3610.0605248839929</v>
      </c>
      <c r="Z11" s="33">
        <f t="shared" si="0"/>
        <v>3590.2051919971309</v>
      </c>
      <c r="AA11" s="33">
        <f t="shared" si="0"/>
        <v>3570.4590634411466</v>
      </c>
      <c r="AC11" s="62">
        <v>3750</v>
      </c>
      <c r="AD11" s="40" t="s">
        <v>20</v>
      </c>
      <c r="AE11" s="40">
        <v>4136.0699099999993</v>
      </c>
      <c r="AF11" s="33">
        <f t="shared" si="4"/>
        <v>386.06990999999925</v>
      </c>
      <c r="AG11" s="33">
        <f t="shared" si="5"/>
        <v>303.34851179999941</v>
      </c>
      <c r="AH11" s="33">
        <f t="shared" si="6"/>
        <v>281.05509498509946</v>
      </c>
      <c r="AI11" s="33">
        <f t="shared" si="7"/>
        <v>258.88429196268135</v>
      </c>
      <c r="AJ11" s="33">
        <f t="shared" si="8"/>
        <v>236.8354283568865</v>
      </c>
      <c r="AK11" s="33">
        <f t="shared" si="9"/>
        <v>214.90783350092352</v>
      </c>
      <c r="AL11" s="33">
        <f t="shared" si="10"/>
        <v>193.10084041666823</v>
      </c>
      <c r="AM11" s="33">
        <f t="shared" si="11"/>
        <v>171.41378579437651</v>
      </c>
      <c r="AN11" s="33">
        <f t="shared" si="12"/>
        <v>149.84600997250755</v>
      </c>
      <c r="AO11" s="33">
        <f t="shared" si="13"/>
        <v>128.39685691765862</v>
      </c>
      <c r="AP11" s="33">
        <f t="shared" si="14"/>
        <v>107.0656742046117</v>
      </c>
      <c r="AQ11" s="33">
        <f t="shared" si="15"/>
        <v>85.851812996486387</v>
      </c>
      <c r="AR11" s="33">
        <f t="shared" si="16"/>
        <v>64.754628025005786</v>
      </c>
      <c r="AS11" s="33">
        <f t="shared" si="17"/>
        <v>43.773477570868181</v>
      </c>
      <c r="AT11" s="33">
        <f t="shared" si="18"/>
        <v>22.907723444228395</v>
      </c>
      <c r="AU11" s="33">
        <f t="shared" si="19"/>
        <v>2.1567309652850781</v>
      </c>
      <c r="AV11" s="33">
        <f t="shared" si="20"/>
        <v>-18.480131055023776</v>
      </c>
      <c r="AW11" s="33">
        <f t="shared" si="21"/>
        <v>-39.003490334221169</v>
      </c>
      <c r="AX11" s="33">
        <f t="shared" si="22"/>
        <v>-59.413971137382759</v>
      </c>
      <c r="AY11" s="33">
        <f t="shared" si="23"/>
        <v>-79.712194296127109</v>
      </c>
      <c r="AZ11" s="33">
        <f t="shared" si="24"/>
        <v>-99.898777227498613</v>
      </c>
      <c r="BA11" s="33">
        <f t="shared" si="25"/>
        <v>-119.9743339527472</v>
      </c>
      <c r="BB11" s="33">
        <f t="shared" si="26"/>
        <v>-139.93947511600709</v>
      </c>
      <c r="BC11" s="33">
        <f t="shared" si="27"/>
        <v>-159.7948080028691</v>
      </c>
    </row>
    <row r="12" spans="1:55" x14ac:dyDescent="0.25">
      <c r="A12" s="62">
        <v>3985</v>
      </c>
      <c r="B12" s="40" t="s">
        <v>21</v>
      </c>
      <c r="C12" s="40">
        <v>4423.0925549999993</v>
      </c>
      <c r="D12" s="33">
        <f t="shared" si="1"/>
        <v>4334.6307038999994</v>
      </c>
      <c r="E12" s="33">
        <f t="shared" si="2"/>
        <v>4310.7902350285494</v>
      </c>
      <c r="F12" s="33">
        <f t="shared" si="3"/>
        <v>4287.0808887358926</v>
      </c>
      <c r="G12" s="33">
        <f t="shared" si="0"/>
        <v>4263.5019438478448</v>
      </c>
      <c r="H12" s="33">
        <f t="shared" si="0"/>
        <v>4240.0526831566813</v>
      </c>
      <c r="I12" s="33">
        <f t="shared" si="0"/>
        <v>4216.7323933993193</v>
      </c>
      <c r="J12" s="33">
        <f t="shared" si="0"/>
        <v>4193.5403652356226</v>
      </c>
      <c r="K12" s="33">
        <f t="shared" si="0"/>
        <v>4170.4758932268269</v>
      </c>
      <c r="L12" s="33">
        <f t="shared" si="0"/>
        <v>4147.5382758140795</v>
      </c>
      <c r="M12" s="33">
        <f t="shared" si="0"/>
        <v>4124.7268152971019</v>
      </c>
      <c r="N12" s="33">
        <f t="shared" si="0"/>
        <v>4102.0408178129683</v>
      </c>
      <c r="O12" s="33">
        <f t="shared" si="0"/>
        <v>4079.4795933149971</v>
      </c>
      <c r="P12" s="33">
        <f t="shared" si="0"/>
        <v>4057.0424555517648</v>
      </c>
      <c r="Q12" s="33">
        <f t="shared" si="0"/>
        <v>4034.7287220462299</v>
      </c>
      <c r="R12" s="33">
        <f t="shared" si="0"/>
        <v>4012.5377140749756</v>
      </c>
      <c r="S12" s="33">
        <f t="shared" si="0"/>
        <v>3990.4687566475632</v>
      </c>
      <c r="T12" s="33">
        <f t="shared" si="0"/>
        <v>3968.5211784860016</v>
      </c>
      <c r="U12" s="33">
        <f t="shared" si="0"/>
        <v>3946.6943120043288</v>
      </c>
      <c r="V12" s="33">
        <f t="shared" si="0"/>
        <v>3924.9874932883049</v>
      </c>
      <c r="W12" s="33">
        <f t="shared" si="0"/>
        <v>3903.400062075219</v>
      </c>
      <c r="X12" s="33">
        <f t="shared" si="0"/>
        <v>3881.9313617338053</v>
      </c>
      <c r="Y12" s="33">
        <f t="shared" si="0"/>
        <v>3860.5807392442694</v>
      </c>
      <c r="Z12" s="33">
        <f t="shared" si="0"/>
        <v>3839.3475451784257</v>
      </c>
      <c r="AA12" s="33">
        <f t="shared" si="0"/>
        <v>3818.2311336799444</v>
      </c>
      <c r="AC12" s="62">
        <v>3985</v>
      </c>
      <c r="AD12" s="40" t="s">
        <v>21</v>
      </c>
      <c r="AE12" s="40">
        <v>4423.0925549999993</v>
      </c>
      <c r="AF12" s="33">
        <f t="shared" si="4"/>
        <v>438.09255499999927</v>
      </c>
      <c r="AG12" s="33">
        <f t="shared" si="5"/>
        <v>349.63070389999939</v>
      </c>
      <c r="AH12" s="33">
        <f t="shared" si="6"/>
        <v>325.79023502854943</v>
      </c>
      <c r="AI12" s="33">
        <f t="shared" si="7"/>
        <v>302.08088873589259</v>
      </c>
      <c r="AJ12" s="33">
        <f t="shared" si="8"/>
        <v>278.50194384784481</v>
      </c>
      <c r="AK12" s="33">
        <f t="shared" si="9"/>
        <v>255.05268315668127</v>
      </c>
      <c r="AL12" s="33">
        <f t="shared" si="10"/>
        <v>231.73239339931934</v>
      </c>
      <c r="AM12" s="33">
        <f t="shared" si="11"/>
        <v>208.54036523562263</v>
      </c>
      <c r="AN12" s="33">
        <f t="shared" si="12"/>
        <v>185.47589322682688</v>
      </c>
      <c r="AO12" s="33">
        <f t="shared" si="13"/>
        <v>162.5382758140795</v>
      </c>
      <c r="AP12" s="33">
        <f t="shared" si="14"/>
        <v>139.72681529710189</v>
      </c>
      <c r="AQ12" s="33">
        <f t="shared" si="15"/>
        <v>117.04081781296827</v>
      </c>
      <c r="AR12" s="33">
        <f t="shared" si="16"/>
        <v>94.479593314997146</v>
      </c>
      <c r="AS12" s="33">
        <f t="shared" si="17"/>
        <v>72.04245555176476</v>
      </c>
      <c r="AT12" s="33">
        <f t="shared" si="18"/>
        <v>49.728722046229905</v>
      </c>
      <c r="AU12" s="33">
        <f t="shared" si="19"/>
        <v>27.537714074975611</v>
      </c>
      <c r="AV12" s="33">
        <f t="shared" si="20"/>
        <v>5.4687566475631684</v>
      </c>
      <c r="AW12" s="33">
        <f t="shared" si="21"/>
        <v>-16.478821513998355</v>
      </c>
      <c r="AX12" s="33">
        <f t="shared" si="22"/>
        <v>-38.305687995671178</v>
      </c>
      <c r="AY12" s="33">
        <f t="shared" si="23"/>
        <v>-60.012506711695096</v>
      </c>
      <c r="AZ12" s="33">
        <f t="shared" si="24"/>
        <v>-81.599937924780988</v>
      </c>
      <c r="BA12" s="33">
        <f t="shared" si="25"/>
        <v>-103.06863826619474</v>
      </c>
      <c r="BB12" s="33">
        <f t="shared" si="26"/>
        <v>-124.41926075573065</v>
      </c>
      <c r="BC12" s="33">
        <f t="shared" si="27"/>
        <v>-145.65245482157434</v>
      </c>
    </row>
    <row r="13" spans="1:55" x14ac:dyDescent="0.25">
      <c r="A13" s="62">
        <v>4100</v>
      </c>
      <c r="B13" s="40" t="s">
        <v>22</v>
      </c>
      <c r="C13" s="40">
        <v>4330.2672000000002</v>
      </c>
      <c r="D13" s="33">
        <f t="shared" si="1"/>
        <v>4243.6618560000006</v>
      </c>
      <c r="E13" s="33">
        <f t="shared" si="2"/>
        <v>4220.3217157920008</v>
      </c>
      <c r="F13" s="33">
        <f t="shared" si="3"/>
        <v>4197.1099463551445</v>
      </c>
      <c r="G13" s="33">
        <f t="shared" si="0"/>
        <v>4174.0258416501911</v>
      </c>
      <c r="H13" s="33">
        <f t="shared" si="0"/>
        <v>4151.0686995211154</v>
      </c>
      <c r="I13" s="33">
        <f t="shared" si="0"/>
        <v>4128.2378216737488</v>
      </c>
      <c r="J13" s="33">
        <f t="shared" si="0"/>
        <v>4105.5325136545434</v>
      </c>
      <c r="K13" s="33">
        <f t="shared" si="0"/>
        <v>4082.9520848294433</v>
      </c>
      <c r="L13" s="33">
        <f t="shared" si="0"/>
        <v>4060.4958483628811</v>
      </c>
      <c r="M13" s="33">
        <f t="shared" si="0"/>
        <v>4038.1631211968852</v>
      </c>
      <c r="N13" s="33">
        <f t="shared" si="0"/>
        <v>4015.9532240303024</v>
      </c>
      <c r="O13" s="33">
        <f t="shared" si="0"/>
        <v>3993.8654812981358</v>
      </c>
      <c r="P13" s="33">
        <f t="shared" si="0"/>
        <v>3971.8992211509963</v>
      </c>
      <c r="Q13" s="33">
        <f t="shared" si="0"/>
        <v>3950.0537754346656</v>
      </c>
      <c r="R13" s="33">
        <f t="shared" si="0"/>
        <v>3928.3284796697749</v>
      </c>
      <c r="S13" s="33">
        <f t="shared" si="0"/>
        <v>3906.7226730315911</v>
      </c>
      <c r="T13" s="33">
        <f t="shared" si="0"/>
        <v>3885.2356983299173</v>
      </c>
      <c r="U13" s="33">
        <f t="shared" si="0"/>
        <v>3863.8669019891026</v>
      </c>
      <c r="V13" s="33">
        <f t="shared" si="0"/>
        <v>3842.6156340281627</v>
      </c>
      <c r="W13" s="33">
        <f t="shared" si="0"/>
        <v>3821.4812480410078</v>
      </c>
      <c r="X13" s="33">
        <f t="shared" si="0"/>
        <v>3800.4631011767824</v>
      </c>
      <c r="Y13" s="33">
        <f t="shared" si="0"/>
        <v>3779.5605541203099</v>
      </c>
      <c r="Z13" s="33">
        <f t="shared" si="0"/>
        <v>3758.772971072648</v>
      </c>
      <c r="AA13" s="33">
        <f t="shared" si="0"/>
        <v>3738.0997197317483</v>
      </c>
      <c r="AC13" s="62">
        <v>4100</v>
      </c>
      <c r="AD13" s="40" t="s">
        <v>22</v>
      </c>
      <c r="AE13" s="40">
        <v>4330.2672000000002</v>
      </c>
      <c r="AF13" s="33">
        <f t="shared" si="4"/>
        <v>230.26720000000023</v>
      </c>
      <c r="AG13" s="33">
        <f t="shared" si="5"/>
        <v>143.66185600000063</v>
      </c>
      <c r="AH13" s="33">
        <f t="shared" si="6"/>
        <v>120.32171579200076</v>
      </c>
      <c r="AI13" s="33">
        <f t="shared" si="7"/>
        <v>97.10994635514453</v>
      </c>
      <c r="AJ13" s="33">
        <f t="shared" si="8"/>
        <v>74.025841650191069</v>
      </c>
      <c r="AK13" s="33">
        <f t="shared" si="9"/>
        <v>51.068699521115377</v>
      </c>
      <c r="AL13" s="33">
        <f t="shared" si="10"/>
        <v>28.23782167374884</v>
      </c>
      <c r="AM13" s="33">
        <f t="shared" si="11"/>
        <v>5.5325136545434361</v>
      </c>
      <c r="AN13" s="33">
        <f t="shared" si="12"/>
        <v>-17.047915170556735</v>
      </c>
      <c r="AO13" s="33">
        <f t="shared" si="13"/>
        <v>-39.504151637118866</v>
      </c>
      <c r="AP13" s="33">
        <f t="shared" si="14"/>
        <v>-61.836878803114814</v>
      </c>
      <c r="AQ13" s="33">
        <f t="shared" si="15"/>
        <v>-84.046775969697592</v>
      </c>
      <c r="AR13" s="33">
        <f t="shared" si="16"/>
        <v>-106.13451870186418</v>
      </c>
      <c r="AS13" s="33">
        <f t="shared" si="17"/>
        <v>-128.10077884900375</v>
      </c>
      <c r="AT13" s="33">
        <f t="shared" si="18"/>
        <v>-149.94622456533443</v>
      </c>
      <c r="AU13" s="33">
        <f t="shared" si="19"/>
        <v>-171.67152033022512</v>
      </c>
      <c r="AV13" s="33">
        <f t="shared" si="20"/>
        <v>-193.27732696840894</v>
      </c>
      <c r="AW13" s="33">
        <f t="shared" si="21"/>
        <v>-214.76430167008266</v>
      </c>
      <c r="AX13" s="33">
        <f t="shared" si="22"/>
        <v>-236.13309801089736</v>
      </c>
      <c r="AY13" s="33">
        <f t="shared" si="23"/>
        <v>-257.38436597183727</v>
      </c>
      <c r="AZ13" s="33">
        <f t="shared" si="24"/>
        <v>-278.5187519589922</v>
      </c>
      <c r="BA13" s="33">
        <f t="shared" si="25"/>
        <v>-299.5368988232176</v>
      </c>
      <c r="BB13" s="33">
        <f t="shared" si="26"/>
        <v>-320.43944587969008</v>
      </c>
      <c r="BC13" s="33">
        <f t="shared" si="27"/>
        <v>-341.22702892735197</v>
      </c>
    </row>
    <row r="14" spans="1:55" x14ac:dyDescent="0.25">
      <c r="A14" s="62">
        <v>4140</v>
      </c>
      <c r="B14" s="40" t="s">
        <v>23</v>
      </c>
      <c r="C14" s="40">
        <v>4577.6432099999993</v>
      </c>
      <c r="D14" s="33">
        <f t="shared" si="1"/>
        <v>4486.0903457999993</v>
      </c>
      <c r="E14" s="33">
        <f t="shared" si="2"/>
        <v>4461.4168488980995</v>
      </c>
      <c r="F14" s="33">
        <f t="shared" si="3"/>
        <v>4436.8790562291597</v>
      </c>
      <c r="G14" s="33">
        <f t="shared" si="0"/>
        <v>4412.476221419899</v>
      </c>
      <c r="H14" s="33">
        <f t="shared" si="0"/>
        <v>4388.2076022020892</v>
      </c>
      <c r="I14" s="33">
        <f t="shared" si="0"/>
        <v>4364.072460389978</v>
      </c>
      <c r="J14" s="33">
        <f t="shared" si="0"/>
        <v>4340.070061857833</v>
      </c>
      <c r="K14" s="33">
        <f t="shared" si="0"/>
        <v>4316.1996765176145</v>
      </c>
      <c r="L14" s="33">
        <f t="shared" si="0"/>
        <v>4292.4605782967674</v>
      </c>
      <c r="M14" s="33">
        <f t="shared" si="0"/>
        <v>4268.8520451161348</v>
      </c>
      <c r="N14" s="33">
        <f t="shared" si="0"/>
        <v>4245.3733588679961</v>
      </c>
      <c r="O14" s="33">
        <f t="shared" si="0"/>
        <v>4222.0238053942221</v>
      </c>
      <c r="P14" s="33">
        <f t="shared" si="0"/>
        <v>4198.802674464554</v>
      </c>
      <c r="Q14" s="33">
        <f t="shared" si="0"/>
        <v>4175.709259754999</v>
      </c>
      <c r="R14" s="33">
        <f t="shared" si="0"/>
        <v>4152.7428588263465</v>
      </c>
      <c r="S14" s="33">
        <f t="shared" si="0"/>
        <v>4129.9027731028018</v>
      </c>
      <c r="T14" s="33">
        <f t="shared" si="0"/>
        <v>4107.1883078507362</v>
      </c>
      <c r="U14" s="33">
        <f t="shared" si="0"/>
        <v>4084.5987721575571</v>
      </c>
      <c r="V14" s="33">
        <f t="shared" si="0"/>
        <v>4062.1334789106904</v>
      </c>
      <c r="W14" s="33">
        <f t="shared" si="0"/>
        <v>4039.7917447766818</v>
      </c>
      <c r="X14" s="33">
        <f t="shared" si="0"/>
        <v>4017.57289018041</v>
      </c>
      <c r="Y14" s="33">
        <f t="shared" si="0"/>
        <v>3995.4762392844177</v>
      </c>
      <c r="Z14" s="33">
        <f t="shared" si="0"/>
        <v>3973.5011199683536</v>
      </c>
      <c r="AA14" s="33">
        <f t="shared" si="0"/>
        <v>3951.6468638085275</v>
      </c>
      <c r="AC14" s="62">
        <v>4140</v>
      </c>
      <c r="AD14" s="40" t="s">
        <v>23</v>
      </c>
      <c r="AE14" s="40">
        <v>4577.6432099999993</v>
      </c>
      <c r="AF14" s="33">
        <f t="shared" si="4"/>
        <v>437.64320999999927</v>
      </c>
      <c r="AG14" s="33">
        <f t="shared" si="5"/>
        <v>346.09034579999934</v>
      </c>
      <c r="AH14" s="33">
        <f t="shared" si="6"/>
        <v>321.41684889809949</v>
      </c>
      <c r="AI14" s="33">
        <f t="shared" si="7"/>
        <v>296.87905622915969</v>
      </c>
      <c r="AJ14" s="33">
        <f t="shared" si="8"/>
        <v>272.47622141989905</v>
      </c>
      <c r="AK14" s="33">
        <f t="shared" si="9"/>
        <v>248.20760220208922</v>
      </c>
      <c r="AL14" s="33">
        <f t="shared" si="10"/>
        <v>224.072460389978</v>
      </c>
      <c r="AM14" s="33">
        <f t="shared" si="11"/>
        <v>200.07006185783302</v>
      </c>
      <c r="AN14" s="33">
        <f t="shared" si="12"/>
        <v>176.19967651761453</v>
      </c>
      <c r="AO14" s="33">
        <f t="shared" si="13"/>
        <v>152.46057829676738</v>
      </c>
      <c r="AP14" s="33">
        <f t="shared" si="14"/>
        <v>128.85204511613483</v>
      </c>
      <c r="AQ14" s="33">
        <f t="shared" si="15"/>
        <v>105.3733588679961</v>
      </c>
      <c r="AR14" s="33">
        <f t="shared" si="16"/>
        <v>82.023805394222109</v>
      </c>
      <c r="AS14" s="33">
        <f t="shared" si="17"/>
        <v>58.802674464554002</v>
      </c>
      <c r="AT14" s="33">
        <f t="shared" si="18"/>
        <v>35.709259754999039</v>
      </c>
      <c r="AU14" s="33">
        <f t="shared" si="19"/>
        <v>12.742858826346492</v>
      </c>
      <c r="AV14" s="33">
        <f t="shared" si="20"/>
        <v>-10.097226897198198</v>
      </c>
      <c r="AW14" s="33">
        <f t="shared" si="21"/>
        <v>-32.811692149263763</v>
      </c>
      <c r="AX14" s="33">
        <f t="shared" si="22"/>
        <v>-55.40122784244295</v>
      </c>
      <c r="AY14" s="33">
        <f t="shared" si="23"/>
        <v>-77.866521089309572</v>
      </c>
      <c r="AZ14" s="33">
        <f t="shared" si="24"/>
        <v>-100.20825522331825</v>
      </c>
      <c r="BA14" s="33">
        <f t="shared" si="25"/>
        <v>-122.42710981958999</v>
      </c>
      <c r="BB14" s="33">
        <f t="shared" si="26"/>
        <v>-144.52376071558228</v>
      </c>
      <c r="BC14" s="33">
        <f t="shared" si="27"/>
        <v>-166.49888003164642</v>
      </c>
    </row>
    <row r="15" spans="1:55" x14ac:dyDescent="0.25">
      <c r="A15" s="62">
        <v>4250</v>
      </c>
      <c r="B15" s="40" t="s">
        <v>24</v>
      </c>
      <c r="C15" s="40">
        <v>4401.4886999999999</v>
      </c>
      <c r="D15" s="33">
        <f t="shared" si="1"/>
        <v>4313.4589260000002</v>
      </c>
      <c r="E15" s="33">
        <f t="shared" si="2"/>
        <v>4289.7349019070007</v>
      </c>
      <c r="F15" s="33">
        <f t="shared" si="3"/>
        <v>4266.1413599465122</v>
      </c>
      <c r="G15" s="33">
        <f t="shared" si="0"/>
        <v>4242.6775824668066</v>
      </c>
      <c r="H15" s="33">
        <f t="shared" si="0"/>
        <v>4219.3428557632387</v>
      </c>
      <c r="I15" s="33">
        <f t="shared" si="0"/>
        <v>4196.1364700565409</v>
      </c>
      <c r="J15" s="33">
        <f t="shared" si="0"/>
        <v>4173.0577194712296</v>
      </c>
      <c r="K15" s="33">
        <f t="shared" si="0"/>
        <v>4150.1059020141374</v>
      </c>
      <c r="L15" s="33">
        <f t="shared" si="0"/>
        <v>4127.2803195530596</v>
      </c>
      <c r="M15" s="33">
        <f t="shared" si="0"/>
        <v>4104.5802777955178</v>
      </c>
      <c r="N15" s="33">
        <f t="shared" si="0"/>
        <v>4082.0050862676426</v>
      </c>
      <c r="O15" s="33">
        <f t="shared" si="0"/>
        <v>4059.5540582931703</v>
      </c>
      <c r="P15" s="33">
        <f t="shared" si="0"/>
        <v>4037.2265109725581</v>
      </c>
      <c r="Q15" s="33">
        <f t="shared" si="0"/>
        <v>4015.0217651622092</v>
      </c>
      <c r="R15" s="33">
        <f t="shared" si="0"/>
        <v>3992.9391454538172</v>
      </c>
      <c r="S15" s="33">
        <f t="shared" si="0"/>
        <v>3970.9779801538211</v>
      </c>
      <c r="T15" s="33">
        <f t="shared" si="0"/>
        <v>3949.1376012629753</v>
      </c>
      <c r="U15" s="33">
        <f t="shared" si="0"/>
        <v>3927.4173444560288</v>
      </c>
      <c r="V15" s="33">
        <f t="shared" si="0"/>
        <v>3905.8165490615206</v>
      </c>
      <c r="W15" s="33">
        <f t="shared" si="0"/>
        <v>3884.3345580416822</v>
      </c>
      <c r="X15" s="33">
        <f t="shared" si="0"/>
        <v>3862.9707179724528</v>
      </c>
      <c r="Y15" s="33">
        <f t="shared" si="0"/>
        <v>3841.7243790236043</v>
      </c>
      <c r="Z15" s="33">
        <f t="shared" si="0"/>
        <v>3820.5948949389744</v>
      </c>
      <c r="AA15" s="33">
        <f t="shared" si="0"/>
        <v>3799.5816230168102</v>
      </c>
      <c r="AC15" s="62">
        <v>4250</v>
      </c>
      <c r="AD15" s="40" t="s">
        <v>24</v>
      </c>
      <c r="AE15" s="40">
        <v>4401.4886999999999</v>
      </c>
      <c r="AF15" s="33">
        <f t="shared" si="4"/>
        <v>151.48869999999988</v>
      </c>
      <c r="AG15" s="33">
        <f t="shared" si="5"/>
        <v>63.458926000000247</v>
      </c>
      <c r="AH15" s="33">
        <f t="shared" si="6"/>
        <v>39.734901907000676</v>
      </c>
      <c r="AI15" s="33">
        <f t="shared" si="7"/>
        <v>16.141359946512239</v>
      </c>
      <c r="AJ15" s="33">
        <f t="shared" si="8"/>
        <v>-7.3224175331934021</v>
      </c>
      <c r="AK15" s="33">
        <f t="shared" si="9"/>
        <v>-30.657144236761269</v>
      </c>
      <c r="AL15" s="33">
        <f t="shared" si="10"/>
        <v>-53.863529943459071</v>
      </c>
      <c r="AM15" s="33">
        <f t="shared" si="11"/>
        <v>-76.942280528770425</v>
      </c>
      <c r="AN15" s="33">
        <f t="shared" si="12"/>
        <v>-99.894097985862572</v>
      </c>
      <c r="AO15" s="33">
        <f t="shared" si="13"/>
        <v>-122.7196804469404</v>
      </c>
      <c r="AP15" s="33">
        <f t="shared" si="14"/>
        <v>-145.41972220448224</v>
      </c>
      <c r="AQ15" s="33">
        <f t="shared" si="15"/>
        <v>-167.99491373235742</v>
      </c>
      <c r="AR15" s="33">
        <f t="shared" si="16"/>
        <v>-190.44594170682967</v>
      </c>
      <c r="AS15" s="33">
        <f t="shared" si="17"/>
        <v>-212.77348902744188</v>
      </c>
      <c r="AT15" s="33">
        <f t="shared" si="18"/>
        <v>-234.97823483779075</v>
      </c>
      <c r="AU15" s="33">
        <f t="shared" si="19"/>
        <v>-257.06085454618278</v>
      </c>
      <c r="AV15" s="33">
        <f t="shared" si="20"/>
        <v>-279.02201984617886</v>
      </c>
      <c r="AW15" s="33">
        <f t="shared" si="21"/>
        <v>-300.86239873702471</v>
      </c>
      <c r="AX15" s="33">
        <f t="shared" si="22"/>
        <v>-322.58265554397121</v>
      </c>
      <c r="AY15" s="33">
        <f t="shared" si="23"/>
        <v>-344.18345093847938</v>
      </c>
      <c r="AZ15" s="33">
        <f t="shared" si="24"/>
        <v>-365.66544195831784</v>
      </c>
      <c r="BA15" s="33">
        <f t="shared" si="25"/>
        <v>-387.0292820275472</v>
      </c>
      <c r="BB15" s="33">
        <f t="shared" si="26"/>
        <v>-408.27562097639566</v>
      </c>
      <c r="BC15" s="33">
        <f t="shared" si="27"/>
        <v>-429.40510506102555</v>
      </c>
    </row>
    <row r="16" spans="1:55" x14ac:dyDescent="0.25">
      <c r="A16" s="62">
        <v>4300</v>
      </c>
      <c r="B16" s="40" t="s">
        <v>25</v>
      </c>
      <c r="C16" s="40">
        <v>4246.4632349999993</v>
      </c>
      <c r="D16" s="33">
        <f t="shared" si="1"/>
        <v>4161.5339702999991</v>
      </c>
      <c r="E16" s="33">
        <f t="shared" si="2"/>
        <v>4138.6455334633492</v>
      </c>
      <c r="F16" s="33">
        <f t="shared" si="3"/>
        <v>4115.8829830293007</v>
      </c>
      <c r="G16" s="33">
        <f t="shared" si="0"/>
        <v>4093.2456266226395</v>
      </c>
      <c r="H16" s="33">
        <f t="shared" si="0"/>
        <v>4070.7327756762152</v>
      </c>
      <c r="I16" s="33">
        <f t="shared" si="0"/>
        <v>4048.3437454099958</v>
      </c>
      <c r="J16" s="33">
        <f t="shared" si="0"/>
        <v>4026.0778548102408</v>
      </c>
      <c r="K16" s="33">
        <f t="shared" si="0"/>
        <v>4003.9344266087846</v>
      </c>
      <c r="L16" s="33">
        <f t="shared" si="0"/>
        <v>3981.9127872624363</v>
      </c>
      <c r="M16" s="33">
        <f t="shared" si="0"/>
        <v>3960.0122669324928</v>
      </c>
      <c r="N16" s="33">
        <f t="shared" si="0"/>
        <v>3938.2321994643639</v>
      </c>
      <c r="O16" s="33">
        <f t="shared" si="0"/>
        <v>3916.57192236731</v>
      </c>
      <c r="P16" s="33">
        <f t="shared" si="0"/>
        <v>3895.03077679429</v>
      </c>
      <c r="Q16" s="33">
        <f t="shared" si="0"/>
        <v>3873.6081075219213</v>
      </c>
      <c r="R16" s="33">
        <f t="shared" si="0"/>
        <v>3852.3032629305508</v>
      </c>
      <c r="S16" s="33">
        <f t="shared" si="0"/>
        <v>3831.1155949844328</v>
      </c>
      <c r="T16" s="33">
        <f t="shared" si="0"/>
        <v>3810.0444592120184</v>
      </c>
      <c r="U16" s="33">
        <f t="shared" si="0"/>
        <v>3789.0892146863525</v>
      </c>
      <c r="V16" s="33">
        <f t="shared" si="0"/>
        <v>3768.2492240055776</v>
      </c>
      <c r="W16" s="33">
        <f t="shared" si="0"/>
        <v>3747.523853273547</v>
      </c>
      <c r="X16" s="33">
        <f t="shared" si="0"/>
        <v>3726.9124720805426</v>
      </c>
      <c r="Y16" s="33">
        <f t="shared" si="0"/>
        <v>3706.4144534840998</v>
      </c>
      <c r="Z16" s="33">
        <f t="shared" si="0"/>
        <v>3686.0291739899371</v>
      </c>
      <c r="AA16" s="33">
        <f t="shared" si="0"/>
        <v>3665.7560135329923</v>
      </c>
      <c r="AC16" s="62">
        <v>4300</v>
      </c>
      <c r="AD16" s="40" t="s">
        <v>25</v>
      </c>
      <c r="AE16" s="40">
        <v>4246.4632349999993</v>
      </c>
      <c r="AF16" s="33">
        <f t="shared" si="4"/>
        <v>-53.536765000000742</v>
      </c>
      <c r="AG16" s="33">
        <f t="shared" si="5"/>
        <v>-138.46602970000095</v>
      </c>
      <c r="AH16" s="33">
        <f t="shared" si="6"/>
        <v>-161.35446653665076</v>
      </c>
      <c r="AI16" s="33">
        <f t="shared" si="7"/>
        <v>-184.1170169706993</v>
      </c>
      <c r="AJ16" s="33">
        <f t="shared" si="8"/>
        <v>-206.75437337736048</v>
      </c>
      <c r="AK16" s="33">
        <f t="shared" si="9"/>
        <v>-229.26722432378483</v>
      </c>
      <c r="AL16" s="33">
        <f>I16-A16</f>
        <v>-251.65625459000421</v>
      </c>
      <c r="AM16" s="33">
        <f t="shared" si="11"/>
        <v>-273.92214518975925</v>
      </c>
      <c r="AN16" s="33">
        <f t="shared" si="12"/>
        <v>-296.06557339121537</v>
      </c>
      <c r="AO16" s="33">
        <f t="shared" si="13"/>
        <v>-318.08721273756373</v>
      </c>
      <c r="AP16" s="33">
        <f t="shared" si="14"/>
        <v>-339.98773306750718</v>
      </c>
      <c r="AQ16" s="33">
        <f t="shared" si="15"/>
        <v>-361.76780053563607</v>
      </c>
      <c r="AR16" s="33">
        <f t="shared" si="16"/>
        <v>-383.42807763269002</v>
      </c>
      <c r="AS16" s="33">
        <f t="shared" si="17"/>
        <v>-404.96922320571002</v>
      </c>
      <c r="AT16" s="33">
        <f t="shared" si="18"/>
        <v>-426.39189247807872</v>
      </c>
      <c r="AU16" s="33">
        <f t="shared" si="19"/>
        <v>-447.69673706944923</v>
      </c>
      <c r="AV16" s="33">
        <f t="shared" si="20"/>
        <v>-468.88440501556715</v>
      </c>
      <c r="AW16" s="33">
        <f t="shared" si="21"/>
        <v>-489.95554078798159</v>
      </c>
      <c r="AX16" s="33">
        <f t="shared" si="22"/>
        <v>-510.91078531364747</v>
      </c>
      <c r="AY16" s="33">
        <f t="shared" si="23"/>
        <v>-531.75077599442238</v>
      </c>
      <c r="AZ16" s="33">
        <f t="shared" si="24"/>
        <v>-552.47614672645295</v>
      </c>
      <c r="BA16" s="33">
        <f t="shared" si="25"/>
        <v>-573.08752791945744</v>
      </c>
      <c r="BB16" s="33">
        <f t="shared" si="26"/>
        <v>-593.58554651590021</v>
      </c>
      <c r="BC16" s="33">
        <f t="shared" si="27"/>
        <v>-613.97082601006286</v>
      </c>
    </row>
    <row r="18" spans="1:30" x14ac:dyDescent="0.25">
      <c r="B18" s="40" t="s">
        <v>14</v>
      </c>
      <c r="C18" s="33">
        <f>IF((ABS((C5-$A5)*0.23*C$2*0.65))&lt;80,80,ABS((C5-$A5)*0.23*C$2*0.65))</f>
        <v>80</v>
      </c>
      <c r="D18" s="33">
        <f t="shared" ref="D18:AA18" si="28">IF((ABS((D5-$A5)*0.23*D$2))&lt;80,80,ABS((D5-$A5)*0.23*D$2))</f>
        <v>80</v>
      </c>
      <c r="E18" s="33">
        <f t="shared" si="28"/>
        <v>80</v>
      </c>
      <c r="F18" s="33">
        <f t="shared" si="28"/>
        <v>80</v>
      </c>
      <c r="G18" s="33">
        <f t="shared" si="28"/>
        <v>80</v>
      </c>
      <c r="H18" s="33">
        <f t="shared" si="28"/>
        <v>80</v>
      </c>
      <c r="I18" s="33">
        <f t="shared" si="28"/>
        <v>80</v>
      </c>
      <c r="J18" s="33">
        <f t="shared" si="28"/>
        <v>80</v>
      </c>
      <c r="K18" s="33">
        <f t="shared" si="28"/>
        <v>80</v>
      </c>
      <c r="L18" s="33">
        <f t="shared" si="28"/>
        <v>80</v>
      </c>
      <c r="M18" s="33">
        <f t="shared" si="28"/>
        <v>80</v>
      </c>
      <c r="N18" s="33">
        <f t="shared" si="28"/>
        <v>80</v>
      </c>
      <c r="O18" s="33">
        <f t="shared" si="28"/>
        <v>80</v>
      </c>
      <c r="P18" s="33">
        <f t="shared" si="28"/>
        <v>80</v>
      </c>
      <c r="Q18" s="33">
        <f t="shared" si="28"/>
        <v>80</v>
      </c>
      <c r="R18" s="33">
        <f t="shared" si="28"/>
        <v>80</v>
      </c>
      <c r="S18" s="33">
        <f t="shared" si="28"/>
        <v>80</v>
      </c>
      <c r="T18" s="33">
        <f t="shared" si="28"/>
        <v>80</v>
      </c>
      <c r="U18" s="33">
        <f t="shared" si="28"/>
        <v>80</v>
      </c>
      <c r="V18" s="33">
        <f t="shared" si="28"/>
        <v>83.374159364425253</v>
      </c>
      <c r="W18" s="33">
        <f t="shared" si="28"/>
        <v>87.537911487920908</v>
      </c>
      <c r="X18" s="33">
        <f t="shared" si="28"/>
        <v>91.678762974737339</v>
      </c>
      <c r="Y18" s="33">
        <f t="shared" si="28"/>
        <v>95.796839778376267</v>
      </c>
      <c r="Z18" s="33">
        <f t="shared" si="28"/>
        <v>99.892267159595249</v>
      </c>
      <c r="AA18" s="33">
        <f t="shared" si="28"/>
        <v>103.96516969021746</v>
      </c>
      <c r="AD18" s="136" t="s">
        <v>153</v>
      </c>
    </row>
    <row r="19" spans="1:30" x14ac:dyDescent="0.25">
      <c r="B19" s="40" t="s">
        <v>15</v>
      </c>
      <c r="C19" s="33">
        <f t="shared" ref="C19:D29" si="29">IF((ABS((C6-$A6)*0.23*C$2*0.65))&lt;80,80,ABS((C6-$A6)*0.23*C$2*0.65))</f>
        <v>80</v>
      </c>
      <c r="D19" s="33">
        <f t="shared" ref="D19:AA19" si="30">IF((ABS((D6-$A6)*0.23*D$2))&lt;80,80,ABS((D6-$A6)*0.23*D$2))</f>
        <v>80</v>
      </c>
      <c r="E19" s="33">
        <f t="shared" si="30"/>
        <v>80</v>
      </c>
      <c r="F19" s="33">
        <f t="shared" si="30"/>
        <v>80</v>
      </c>
      <c r="G19" s="33">
        <f t="shared" si="30"/>
        <v>80</v>
      </c>
      <c r="H19" s="33">
        <f t="shared" si="30"/>
        <v>80</v>
      </c>
      <c r="I19" s="33">
        <f t="shared" si="30"/>
        <v>80</v>
      </c>
      <c r="J19" s="33">
        <f t="shared" si="30"/>
        <v>80</v>
      </c>
      <c r="K19" s="33">
        <f t="shared" si="30"/>
        <v>80</v>
      </c>
      <c r="L19" s="33">
        <f t="shared" si="30"/>
        <v>80</v>
      </c>
      <c r="M19" s="33">
        <f t="shared" si="30"/>
        <v>80</v>
      </c>
      <c r="N19" s="33">
        <f t="shared" si="30"/>
        <v>80.380670406303778</v>
      </c>
      <c r="O19" s="33">
        <f t="shared" si="30"/>
        <v>84.509654219069134</v>
      </c>
      <c r="P19" s="33">
        <f t="shared" si="30"/>
        <v>88.615928620864281</v>
      </c>
      <c r="Q19" s="33">
        <f t="shared" si="30"/>
        <v>92.699618513449522</v>
      </c>
      <c r="R19" s="33">
        <f t="shared" si="30"/>
        <v>96.760848111625577</v>
      </c>
      <c r="S19" s="33">
        <f t="shared" si="30"/>
        <v>100.79974094701164</v>
      </c>
      <c r="T19" s="33">
        <f t="shared" si="30"/>
        <v>104.81641987180306</v>
      </c>
      <c r="U19" s="33">
        <f t="shared" si="30"/>
        <v>108.8110070625082</v>
      </c>
      <c r="V19" s="33">
        <f t="shared" si="30"/>
        <v>112.78362402366439</v>
      </c>
      <c r="W19" s="33">
        <f t="shared" si="30"/>
        <v>116.73439159153419</v>
      </c>
      <c r="X19" s="33">
        <f t="shared" si="30"/>
        <v>120.66342993778076</v>
      </c>
      <c r="Y19" s="33">
        <f t="shared" si="30"/>
        <v>124.57085857312296</v>
      </c>
      <c r="Z19" s="33">
        <f t="shared" si="30"/>
        <v>128.45679635097073</v>
      </c>
      <c r="AA19" s="33">
        <f t="shared" si="30"/>
        <v>132.3213614710404</v>
      </c>
      <c r="AD19">
        <v>0.74373</v>
      </c>
    </row>
    <row r="20" spans="1:30" x14ac:dyDescent="0.25">
      <c r="B20" s="40" t="s">
        <v>16</v>
      </c>
      <c r="C20" s="33">
        <f t="shared" si="29"/>
        <v>80</v>
      </c>
      <c r="D20" s="33">
        <f t="shared" ref="D20:AA20" si="31">IF((ABS((D7-$A7)*0.23*D$2))&lt;80,80,ABS((D7-$A7)*0.23*D$2))</f>
        <v>80</v>
      </c>
      <c r="E20" s="33">
        <f t="shared" si="31"/>
        <v>80</v>
      </c>
      <c r="F20" s="33">
        <f t="shared" si="31"/>
        <v>80</v>
      </c>
      <c r="G20" s="33">
        <f t="shared" si="31"/>
        <v>80</v>
      </c>
      <c r="H20" s="33">
        <f t="shared" si="31"/>
        <v>80</v>
      </c>
      <c r="I20" s="33">
        <f t="shared" si="31"/>
        <v>80</v>
      </c>
      <c r="J20" s="33">
        <f t="shared" si="31"/>
        <v>80</v>
      </c>
      <c r="K20" s="33">
        <f t="shared" si="31"/>
        <v>80</v>
      </c>
      <c r="L20" s="33">
        <f t="shared" si="31"/>
        <v>80</v>
      </c>
      <c r="M20" s="33">
        <f t="shared" si="31"/>
        <v>80</v>
      </c>
      <c r="N20" s="33">
        <f t="shared" si="31"/>
        <v>80</v>
      </c>
      <c r="O20" s="33">
        <f t="shared" si="31"/>
        <v>80</v>
      </c>
      <c r="P20" s="33">
        <f t="shared" si="31"/>
        <v>80</v>
      </c>
      <c r="Q20" s="33">
        <f t="shared" si="31"/>
        <v>80</v>
      </c>
      <c r="R20" s="33">
        <f t="shared" si="31"/>
        <v>80</v>
      </c>
      <c r="S20" s="33">
        <f t="shared" si="31"/>
        <v>80</v>
      </c>
      <c r="T20" s="33">
        <f t="shared" si="31"/>
        <v>80</v>
      </c>
      <c r="U20" s="33">
        <f t="shared" si="31"/>
        <v>80</v>
      </c>
      <c r="V20" s="33">
        <f t="shared" si="31"/>
        <v>80</v>
      </c>
      <c r="W20" s="33">
        <f t="shared" si="31"/>
        <v>80</v>
      </c>
      <c r="X20" s="33">
        <f t="shared" si="31"/>
        <v>80</v>
      </c>
      <c r="Y20" s="33">
        <f t="shared" si="31"/>
        <v>80</v>
      </c>
      <c r="Z20" s="33">
        <f t="shared" si="31"/>
        <v>80.34175096559828</v>
      </c>
      <c r="AA20" s="33">
        <f t="shared" si="31"/>
        <v>84.385561335287505</v>
      </c>
      <c r="AD20" s="40" t="s">
        <v>14</v>
      </c>
    </row>
    <row r="21" spans="1:30" x14ac:dyDescent="0.25">
      <c r="B21" s="40" t="s">
        <v>17</v>
      </c>
      <c r="C21" s="33">
        <f t="shared" si="29"/>
        <v>80</v>
      </c>
      <c r="D21" s="33">
        <f t="shared" ref="D21:AA21" si="32">IF((ABS((D8-$A8)*0.23*D$2))&lt;80,80,ABS((D8-$A8)*0.23*D$2))</f>
        <v>80</v>
      </c>
      <c r="E21" s="33">
        <f t="shared" si="32"/>
        <v>80</v>
      </c>
      <c r="F21" s="33">
        <f t="shared" si="32"/>
        <v>80</v>
      </c>
      <c r="G21" s="33">
        <f t="shared" si="32"/>
        <v>83.202675689388741</v>
      </c>
      <c r="H21" s="33">
        <f t="shared" si="32"/>
        <v>103.68868316771648</v>
      </c>
      <c r="I21" s="33">
        <f t="shared" si="32"/>
        <v>107.513005410294</v>
      </c>
      <c r="J21" s="33">
        <f t="shared" si="32"/>
        <v>111.31629388053743</v>
      </c>
      <c r="K21" s="33">
        <f t="shared" si="32"/>
        <v>115.09866426419448</v>
      </c>
      <c r="L21" s="33">
        <f t="shared" si="32"/>
        <v>118.86023161074137</v>
      </c>
      <c r="M21" s="33">
        <f t="shared" si="32"/>
        <v>122.60111033688234</v>
      </c>
      <c r="N21" s="33">
        <f t="shared" si="32"/>
        <v>126.32141423002949</v>
      </c>
      <c r="O21" s="33">
        <f t="shared" si="32"/>
        <v>130.02125645176432</v>
      </c>
      <c r="P21" s="33">
        <f t="shared" si="32"/>
        <v>133.70074954127963</v>
      </c>
      <c r="Q21" s="33">
        <f t="shared" si="32"/>
        <v>137.36000541880259</v>
      </c>
      <c r="R21" s="33">
        <f t="shared" si="32"/>
        <v>140.99913538899915</v>
      </c>
      <c r="S21" s="33">
        <f t="shared" si="32"/>
        <v>144.61825014435962</v>
      </c>
      <c r="T21" s="33">
        <f t="shared" si="32"/>
        <v>148.21745976856565</v>
      </c>
      <c r="U21" s="33">
        <f t="shared" si="32"/>
        <v>151.79687373983853</v>
      </c>
      <c r="V21" s="33">
        <f t="shared" si="32"/>
        <v>155.35660093426938</v>
      </c>
      <c r="W21" s="33">
        <f t="shared" si="32"/>
        <v>158.89674962913091</v>
      </c>
      <c r="X21" s="33">
        <f t="shared" si="32"/>
        <v>162.41742750617072</v>
      </c>
      <c r="Y21" s="33">
        <f t="shared" si="32"/>
        <v>165.91874165488679</v>
      </c>
      <c r="Z21" s="33">
        <f t="shared" si="32"/>
        <v>169.40079857578493</v>
      </c>
      <c r="AA21" s="33">
        <f t="shared" si="32"/>
        <v>172.86370418361815</v>
      </c>
      <c r="AD21" s="40" t="s">
        <v>15</v>
      </c>
    </row>
    <row r="22" spans="1:30" x14ac:dyDescent="0.25">
      <c r="B22" s="40" t="s">
        <v>18</v>
      </c>
      <c r="C22" s="33">
        <f t="shared" si="29"/>
        <v>80</v>
      </c>
      <c r="D22" s="33">
        <f t="shared" ref="D22:AA22" si="33">IF((ABS((D9-$A9)*0.23*D$2))&lt;80,80,ABS((D9-$A9)*0.23*D$2))</f>
        <v>80</v>
      </c>
      <c r="E22" s="33">
        <f t="shared" si="33"/>
        <v>80</v>
      </c>
      <c r="F22" s="33">
        <f t="shared" si="33"/>
        <v>80</v>
      </c>
      <c r="G22" s="33">
        <f t="shared" si="33"/>
        <v>80</v>
      </c>
      <c r="H22" s="33">
        <f t="shared" si="33"/>
        <v>80</v>
      </c>
      <c r="I22" s="33">
        <f t="shared" si="33"/>
        <v>80</v>
      </c>
      <c r="J22" s="33">
        <f t="shared" si="33"/>
        <v>80</v>
      </c>
      <c r="K22" s="33">
        <f t="shared" si="33"/>
        <v>80</v>
      </c>
      <c r="L22" s="33">
        <f t="shared" si="33"/>
        <v>80</v>
      </c>
      <c r="M22" s="33">
        <f t="shared" si="33"/>
        <v>80</v>
      </c>
      <c r="N22" s="33">
        <f t="shared" si="33"/>
        <v>80</v>
      </c>
      <c r="O22" s="33">
        <f t="shared" si="33"/>
        <v>80</v>
      </c>
      <c r="P22" s="33">
        <f t="shared" si="33"/>
        <v>80</v>
      </c>
      <c r="Q22" s="33">
        <f t="shared" si="33"/>
        <v>80</v>
      </c>
      <c r="R22" s="33">
        <f t="shared" si="33"/>
        <v>80</v>
      </c>
      <c r="S22" s="33">
        <f t="shared" si="33"/>
        <v>80</v>
      </c>
      <c r="T22" s="33">
        <f t="shared" si="33"/>
        <v>80</v>
      </c>
      <c r="U22" s="33">
        <f t="shared" si="33"/>
        <v>82.769666992097385</v>
      </c>
      <c r="V22" s="33">
        <f t="shared" si="33"/>
        <v>86.754583823640843</v>
      </c>
      <c r="W22" s="33">
        <f t="shared" si="33"/>
        <v>90.717583612610781</v>
      </c>
      <c r="X22" s="33">
        <f t="shared" si="33"/>
        <v>94.658786902741397</v>
      </c>
      <c r="Y22" s="33">
        <f t="shared" si="33"/>
        <v>98.578313574776331</v>
      </c>
      <c r="Z22" s="33">
        <f t="shared" si="33"/>
        <v>102.47628285011507</v>
      </c>
      <c r="AA22" s="33">
        <f t="shared" si="33"/>
        <v>106.3528132944394</v>
      </c>
      <c r="AD22" s="40" t="s">
        <v>16</v>
      </c>
    </row>
    <row r="23" spans="1:30" x14ac:dyDescent="0.25">
      <c r="B23" s="40" t="s">
        <v>19</v>
      </c>
      <c r="C23" s="33">
        <f t="shared" si="29"/>
        <v>80</v>
      </c>
      <c r="D23" s="33">
        <f t="shared" ref="D23:AA23" si="34">IF((ABS((D10-$A10)*0.23*D$2))&lt;80,80,ABS((D10-$A10)*0.23*D$2))</f>
        <v>80</v>
      </c>
      <c r="E23" s="33">
        <f t="shared" si="34"/>
        <v>80</v>
      </c>
      <c r="F23" s="33">
        <f t="shared" si="34"/>
        <v>80</v>
      </c>
      <c r="G23" s="33">
        <f t="shared" si="34"/>
        <v>80</v>
      </c>
      <c r="H23" s="33">
        <f t="shared" si="34"/>
        <v>80</v>
      </c>
      <c r="I23" s="33">
        <f t="shared" si="34"/>
        <v>80</v>
      </c>
      <c r="J23" s="33">
        <f t="shared" si="34"/>
        <v>80</v>
      </c>
      <c r="K23" s="33">
        <f t="shared" si="34"/>
        <v>80</v>
      </c>
      <c r="L23" s="33">
        <f t="shared" si="34"/>
        <v>80</v>
      </c>
      <c r="M23" s="33">
        <f t="shared" si="34"/>
        <v>80</v>
      </c>
      <c r="N23" s="33">
        <f t="shared" si="34"/>
        <v>80</v>
      </c>
      <c r="O23" s="33">
        <f t="shared" si="34"/>
        <v>80</v>
      </c>
      <c r="P23" s="33">
        <f t="shared" si="34"/>
        <v>80</v>
      </c>
      <c r="Q23" s="33">
        <f t="shared" si="34"/>
        <v>80</v>
      </c>
      <c r="R23" s="33">
        <f t="shared" si="34"/>
        <v>80</v>
      </c>
      <c r="S23" s="33">
        <f t="shared" si="34"/>
        <v>80</v>
      </c>
      <c r="T23" s="33">
        <f t="shared" si="34"/>
        <v>80</v>
      </c>
      <c r="U23" s="33">
        <f t="shared" si="34"/>
        <v>80</v>
      </c>
      <c r="V23" s="33">
        <f t="shared" si="34"/>
        <v>80</v>
      </c>
      <c r="W23" s="33">
        <f t="shared" si="34"/>
        <v>80</v>
      </c>
      <c r="X23" s="33">
        <f t="shared" si="34"/>
        <v>80</v>
      </c>
      <c r="Y23" s="33">
        <f t="shared" si="34"/>
        <v>80</v>
      </c>
      <c r="Z23" s="33">
        <f t="shared" si="34"/>
        <v>80</v>
      </c>
      <c r="AA23" s="33">
        <f t="shared" si="34"/>
        <v>80</v>
      </c>
      <c r="AD23" s="40" t="s">
        <v>17</v>
      </c>
    </row>
    <row r="24" spans="1:30" x14ac:dyDescent="0.25">
      <c r="B24" s="40" t="s">
        <v>20</v>
      </c>
      <c r="C24" s="33">
        <f t="shared" si="29"/>
        <v>80</v>
      </c>
      <c r="D24" s="33">
        <f t="shared" ref="D24:AA24" si="35">IF((ABS((D11-$A11)*0.23*D$2))&lt;80,80,ABS((D11-$A11)*0.23*D$2))</f>
        <v>80</v>
      </c>
      <c r="E24" s="33">
        <f t="shared" si="35"/>
        <v>80</v>
      </c>
      <c r="F24" s="33">
        <f t="shared" si="35"/>
        <v>80</v>
      </c>
      <c r="G24" s="33">
        <f t="shared" si="35"/>
        <v>80</v>
      </c>
      <c r="H24" s="33">
        <f t="shared" si="35"/>
        <v>80</v>
      </c>
      <c r="I24" s="33">
        <f t="shared" si="35"/>
        <v>80</v>
      </c>
      <c r="J24" s="33">
        <f t="shared" si="35"/>
        <v>80</v>
      </c>
      <c r="K24" s="33">
        <f t="shared" si="35"/>
        <v>80</v>
      </c>
      <c r="L24" s="33">
        <f t="shared" si="35"/>
        <v>80</v>
      </c>
      <c r="M24" s="33">
        <f t="shared" si="35"/>
        <v>80</v>
      </c>
      <c r="N24" s="33">
        <f t="shared" si="35"/>
        <v>80</v>
      </c>
      <c r="O24" s="33">
        <f t="shared" si="35"/>
        <v>80</v>
      </c>
      <c r="P24" s="33">
        <f t="shared" si="35"/>
        <v>80</v>
      </c>
      <c r="Q24" s="33">
        <f t="shared" si="35"/>
        <v>80</v>
      </c>
      <c r="R24" s="33">
        <f t="shared" si="35"/>
        <v>80</v>
      </c>
      <c r="S24" s="33">
        <f t="shared" si="35"/>
        <v>80</v>
      </c>
      <c r="T24" s="33">
        <f t="shared" si="35"/>
        <v>80</v>
      </c>
      <c r="U24" s="33">
        <f t="shared" si="35"/>
        <v>80</v>
      </c>
      <c r="V24" s="33">
        <f t="shared" si="35"/>
        <v>80</v>
      </c>
      <c r="W24" s="33">
        <f t="shared" si="35"/>
        <v>80</v>
      </c>
      <c r="X24" s="33">
        <f t="shared" si="35"/>
        <v>80</v>
      </c>
      <c r="Y24" s="33">
        <f t="shared" si="35"/>
        <v>80</v>
      </c>
      <c r="Z24" s="33">
        <f t="shared" si="35"/>
        <v>80</v>
      </c>
      <c r="AA24" s="33">
        <f t="shared" si="35"/>
        <v>80</v>
      </c>
      <c r="AD24" s="40" t="s">
        <v>18</v>
      </c>
    </row>
    <row r="25" spans="1:30" x14ac:dyDescent="0.25">
      <c r="B25" s="40" t="s">
        <v>21</v>
      </c>
      <c r="C25" s="33">
        <f t="shared" si="29"/>
        <v>80</v>
      </c>
      <c r="D25" s="33">
        <f t="shared" ref="D25:AA25" si="36">IF((ABS((D12-$A12)*0.23*D$2))&lt;80,80,ABS((D12-$A12)*0.23*D$2))</f>
        <v>80</v>
      </c>
      <c r="E25" s="33">
        <f t="shared" si="36"/>
        <v>80</v>
      </c>
      <c r="F25" s="33">
        <f t="shared" si="36"/>
        <v>80</v>
      </c>
      <c r="G25" s="33">
        <f t="shared" si="36"/>
        <v>80</v>
      </c>
      <c r="H25" s="33">
        <f t="shared" si="36"/>
        <v>80</v>
      </c>
      <c r="I25" s="33">
        <f t="shared" si="36"/>
        <v>80</v>
      </c>
      <c r="J25" s="33">
        <f t="shared" si="36"/>
        <v>80</v>
      </c>
      <c r="K25" s="33">
        <f t="shared" si="36"/>
        <v>80</v>
      </c>
      <c r="L25" s="33">
        <f t="shared" si="36"/>
        <v>80</v>
      </c>
      <c r="M25" s="33">
        <f t="shared" si="36"/>
        <v>80</v>
      </c>
      <c r="N25" s="33">
        <f t="shared" si="36"/>
        <v>80</v>
      </c>
      <c r="O25" s="33">
        <f t="shared" si="36"/>
        <v>80</v>
      </c>
      <c r="P25" s="33">
        <f t="shared" si="36"/>
        <v>80</v>
      </c>
      <c r="Q25" s="33">
        <f t="shared" si="36"/>
        <v>80</v>
      </c>
      <c r="R25" s="33">
        <f t="shared" si="36"/>
        <v>80</v>
      </c>
      <c r="S25" s="33">
        <f t="shared" si="36"/>
        <v>80</v>
      </c>
      <c r="T25" s="33">
        <f t="shared" si="36"/>
        <v>80</v>
      </c>
      <c r="U25" s="33">
        <f t="shared" si="36"/>
        <v>80</v>
      </c>
      <c r="V25" s="33">
        <f t="shared" si="36"/>
        <v>80</v>
      </c>
      <c r="W25" s="33">
        <f t="shared" si="36"/>
        <v>80</v>
      </c>
      <c r="X25" s="33">
        <f t="shared" si="36"/>
        <v>80</v>
      </c>
      <c r="Y25" s="33">
        <f t="shared" si="36"/>
        <v>80</v>
      </c>
      <c r="Z25" s="33">
        <f t="shared" si="36"/>
        <v>80</v>
      </c>
      <c r="AA25" s="33">
        <f t="shared" si="36"/>
        <v>80</v>
      </c>
      <c r="AD25" s="40" t="s">
        <v>19</v>
      </c>
    </row>
    <row r="26" spans="1:30" x14ac:dyDescent="0.25">
      <c r="B26" s="40" t="s">
        <v>22</v>
      </c>
      <c r="C26" s="33">
        <f t="shared" si="29"/>
        <v>80</v>
      </c>
      <c r="D26" s="33">
        <f t="shared" ref="D26:AA26" si="37">IF((ABS((D13-$A13)*0.23*D$2))&lt;80,80,ABS((D13-$A13)*0.23*D$2))</f>
        <v>80</v>
      </c>
      <c r="E26" s="33">
        <f t="shared" si="37"/>
        <v>80</v>
      </c>
      <c r="F26" s="33">
        <f t="shared" si="37"/>
        <v>80</v>
      </c>
      <c r="G26" s="33">
        <f t="shared" si="37"/>
        <v>80</v>
      </c>
      <c r="H26" s="33">
        <f t="shared" si="37"/>
        <v>80</v>
      </c>
      <c r="I26" s="33">
        <f t="shared" si="37"/>
        <v>80</v>
      </c>
      <c r="J26" s="33">
        <f t="shared" si="37"/>
        <v>80</v>
      </c>
      <c r="K26" s="33">
        <f t="shared" si="37"/>
        <v>80</v>
      </c>
      <c r="L26" s="33">
        <f t="shared" si="37"/>
        <v>80</v>
      </c>
      <c r="M26" s="33">
        <f t="shared" si="37"/>
        <v>80</v>
      </c>
      <c r="N26" s="33">
        <f t="shared" si="37"/>
        <v>80</v>
      </c>
      <c r="O26" s="33">
        <f t="shared" si="37"/>
        <v>80</v>
      </c>
      <c r="P26" s="33">
        <f t="shared" si="37"/>
        <v>80</v>
      </c>
      <c r="Q26" s="33">
        <f t="shared" si="37"/>
        <v>80</v>
      </c>
      <c r="R26" s="33">
        <f t="shared" si="37"/>
        <v>80</v>
      </c>
      <c r="S26" s="33">
        <f t="shared" si="37"/>
        <v>80</v>
      </c>
      <c r="T26" s="33">
        <f t="shared" si="37"/>
        <v>80</v>
      </c>
      <c r="U26" s="33">
        <f t="shared" si="37"/>
        <v>80</v>
      </c>
      <c r="V26" s="33">
        <f t="shared" si="37"/>
        <v>80</v>
      </c>
      <c r="W26" s="33">
        <f t="shared" si="37"/>
        <v>80</v>
      </c>
      <c r="X26" s="33">
        <f t="shared" si="37"/>
        <v>80</v>
      </c>
      <c r="Y26" s="33">
        <f t="shared" si="37"/>
        <v>80</v>
      </c>
      <c r="Z26" s="33">
        <f t="shared" si="37"/>
        <v>80</v>
      </c>
      <c r="AA26" s="33">
        <f t="shared" si="37"/>
        <v>80</v>
      </c>
      <c r="AD26" s="40" t="s">
        <v>20</v>
      </c>
    </row>
    <row r="27" spans="1:30" x14ac:dyDescent="0.25">
      <c r="B27" s="40" t="s">
        <v>23</v>
      </c>
      <c r="C27" s="33">
        <f t="shared" si="29"/>
        <v>80</v>
      </c>
      <c r="D27" s="33">
        <f t="shared" ref="D27:AA27" si="38">IF((ABS((D14-$A14)*0.23*D$2))&lt;80,80,ABS((D14-$A14)*0.23*D$2))</f>
        <v>80</v>
      </c>
      <c r="E27" s="33">
        <f t="shared" si="38"/>
        <v>80</v>
      </c>
      <c r="F27" s="33">
        <f t="shared" si="38"/>
        <v>80</v>
      </c>
      <c r="G27" s="33">
        <f t="shared" si="38"/>
        <v>80</v>
      </c>
      <c r="H27" s="33">
        <f t="shared" si="38"/>
        <v>80</v>
      </c>
      <c r="I27" s="33">
        <f t="shared" si="38"/>
        <v>80</v>
      </c>
      <c r="J27" s="33">
        <f t="shared" si="38"/>
        <v>80</v>
      </c>
      <c r="K27" s="33">
        <f t="shared" si="38"/>
        <v>80</v>
      </c>
      <c r="L27" s="33">
        <f t="shared" si="38"/>
        <v>80</v>
      </c>
      <c r="M27" s="33">
        <f t="shared" si="38"/>
        <v>80</v>
      </c>
      <c r="N27" s="33">
        <f t="shared" si="38"/>
        <v>80</v>
      </c>
      <c r="O27" s="33">
        <f t="shared" si="38"/>
        <v>80</v>
      </c>
      <c r="P27" s="33">
        <f t="shared" si="38"/>
        <v>80</v>
      </c>
      <c r="Q27" s="33">
        <f t="shared" si="38"/>
        <v>80</v>
      </c>
      <c r="R27" s="33">
        <f t="shared" si="38"/>
        <v>80</v>
      </c>
      <c r="S27" s="33">
        <f t="shared" si="38"/>
        <v>80</v>
      </c>
      <c r="T27" s="33">
        <f t="shared" si="38"/>
        <v>80</v>
      </c>
      <c r="U27" s="33">
        <f t="shared" si="38"/>
        <v>80</v>
      </c>
      <c r="V27" s="33">
        <f t="shared" si="38"/>
        <v>80</v>
      </c>
      <c r="W27" s="33">
        <f t="shared" si="38"/>
        <v>80</v>
      </c>
      <c r="X27" s="33">
        <f t="shared" si="38"/>
        <v>80</v>
      </c>
      <c r="Y27" s="33">
        <f t="shared" si="38"/>
        <v>80</v>
      </c>
      <c r="Z27" s="33">
        <f t="shared" si="38"/>
        <v>80</v>
      </c>
      <c r="AA27" s="33">
        <f t="shared" si="38"/>
        <v>80</v>
      </c>
      <c r="AD27" s="40" t="s">
        <v>21</v>
      </c>
    </row>
    <row r="28" spans="1:30" x14ac:dyDescent="0.25">
      <c r="B28" s="40" t="s">
        <v>24</v>
      </c>
      <c r="C28" s="33">
        <f t="shared" si="29"/>
        <v>80</v>
      </c>
      <c r="D28" s="33">
        <f t="shared" ref="D28:AA28" si="39">IF((ABS((D15-$A15)*0.23*D$2))&lt;80,80,ABS((D15-$A15)*0.23*D$2))</f>
        <v>80</v>
      </c>
      <c r="E28" s="33">
        <f t="shared" si="39"/>
        <v>80</v>
      </c>
      <c r="F28" s="33">
        <f t="shared" si="39"/>
        <v>80</v>
      </c>
      <c r="G28" s="33">
        <f t="shared" si="39"/>
        <v>80</v>
      </c>
      <c r="H28" s="33">
        <f t="shared" si="39"/>
        <v>80</v>
      </c>
      <c r="I28" s="33">
        <f t="shared" si="39"/>
        <v>80</v>
      </c>
      <c r="J28" s="33">
        <f t="shared" si="39"/>
        <v>80</v>
      </c>
      <c r="K28" s="33">
        <f t="shared" si="39"/>
        <v>80</v>
      </c>
      <c r="L28" s="33">
        <f t="shared" si="39"/>
        <v>80</v>
      </c>
      <c r="M28" s="33">
        <f t="shared" si="39"/>
        <v>80</v>
      </c>
      <c r="N28" s="33">
        <f t="shared" si="39"/>
        <v>80</v>
      </c>
      <c r="O28" s="33">
        <f t="shared" si="39"/>
        <v>80</v>
      </c>
      <c r="P28" s="33">
        <f t="shared" si="39"/>
        <v>80</v>
      </c>
      <c r="Q28" s="33">
        <f t="shared" si="39"/>
        <v>80</v>
      </c>
      <c r="R28" s="33">
        <f t="shared" si="39"/>
        <v>80</v>
      </c>
      <c r="S28" s="33">
        <f t="shared" si="39"/>
        <v>80</v>
      </c>
      <c r="T28" s="33">
        <f t="shared" si="39"/>
        <v>80</v>
      </c>
      <c r="U28" s="33">
        <f t="shared" si="39"/>
        <v>80</v>
      </c>
      <c r="V28" s="33">
        <f t="shared" si="39"/>
        <v>80</v>
      </c>
      <c r="W28" s="33">
        <f t="shared" si="39"/>
        <v>80</v>
      </c>
      <c r="X28" s="33">
        <f t="shared" si="39"/>
        <v>80.115061379702269</v>
      </c>
      <c r="Y28" s="33">
        <f t="shared" si="39"/>
        <v>84.513053542113909</v>
      </c>
      <c r="Z28" s="33">
        <f t="shared" si="39"/>
        <v>88.886856747632308</v>
      </c>
      <c r="AA28" s="33">
        <f t="shared" si="39"/>
        <v>93.236604035520287</v>
      </c>
      <c r="AD28" s="40" t="s">
        <v>22</v>
      </c>
    </row>
    <row r="29" spans="1:30" x14ac:dyDescent="0.25">
      <c r="B29" s="40" t="s">
        <v>25</v>
      </c>
      <c r="C29" s="33">
        <f t="shared" si="29"/>
        <v>80</v>
      </c>
      <c r="D29" s="33">
        <f t="shared" ref="D29:AA29" si="40">IF((ABS((D16-$A16)*0.23*D$2))&lt;80,80,ABS((D16-$A16)*0.23*D$2))</f>
        <v>80</v>
      </c>
      <c r="E29" s="33">
        <f t="shared" si="40"/>
        <v>80</v>
      </c>
      <c r="F29" s="33">
        <f t="shared" si="40"/>
        <v>80</v>
      </c>
      <c r="G29" s="33">
        <f t="shared" si="40"/>
        <v>80</v>
      </c>
      <c r="H29" s="33">
        <f t="shared" si="40"/>
        <v>80</v>
      </c>
      <c r="I29" s="33">
        <f t="shared" si="40"/>
        <v>80</v>
      </c>
      <c r="J29" s="33">
        <f t="shared" si="40"/>
        <v>80</v>
      </c>
      <c r="K29" s="33">
        <f t="shared" si="40"/>
        <v>80</v>
      </c>
      <c r="L29" s="33">
        <f t="shared" si="40"/>
        <v>80</v>
      </c>
      <c r="M29" s="33">
        <f t="shared" si="40"/>
        <v>80</v>
      </c>
      <c r="N29" s="33">
        <f t="shared" si="40"/>
        <v>80</v>
      </c>
      <c r="O29" s="33">
        <f t="shared" si="40"/>
        <v>80</v>
      </c>
      <c r="P29" s="33">
        <f t="shared" si="40"/>
        <v>83.828629203581983</v>
      </c>
      <c r="Q29" s="33">
        <f t="shared" si="40"/>
        <v>88.263121742962312</v>
      </c>
      <c r="R29" s="33">
        <f t="shared" si="40"/>
        <v>92.673224573376004</v>
      </c>
      <c r="S29" s="33">
        <f t="shared" si="40"/>
        <v>97.059071838222408</v>
      </c>
      <c r="T29" s="33">
        <f t="shared" si="40"/>
        <v>101.42079694311219</v>
      </c>
      <c r="U29" s="33">
        <f t="shared" si="40"/>
        <v>105.75853255992503</v>
      </c>
      <c r="V29" s="33">
        <f t="shared" si="40"/>
        <v>110.07241063084544</v>
      </c>
      <c r="W29" s="33">
        <f t="shared" si="40"/>
        <v>114.36256237237578</v>
      </c>
      <c r="X29" s="33">
        <f t="shared" si="40"/>
        <v>118.62911827932768</v>
      </c>
      <c r="Y29" s="33">
        <f t="shared" si="40"/>
        <v>122.87220812879136</v>
      </c>
      <c r="Z29" s="33">
        <f t="shared" si="40"/>
        <v>127.09196098408303</v>
      </c>
      <c r="AA29" s="33">
        <f t="shared" si="40"/>
        <v>131.28850519867063</v>
      </c>
      <c r="AD29" s="40" t="s">
        <v>23</v>
      </c>
    </row>
    <row r="30" spans="1:30" x14ac:dyDescent="0.25">
      <c r="A30" s="69"/>
      <c r="B30" s="75" t="s">
        <v>84</v>
      </c>
      <c r="C30" s="61">
        <f>SUM(C18:C29)</f>
        <v>960</v>
      </c>
      <c r="D30" s="61">
        <f>SUM(D18:D29)</f>
        <v>960</v>
      </c>
      <c r="E30" s="61">
        <f t="shared" ref="E30:AA30" si="41">SUM(E18:E29)</f>
        <v>960</v>
      </c>
      <c r="F30" s="61">
        <f t="shared" si="41"/>
        <v>960</v>
      </c>
      <c r="G30" s="61">
        <f t="shared" si="41"/>
        <v>963.2026756893888</v>
      </c>
      <c r="H30" s="61">
        <f t="shared" si="41"/>
        <v>983.68868316771648</v>
      </c>
      <c r="I30" s="61">
        <f t="shared" si="41"/>
        <v>987.513005410294</v>
      </c>
      <c r="J30" s="61">
        <f t="shared" si="41"/>
        <v>991.31629388053739</v>
      </c>
      <c r="K30" s="61">
        <f t="shared" si="41"/>
        <v>995.09866426419444</v>
      </c>
      <c r="L30" s="61">
        <f t="shared" si="41"/>
        <v>998.86023161074138</v>
      </c>
      <c r="M30" s="61">
        <f t="shared" si="41"/>
        <v>1002.6011103368824</v>
      </c>
      <c r="N30" s="61">
        <f t="shared" si="41"/>
        <v>1006.7020846363332</v>
      </c>
      <c r="O30" s="61">
        <f t="shared" si="41"/>
        <v>1014.5309106708335</v>
      </c>
      <c r="P30" s="61">
        <f t="shared" si="41"/>
        <v>1026.145307365726</v>
      </c>
      <c r="Q30" s="61">
        <f t="shared" si="41"/>
        <v>1038.3227456752145</v>
      </c>
      <c r="R30" s="61">
        <f t="shared" si="41"/>
        <v>1050.4332080740007</v>
      </c>
      <c r="S30" s="61">
        <f t="shared" si="41"/>
        <v>1062.4770629295938</v>
      </c>
      <c r="T30" s="61">
        <f t="shared" si="41"/>
        <v>1074.4546765834809</v>
      </c>
      <c r="U30" s="61">
        <f t="shared" si="41"/>
        <v>1089.1360803543691</v>
      </c>
      <c r="V30" s="61">
        <f t="shared" si="41"/>
        <v>1108.3413787768452</v>
      </c>
      <c r="W30" s="61">
        <f t="shared" si="41"/>
        <v>1128.2491986935727</v>
      </c>
      <c r="X30" s="61">
        <f t="shared" si="41"/>
        <v>1148.1625869804602</v>
      </c>
      <c r="Y30" s="61">
        <f t="shared" si="41"/>
        <v>1172.2500152520677</v>
      </c>
      <c r="Z30" s="61">
        <f t="shared" si="41"/>
        <v>1196.5467136337795</v>
      </c>
      <c r="AA30" s="61">
        <f t="shared" si="41"/>
        <v>1224.413719208794</v>
      </c>
      <c r="AD30" s="40" t="s">
        <v>24</v>
      </c>
    </row>
    <row r="31" spans="1:30" x14ac:dyDescent="0.25">
      <c r="A31" s="1" t="s">
        <v>146</v>
      </c>
      <c r="B31" s="1">
        <v>0.74373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D31" s="40" t="s">
        <v>25</v>
      </c>
    </row>
    <row r="32" spans="1:30" x14ac:dyDescent="0.25">
      <c r="A32" s="1" t="s">
        <v>150</v>
      </c>
      <c r="B32" s="1">
        <v>0.79779999999999995</v>
      </c>
    </row>
    <row r="33" spans="1:31" x14ac:dyDescent="0.25">
      <c r="A33" s="68" t="s">
        <v>148</v>
      </c>
      <c r="B33" s="71" t="s">
        <v>149</v>
      </c>
      <c r="C33" s="72">
        <v>2</v>
      </c>
      <c r="D33" s="73">
        <v>3</v>
      </c>
      <c r="E33" s="73">
        <v>4</v>
      </c>
      <c r="F33" s="73">
        <v>5</v>
      </c>
      <c r="G33" s="73">
        <v>6</v>
      </c>
      <c r="H33" s="73">
        <v>7</v>
      </c>
      <c r="I33" s="73">
        <v>8</v>
      </c>
      <c r="J33" s="73">
        <v>9</v>
      </c>
      <c r="K33" s="73">
        <v>10</v>
      </c>
      <c r="L33" s="73">
        <v>11</v>
      </c>
      <c r="M33" s="73">
        <v>12</v>
      </c>
      <c r="N33" s="73">
        <v>13</v>
      </c>
      <c r="O33" s="73">
        <v>14</v>
      </c>
      <c r="P33" s="73">
        <v>15</v>
      </c>
      <c r="Q33" s="73">
        <v>16</v>
      </c>
      <c r="R33" s="73">
        <v>17</v>
      </c>
      <c r="S33" s="73">
        <v>18</v>
      </c>
      <c r="T33" s="73">
        <v>19</v>
      </c>
      <c r="U33" s="73">
        <v>20</v>
      </c>
      <c r="V33" s="73">
        <v>21</v>
      </c>
      <c r="W33" s="73">
        <v>22</v>
      </c>
      <c r="X33" s="73">
        <v>23</v>
      </c>
      <c r="Y33" s="73">
        <v>24</v>
      </c>
      <c r="Z33" s="73">
        <v>25</v>
      </c>
      <c r="AC33" s="45" t="s">
        <v>85</v>
      </c>
      <c r="AD33" s="45" t="s">
        <v>86</v>
      </c>
      <c r="AE33" s="45" t="s">
        <v>87</v>
      </c>
    </row>
    <row r="34" spans="1:31" x14ac:dyDescent="0.25">
      <c r="A34" s="40" t="s">
        <v>14</v>
      </c>
      <c r="B34" s="33">
        <f>AC34-$C18</f>
        <v>2939.5437999999999</v>
      </c>
      <c r="C34" s="33">
        <f>AC34-D18</f>
        <v>2939.5437999999999</v>
      </c>
      <c r="D34" s="33">
        <f>$AC34-E18</f>
        <v>2939.5437999999999</v>
      </c>
      <c r="E34" s="33">
        <f t="shared" ref="E34:Z34" si="42">$AC34-F18</f>
        <v>2939.5437999999999</v>
      </c>
      <c r="F34" s="33">
        <f t="shared" si="42"/>
        <v>2939.5437999999999</v>
      </c>
      <c r="G34" s="33">
        <f t="shared" si="42"/>
        <v>2939.5437999999999</v>
      </c>
      <c r="H34" s="33">
        <f t="shared" si="42"/>
        <v>2939.5437999999999</v>
      </c>
      <c r="I34" s="33">
        <f t="shared" si="42"/>
        <v>2939.5437999999999</v>
      </c>
      <c r="J34" s="33">
        <f t="shared" si="42"/>
        <v>2939.5437999999999</v>
      </c>
      <c r="K34" s="33">
        <f t="shared" si="42"/>
        <v>2939.5437999999999</v>
      </c>
      <c r="L34" s="33">
        <f t="shared" si="42"/>
        <v>2939.5437999999999</v>
      </c>
      <c r="M34" s="33">
        <f t="shared" si="42"/>
        <v>2939.5437999999999</v>
      </c>
      <c r="N34" s="33">
        <f t="shared" si="42"/>
        <v>2939.5437999999999</v>
      </c>
      <c r="O34" s="33">
        <f t="shared" si="42"/>
        <v>2939.5437999999999</v>
      </c>
      <c r="P34" s="33">
        <f t="shared" si="42"/>
        <v>2939.5437999999999</v>
      </c>
      <c r="Q34" s="33">
        <f t="shared" si="42"/>
        <v>2939.5437999999999</v>
      </c>
      <c r="R34" s="33">
        <f t="shared" si="42"/>
        <v>2939.5437999999999</v>
      </c>
      <c r="S34" s="33">
        <f t="shared" si="42"/>
        <v>2939.5437999999999</v>
      </c>
      <c r="T34" s="33">
        <f t="shared" si="42"/>
        <v>2939.5437999999999</v>
      </c>
      <c r="U34" s="33">
        <f t="shared" si="42"/>
        <v>2936.1696406355745</v>
      </c>
      <c r="V34" s="33">
        <f t="shared" si="42"/>
        <v>2932.0058885120789</v>
      </c>
      <c r="W34" s="33">
        <f t="shared" si="42"/>
        <v>2927.8650370252626</v>
      </c>
      <c r="X34" s="33">
        <f t="shared" si="42"/>
        <v>2923.7469602216238</v>
      </c>
      <c r="Y34" s="33">
        <f t="shared" si="42"/>
        <v>2919.6515328404048</v>
      </c>
      <c r="Z34" s="33">
        <f t="shared" si="42"/>
        <v>2915.5786303097825</v>
      </c>
      <c r="AB34" s="38" t="s">
        <v>14</v>
      </c>
      <c r="AC34" s="46">
        <f>$B$31*A5</f>
        <v>3019.5437999999999</v>
      </c>
      <c r="AD34" s="46">
        <f>100*$B$32</f>
        <v>79.78</v>
      </c>
      <c r="AE34" s="46">
        <f>AC34-AD34</f>
        <v>2939.7637999999997</v>
      </c>
    </row>
    <row r="35" spans="1:31" x14ac:dyDescent="0.25">
      <c r="A35" s="40" t="s">
        <v>15</v>
      </c>
      <c r="B35" s="33">
        <f t="shared" ref="B35:B45" si="43">AC35-C19</f>
        <v>2906.0759499999999</v>
      </c>
      <c r="C35" s="33">
        <f t="shared" ref="C35:C45" si="44">AC35-D19</f>
        <v>2906.0759499999999</v>
      </c>
      <c r="D35" s="33">
        <f t="shared" ref="D35:Z35" si="45">$AC35-E19</f>
        <v>2906.0759499999999</v>
      </c>
      <c r="E35" s="33">
        <f t="shared" si="45"/>
        <v>2906.0759499999999</v>
      </c>
      <c r="F35" s="33">
        <f t="shared" si="45"/>
        <v>2906.0759499999999</v>
      </c>
      <c r="G35" s="33">
        <f t="shared" si="45"/>
        <v>2906.0759499999999</v>
      </c>
      <c r="H35" s="33">
        <f t="shared" si="45"/>
        <v>2906.0759499999999</v>
      </c>
      <c r="I35" s="33">
        <f t="shared" si="45"/>
        <v>2906.0759499999999</v>
      </c>
      <c r="J35" s="33">
        <f t="shared" si="45"/>
        <v>2906.0759499999999</v>
      </c>
      <c r="K35" s="33">
        <f t="shared" si="45"/>
        <v>2906.0759499999999</v>
      </c>
      <c r="L35" s="33">
        <f t="shared" si="45"/>
        <v>2906.0759499999999</v>
      </c>
      <c r="M35" s="33">
        <f t="shared" si="45"/>
        <v>2905.6952795936963</v>
      </c>
      <c r="N35" s="33">
        <f t="shared" si="45"/>
        <v>2901.5662957809309</v>
      </c>
      <c r="O35" s="33">
        <f t="shared" si="45"/>
        <v>2897.4600213791355</v>
      </c>
      <c r="P35" s="33">
        <f t="shared" si="45"/>
        <v>2893.3763314865505</v>
      </c>
      <c r="Q35" s="33">
        <f t="shared" si="45"/>
        <v>2889.3151018883746</v>
      </c>
      <c r="R35" s="33">
        <f t="shared" si="45"/>
        <v>2885.2762090529882</v>
      </c>
      <c r="S35" s="33">
        <f t="shared" si="45"/>
        <v>2881.2595301281967</v>
      </c>
      <c r="T35" s="33">
        <f t="shared" si="45"/>
        <v>2877.2649429374919</v>
      </c>
      <c r="U35" s="33">
        <f t="shared" si="45"/>
        <v>2873.2923259763356</v>
      </c>
      <c r="V35" s="33">
        <f t="shared" si="45"/>
        <v>2869.3415584084655</v>
      </c>
      <c r="W35" s="33">
        <f t="shared" si="45"/>
        <v>2865.4125200622193</v>
      </c>
      <c r="X35" s="33">
        <f t="shared" si="45"/>
        <v>2861.5050914268768</v>
      </c>
      <c r="Y35" s="33">
        <f t="shared" si="45"/>
        <v>2857.6191536490292</v>
      </c>
      <c r="Z35" s="33">
        <f t="shared" si="45"/>
        <v>2853.7545885289596</v>
      </c>
      <c r="AB35" s="38" t="s">
        <v>15</v>
      </c>
      <c r="AC35" s="46">
        <f t="shared" ref="AC35:AC45" si="46">$B$31*A6</f>
        <v>2986.0759499999999</v>
      </c>
      <c r="AD35" s="46">
        <f t="shared" ref="AD35:AD44" si="47">100*$B$32</f>
        <v>79.78</v>
      </c>
      <c r="AE35" s="46">
        <f t="shared" ref="AE35:AE44" si="48">AC35-AD35</f>
        <v>2906.2959499999997</v>
      </c>
    </row>
    <row r="36" spans="1:31" x14ac:dyDescent="0.25">
      <c r="A36" s="40" t="s">
        <v>16</v>
      </c>
      <c r="B36" s="33">
        <f t="shared" si="43"/>
        <v>2850.2962000000002</v>
      </c>
      <c r="C36" s="33">
        <f t="shared" si="44"/>
        <v>2850.2962000000002</v>
      </c>
      <c r="D36" s="33">
        <f t="shared" ref="D36:Z36" si="49">$AC36-E20</f>
        <v>2850.2962000000002</v>
      </c>
      <c r="E36" s="33">
        <f t="shared" si="49"/>
        <v>2850.2962000000002</v>
      </c>
      <c r="F36" s="33">
        <f t="shared" si="49"/>
        <v>2850.2962000000002</v>
      </c>
      <c r="G36" s="33">
        <f t="shared" si="49"/>
        <v>2850.2962000000002</v>
      </c>
      <c r="H36" s="33">
        <f t="shared" si="49"/>
        <v>2850.2962000000002</v>
      </c>
      <c r="I36" s="33">
        <f t="shared" si="49"/>
        <v>2850.2962000000002</v>
      </c>
      <c r="J36" s="33">
        <f t="shared" si="49"/>
        <v>2850.2962000000002</v>
      </c>
      <c r="K36" s="33">
        <f t="shared" si="49"/>
        <v>2850.2962000000002</v>
      </c>
      <c r="L36" s="33">
        <f t="shared" si="49"/>
        <v>2850.2962000000002</v>
      </c>
      <c r="M36" s="33">
        <f t="shared" si="49"/>
        <v>2850.2962000000002</v>
      </c>
      <c r="N36" s="33">
        <f t="shared" si="49"/>
        <v>2850.2962000000002</v>
      </c>
      <c r="O36" s="33">
        <f t="shared" si="49"/>
        <v>2850.2962000000002</v>
      </c>
      <c r="P36" s="33">
        <f t="shared" si="49"/>
        <v>2850.2962000000002</v>
      </c>
      <c r="Q36" s="33">
        <f t="shared" si="49"/>
        <v>2850.2962000000002</v>
      </c>
      <c r="R36" s="33">
        <f t="shared" si="49"/>
        <v>2850.2962000000002</v>
      </c>
      <c r="S36" s="33">
        <f t="shared" si="49"/>
        <v>2850.2962000000002</v>
      </c>
      <c r="T36" s="33">
        <f t="shared" si="49"/>
        <v>2850.2962000000002</v>
      </c>
      <c r="U36" s="33">
        <f t="shared" si="49"/>
        <v>2850.2962000000002</v>
      </c>
      <c r="V36" s="33">
        <f t="shared" si="49"/>
        <v>2850.2962000000002</v>
      </c>
      <c r="W36" s="33">
        <f t="shared" si="49"/>
        <v>2850.2962000000002</v>
      </c>
      <c r="X36" s="33">
        <f t="shared" si="49"/>
        <v>2850.2962000000002</v>
      </c>
      <c r="Y36" s="33">
        <f t="shared" si="49"/>
        <v>2849.9544490344019</v>
      </c>
      <c r="Z36" s="33">
        <f t="shared" si="49"/>
        <v>2845.9106386647127</v>
      </c>
      <c r="AB36" s="38" t="s">
        <v>16</v>
      </c>
      <c r="AC36" s="46">
        <f t="shared" si="46"/>
        <v>2930.2962000000002</v>
      </c>
      <c r="AD36" s="46">
        <f t="shared" si="47"/>
        <v>79.78</v>
      </c>
      <c r="AE36" s="46">
        <f t="shared" si="48"/>
        <v>2850.5162</v>
      </c>
    </row>
    <row r="37" spans="1:31" x14ac:dyDescent="0.25">
      <c r="A37" s="40" t="s">
        <v>17</v>
      </c>
      <c r="B37" s="33">
        <f t="shared" si="43"/>
        <v>2790.7977999999998</v>
      </c>
      <c r="C37" s="33">
        <f t="shared" si="44"/>
        <v>2790.7977999999998</v>
      </c>
      <c r="D37" s="33">
        <f t="shared" ref="D37:Z37" si="50">$AC37-E21</f>
        <v>2790.7977999999998</v>
      </c>
      <c r="E37" s="33">
        <f t="shared" si="50"/>
        <v>2790.7977999999998</v>
      </c>
      <c r="F37" s="33">
        <f t="shared" si="50"/>
        <v>2787.595124310611</v>
      </c>
      <c r="G37" s="33">
        <f t="shared" si="50"/>
        <v>2767.1091168322832</v>
      </c>
      <c r="H37" s="33">
        <f t="shared" si="50"/>
        <v>2763.2847945897056</v>
      </c>
      <c r="I37" s="33">
        <f t="shared" si="50"/>
        <v>2759.4815061194622</v>
      </c>
      <c r="J37" s="33">
        <f t="shared" si="50"/>
        <v>2755.6991357358052</v>
      </c>
      <c r="K37" s="33">
        <f t="shared" si="50"/>
        <v>2751.9375683892586</v>
      </c>
      <c r="L37" s="33">
        <f t="shared" si="50"/>
        <v>2748.1966896631175</v>
      </c>
      <c r="M37" s="33">
        <f t="shared" si="50"/>
        <v>2744.4763857699704</v>
      </c>
      <c r="N37" s="33">
        <f t="shared" si="50"/>
        <v>2740.7765435482356</v>
      </c>
      <c r="O37" s="33">
        <f t="shared" si="50"/>
        <v>2737.0970504587203</v>
      </c>
      <c r="P37" s="33">
        <f t="shared" si="50"/>
        <v>2733.4377945811971</v>
      </c>
      <c r="Q37" s="33">
        <f t="shared" si="50"/>
        <v>2729.7986646110007</v>
      </c>
      <c r="R37" s="33">
        <f t="shared" si="50"/>
        <v>2726.1795498556403</v>
      </c>
      <c r="S37" s="33">
        <f t="shared" si="50"/>
        <v>2722.5803402314341</v>
      </c>
      <c r="T37" s="33">
        <f t="shared" si="50"/>
        <v>2719.0009262601611</v>
      </c>
      <c r="U37" s="33">
        <f t="shared" si="50"/>
        <v>2715.4411990657304</v>
      </c>
      <c r="V37" s="33">
        <f t="shared" si="50"/>
        <v>2711.9010503708687</v>
      </c>
      <c r="W37" s="33">
        <f t="shared" si="50"/>
        <v>2708.3803724938289</v>
      </c>
      <c r="X37" s="33">
        <f t="shared" si="50"/>
        <v>2704.8790583451132</v>
      </c>
      <c r="Y37" s="33">
        <f t="shared" si="50"/>
        <v>2701.397001424215</v>
      </c>
      <c r="Z37" s="33">
        <f t="shared" si="50"/>
        <v>2697.9340958163816</v>
      </c>
      <c r="AB37" s="38" t="s">
        <v>17</v>
      </c>
      <c r="AC37" s="46">
        <f t="shared" si="46"/>
        <v>2870.7977999999998</v>
      </c>
      <c r="AD37" s="46">
        <f t="shared" si="47"/>
        <v>79.78</v>
      </c>
      <c r="AE37" s="46">
        <f t="shared" si="48"/>
        <v>2791.0177999999996</v>
      </c>
    </row>
    <row r="38" spans="1:31" x14ac:dyDescent="0.25">
      <c r="A38" s="40" t="s">
        <v>18</v>
      </c>
      <c r="B38" s="33">
        <f t="shared" si="43"/>
        <v>2820.547</v>
      </c>
      <c r="C38" s="33">
        <f t="shared" si="44"/>
        <v>2820.547</v>
      </c>
      <c r="D38" s="33">
        <f t="shared" ref="D38:Z38" si="51">$AC38-E22</f>
        <v>2820.547</v>
      </c>
      <c r="E38" s="33">
        <f t="shared" si="51"/>
        <v>2820.547</v>
      </c>
      <c r="F38" s="33">
        <f t="shared" si="51"/>
        <v>2820.547</v>
      </c>
      <c r="G38" s="33">
        <f t="shared" si="51"/>
        <v>2820.547</v>
      </c>
      <c r="H38" s="33">
        <f t="shared" si="51"/>
        <v>2820.547</v>
      </c>
      <c r="I38" s="33">
        <f t="shared" si="51"/>
        <v>2820.547</v>
      </c>
      <c r="J38" s="33">
        <f t="shared" si="51"/>
        <v>2820.547</v>
      </c>
      <c r="K38" s="33">
        <f t="shared" si="51"/>
        <v>2820.547</v>
      </c>
      <c r="L38" s="33">
        <f t="shared" si="51"/>
        <v>2820.547</v>
      </c>
      <c r="M38" s="33">
        <f t="shared" si="51"/>
        <v>2820.547</v>
      </c>
      <c r="N38" s="33">
        <f t="shared" si="51"/>
        <v>2820.547</v>
      </c>
      <c r="O38" s="33">
        <f t="shared" si="51"/>
        <v>2820.547</v>
      </c>
      <c r="P38" s="33">
        <f t="shared" si="51"/>
        <v>2820.547</v>
      </c>
      <c r="Q38" s="33">
        <f t="shared" si="51"/>
        <v>2820.547</v>
      </c>
      <c r="R38" s="33">
        <f t="shared" si="51"/>
        <v>2820.547</v>
      </c>
      <c r="S38" s="33">
        <f t="shared" si="51"/>
        <v>2820.547</v>
      </c>
      <c r="T38" s="33">
        <f t="shared" si="51"/>
        <v>2817.7773330079026</v>
      </c>
      <c r="U38" s="33">
        <f t="shared" si="51"/>
        <v>2813.792416176359</v>
      </c>
      <c r="V38" s="33">
        <f t="shared" si="51"/>
        <v>2809.8294163873893</v>
      </c>
      <c r="W38" s="33">
        <f t="shared" si="51"/>
        <v>2805.8882130972588</v>
      </c>
      <c r="X38" s="33">
        <f t="shared" si="51"/>
        <v>2801.9686864252235</v>
      </c>
      <c r="Y38" s="33">
        <f t="shared" si="51"/>
        <v>2798.0707171498848</v>
      </c>
      <c r="Z38" s="33">
        <f t="shared" si="51"/>
        <v>2794.1941867055607</v>
      </c>
      <c r="AB38" s="38" t="s">
        <v>18</v>
      </c>
      <c r="AC38" s="46">
        <f t="shared" si="46"/>
        <v>2900.547</v>
      </c>
      <c r="AD38" s="46">
        <f t="shared" si="47"/>
        <v>79.78</v>
      </c>
      <c r="AE38" s="46">
        <f t="shared" si="48"/>
        <v>2820.7669999999998</v>
      </c>
    </row>
    <row r="39" spans="1:31" x14ac:dyDescent="0.25">
      <c r="A39" s="40" t="s">
        <v>19</v>
      </c>
      <c r="B39" s="33">
        <f t="shared" si="43"/>
        <v>2671.8009999999999</v>
      </c>
      <c r="C39" s="33">
        <f t="shared" si="44"/>
        <v>2671.8009999999999</v>
      </c>
      <c r="D39" s="33">
        <f t="shared" ref="D39:Z39" si="52">$AC39-E23</f>
        <v>2671.8009999999999</v>
      </c>
      <c r="E39" s="33">
        <f t="shared" si="52"/>
        <v>2671.8009999999999</v>
      </c>
      <c r="F39" s="33">
        <f t="shared" si="52"/>
        <v>2671.8009999999999</v>
      </c>
      <c r="G39" s="33">
        <f t="shared" si="52"/>
        <v>2671.8009999999999</v>
      </c>
      <c r="H39" s="33">
        <f t="shared" si="52"/>
        <v>2671.8009999999999</v>
      </c>
      <c r="I39" s="33">
        <f t="shared" si="52"/>
        <v>2671.8009999999999</v>
      </c>
      <c r="J39" s="33">
        <f t="shared" si="52"/>
        <v>2671.8009999999999</v>
      </c>
      <c r="K39" s="33">
        <f t="shared" si="52"/>
        <v>2671.8009999999999</v>
      </c>
      <c r="L39" s="33">
        <f t="shared" si="52"/>
        <v>2671.8009999999999</v>
      </c>
      <c r="M39" s="33">
        <f t="shared" si="52"/>
        <v>2671.8009999999999</v>
      </c>
      <c r="N39" s="33">
        <f t="shared" si="52"/>
        <v>2671.8009999999999</v>
      </c>
      <c r="O39" s="33">
        <f t="shared" si="52"/>
        <v>2671.8009999999999</v>
      </c>
      <c r="P39" s="33">
        <f t="shared" si="52"/>
        <v>2671.8009999999999</v>
      </c>
      <c r="Q39" s="33">
        <f t="shared" si="52"/>
        <v>2671.8009999999999</v>
      </c>
      <c r="R39" s="33">
        <f t="shared" si="52"/>
        <v>2671.8009999999999</v>
      </c>
      <c r="S39" s="33">
        <f t="shared" si="52"/>
        <v>2671.8009999999999</v>
      </c>
      <c r="T39" s="33">
        <f t="shared" si="52"/>
        <v>2671.8009999999999</v>
      </c>
      <c r="U39" s="33">
        <f t="shared" si="52"/>
        <v>2671.8009999999999</v>
      </c>
      <c r="V39" s="33">
        <f t="shared" si="52"/>
        <v>2671.8009999999999</v>
      </c>
      <c r="W39" s="33">
        <f t="shared" si="52"/>
        <v>2671.8009999999999</v>
      </c>
      <c r="X39" s="33">
        <f t="shared" si="52"/>
        <v>2671.8009999999999</v>
      </c>
      <c r="Y39" s="33">
        <f t="shared" si="52"/>
        <v>2671.8009999999999</v>
      </c>
      <c r="Z39" s="33">
        <f t="shared" si="52"/>
        <v>2671.8009999999999</v>
      </c>
      <c r="AB39" s="38" t="s">
        <v>19</v>
      </c>
      <c r="AC39" s="46">
        <f t="shared" si="46"/>
        <v>2751.8009999999999</v>
      </c>
      <c r="AD39" s="46">
        <f t="shared" si="47"/>
        <v>79.78</v>
      </c>
      <c r="AE39" s="46">
        <f t="shared" si="48"/>
        <v>2672.0209999999997</v>
      </c>
    </row>
    <row r="40" spans="1:31" x14ac:dyDescent="0.25">
      <c r="A40" s="40" t="s">
        <v>20</v>
      </c>
      <c r="B40" s="33">
        <f t="shared" si="43"/>
        <v>2708.9875000000002</v>
      </c>
      <c r="C40" s="33">
        <f t="shared" si="44"/>
        <v>2708.9875000000002</v>
      </c>
      <c r="D40" s="33">
        <f t="shared" ref="D40:Z40" si="53">$AC40-E24</f>
        <v>2708.9875000000002</v>
      </c>
      <c r="E40" s="33">
        <f t="shared" si="53"/>
        <v>2708.9875000000002</v>
      </c>
      <c r="F40" s="33">
        <f t="shared" si="53"/>
        <v>2708.9875000000002</v>
      </c>
      <c r="G40" s="33">
        <f t="shared" si="53"/>
        <v>2708.9875000000002</v>
      </c>
      <c r="H40" s="33">
        <f t="shared" si="53"/>
        <v>2708.9875000000002</v>
      </c>
      <c r="I40" s="33">
        <f t="shared" si="53"/>
        <v>2708.9875000000002</v>
      </c>
      <c r="J40" s="33">
        <f t="shared" si="53"/>
        <v>2708.9875000000002</v>
      </c>
      <c r="K40" s="33">
        <f t="shared" si="53"/>
        <v>2708.9875000000002</v>
      </c>
      <c r="L40" s="33">
        <f t="shared" si="53"/>
        <v>2708.9875000000002</v>
      </c>
      <c r="M40" s="33">
        <f t="shared" si="53"/>
        <v>2708.9875000000002</v>
      </c>
      <c r="N40" s="33">
        <f t="shared" si="53"/>
        <v>2708.9875000000002</v>
      </c>
      <c r="O40" s="33">
        <f t="shared" si="53"/>
        <v>2708.9875000000002</v>
      </c>
      <c r="P40" s="33">
        <f t="shared" si="53"/>
        <v>2708.9875000000002</v>
      </c>
      <c r="Q40" s="33">
        <f t="shared" si="53"/>
        <v>2708.9875000000002</v>
      </c>
      <c r="R40" s="33">
        <f t="shared" si="53"/>
        <v>2708.9875000000002</v>
      </c>
      <c r="S40" s="33">
        <f t="shared" si="53"/>
        <v>2708.9875000000002</v>
      </c>
      <c r="T40" s="33">
        <f t="shared" si="53"/>
        <v>2708.9875000000002</v>
      </c>
      <c r="U40" s="33">
        <f t="shared" si="53"/>
        <v>2708.9875000000002</v>
      </c>
      <c r="V40" s="33">
        <f t="shared" si="53"/>
        <v>2708.9875000000002</v>
      </c>
      <c r="W40" s="33">
        <f t="shared" si="53"/>
        <v>2708.9875000000002</v>
      </c>
      <c r="X40" s="33">
        <f t="shared" si="53"/>
        <v>2708.9875000000002</v>
      </c>
      <c r="Y40" s="33">
        <f t="shared" si="53"/>
        <v>2708.9875000000002</v>
      </c>
      <c r="Z40" s="33">
        <f t="shared" si="53"/>
        <v>2708.9875000000002</v>
      </c>
      <c r="AB40" s="38" t="s">
        <v>20</v>
      </c>
      <c r="AC40" s="46">
        <f t="shared" si="46"/>
        <v>2788.9875000000002</v>
      </c>
      <c r="AD40" s="46">
        <f t="shared" si="47"/>
        <v>79.78</v>
      </c>
      <c r="AE40" s="46">
        <f t="shared" si="48"/>
        <v>2709.2075</v>
      </c>
    </row>
    <row r="41" spans="1:31" x14ac:dyDescent="0.25">
      <c r="A41" s="40" t="s">
        <v>21</v>
      </c>
      <c r="B41" s="33">
        <f t="shared" si="43"/>
        <v>2883.7640500000002</v>
      </c>
      <c r="C41" s="33">
        <f t="shared" si="44"/>
        <v>2883.7640500000002</v>
      </c>
      <c r="D41" s="33">
        <f t="shared" ref="D41:Z41" si="54">$AC41-E25</f>
        <v>2883.7640500000002</v>
      </c>
      <c r="E41" s="33">
        <f t="shared" si="54"/>
        <v>2883.7640500000002</v>
      </c>
      <c r="F41" s="33">
        <f t="shared" si="54"/>
        <v>2883.7640500000002</v>
      </c>
      <c r="G41" s="33">
        <f t="shared" si="54"/>
        <v>2883.7640500000002</v>
      </c>
      <c r="H41" s="33">
        <f t="shared" si="54"/>
        <v>2883.7640500000002</v>
      </c>
      <c r="I41" s="33">
        <f t="shared" si="54"/>
        <v>2883.7640500000002</v>
      </c>
      <c r="J41" s="33">
        <f t="shared" si="54"/>
        <v>2883.7640500000002</v>
      </c>
      <c r="K41" s="33">
        <f t="shared" si="54"/>
        <v>2883.7640500000002</v>
      </c>
      <c r="L41" s="33">
        <f t="shared" si="54"/>
        <v>2883.7640500000002</v>
      </c>
      <c r="M41" s="33">
        <f t="shared" si="54"/>
        <v>2883.7640500000002</v>
      </c>
      <c r="N41" s="33">
        <f t="shared" si="54"/>
        <v>2883.7640500000002</v>
      </c>
      <c r="O41" s="33">
        <f t="shared" si="54"/>
        <v>2883.7640500000002</v>
      </c>
      <c r="P41" s="33">
        <f t="shared" si="54"/>
        <v>2883.7640500000002</v>
      </c>
      <c r="Q41" s="33">
        <f t="shared" si="54"/>
        <v>2883.7640500000002</v>
      </c>
      <c r="R41" s="33">
        <f t="shared" si="54"/>
        <v>2883.7640500000002</v>
      </c>
      <c r="S41" s="33">
        <f t="shared" si="54"/>
        <v>2883.7640500000002</v>
      </c>
      <c r="T41" s="33">
        <f t="shared" si="54"/>
        <v>2883.7640500000002</v>
      </c>
      <c r="U41" s="33">
        <f t="shared" si="54"/>
        <v>2883.7640500000002</v>
      </c>
      <c r="V41" s="33">
        <f t="shared" si="54"/>
        <v>2883.7640500000002</v>
      </c>
      <c r="W41" s="33">
        <f t="shared" si="54"/>
        <v>2883.7640500000002</v>
      </c>
      <c r="X41" s="33">
        <f t="shared" si="54"/>
        <v>2883.7640500000002</v>
      </c>
      <c r="Y41" s="33">
        <f t="shared" si="54"/>
        <v>2883.7640500000002</v>
      </c>
      <c r="Z41" s="33">
        <f t="shared" si="54"/>
        <v>2883.7640500000002</v>
      </c>
      <c r="AB41" s="38" t="s">
        <v>21</v>
      </c>
      <c r="AC41" s="46">
        <f t="shared" si="46"/>
        <v>2963.7640500000002</v>
      </c>
      <c r="AD41" s="46">
        <f t="shared" si="47"/>
        <v>79.78</v>
      </c>
      <c r="AE41" s="46">
        <f t="shared" si="48"/>
        <v>2883.98405</v>
      </c>
    </row>
    <row r="42" spans="1:31" x14ac:dyDescent="0.25">
      <c r="A42" s="40" t="s">
        <v>22</v>
      </c>
      <c r="B42" s="33">
        <f t="shared" si="43"/>
        <v>2969.2930000000001</v>
      </c>
      <c r="C42" s="33">
        <f t="shared" si="44"/>
        <v>2969.2930000000001</v>
      </c>
      <c r="D42" s="33">
        <f t="shared" ref="D42:Z42" si="55">$AC42-E26</f>
        <v>2969.2930000000001</v>
      </c>
      <c r="E42" s="33">
        <f t="shared" si="55"/>
        <v>2969.2930000000001</v>
      </c>
      <c r="F42" s="33">
        <f t="shared" si="55"/>
        <v>2969.2930000000001</v>
      </c>
      <c r="G42" s="33">
        <f t="shared" si="55"/>
        <v>2969.2930000000001</v>
      </c>
      <c r="H42" s="33">
        <f t="shared" si="55"/>
        <v>2969.2930000000001</v>
      </c>
      <c r="I42" s="33">
        <f t="shared" si="55"/>
        <v>2969.2930000000001</v>
      </c>
      <c r="J42" s="33">
        <f t="shared" si="55"/>
        <v>2969.2930000000001</v>
      </c>
      <c r="K42" s="33">
        <f t="shared" si="55"/>
        <v>2969.2930000000001</v>
      </c>
      <c r="L42" s="33">
        <f t="shared" si="55"/>
        <v>2969.2930000000001</v>
      </c>
      <c r="M42" s="33">
        <f t="shared" si="55"/>
        <v>2969.2930000000001</v>
      </c>
      <c r="N42" s="33">
        <f t="shared" si="55"/>
        <v>2969.2930000000001</v>
      </c>
      <c r="O42" s="33">
        <f t="shared" si="55"/>
        <v>2969.2930000000001</v>
      </c>
      <c r="P42" s="33">
        <f t="shared" si="55"/>
        <v>2969.2930000000001</v>
      </c>
      <c r="Q42" s="33">
        <f t="shared" si="55"/>
        <v>2969.2930000000001</v>
      </c>
      <c r="R42" s="33">
        <f t="shared" si="55"/>
        <v>2969.2930000000001</v>
      </c>
      <c r="S42" s="33">
        <f t="shared" si="55"/>
        <v>2969.2930000000001</v>
      </c>
      <c r="T42" s="33">
        <f t="shared" si="55"/>
        <v>2969.2930000000001</v>
      </c>
      <c r="U42" s="33">
        <f t="shared" si="55"/>
        <v>2969.2930000000001</v>
      </c>
      <c r="V42" s="33">
        <f t="shared" si="55"/>
        <v>2969.2930000000001</v>
      </c>
      <c r="W42" s="33">
        <f t="shared" si="55"/>
        <v>2969.2930000000001</v>
      </c>
      <c r="X42" s="33">
        <f t="shared" si="55"/>
        <v>2969.2930000000001</v>
      </c>
      <c r="Y42" s="33">
        <f t="shared" si="55"/>
        <v>2969.2930000000001</v>
      </c>
      <c r="Z42" s="33">
        <f t="shared" si="55"/>
        <v>2969.2930000000001</v>
      </c>
      <c r="AB42" s="38" t="s">
        <v>22</v>
      </c>
      <c r="AC42" s="46">
        <f t="shared" si="46"/>
        <v>3049.2930000000001</v>
      </c>
      <c r="AD42" s="46">
        <f t="shared" si="47"/>
        <v>79.78</v>
      </c>
      <c r="AE42" s="46">
        <f t="shared" si="48"/>
        <v>2969.5129999999999</v>
      </c>
    </row>
    <row r="43" spans="1:31" x14ac:dyDescent="0.25">
      <c r="A43" s="40" t="s">
        <v>23</v>
      </c>
      <c r="B43" s="33">
        <f t="shared" si="43"/>
        <v>2999.0421999999999</v>
      </c>
      <c r="C43" s="33">
        <f t="shared" si="44"/>
        <v>2999.0421999999999</v>
      </c>
      <c r="D43" s="33">
        <f t="shared" ref="D43:Z43" si="56">$AC43-E27</f>
        <v>2999.0421999999999</v>
      </c>
      <c r="E43" s="33">
        <f t="shared" si="56"/>
        <v>2999.0421999999999</v>
      </c>
      <c r="F43" s="33">
        <f t="shared" si="56"/>
        <v>2999.0421999999999</v>
      </c>
      <c r="G43" s="33">
        <f t="shared" si="56"/>
        <v>2999.0421999999999</v>
      </c>
      <c r="H43" s="33">
        <f t="shared" si="56"/>
        <v>2999.0421999999999</v>
      </c>
      <c r="I43" s="33">
        <f t="shared" si="56"/>
        <v>2999.0421999999999</v>
      </c>
      <c r="J43" s="33">
        <f t="shared" si="56"/>
        <v>2999.0421999999999</v>
      </c>
      <c r="K43" s="33">
        <f t="shared" si="56"/>
        <v>2999.0421999999999</v>
      </c>
      <c r="L43" s="33">
        <f t="shared" si="56"/>
        <v>2999.0421999999999</v>
      </c>
      <c r="M43" s="33">
        <f t="shared" si="56"/>
        <v>2999.0421999999999</v>
      </c>
      <c r="N43" s="33">
        <f t="shared" si="56"/>
        <v>2999.0421999999999</v>
      </c>
      <c r="O43" s="33">
        <f t="shared" si="56"/>
        <v>2999.0421999999999</v>
      </c>
      <c r="P43" s="33">
        <f t="shared" si="56"/>
        <v>2999.0421999999999</v>
      </c>
      <c r="Q43" s="33">
        <f t="shared" si="56"/>
        <v>2999.0421999999999</v>
      </c>
      <c r="R43" s="33">
        <f t="shared" si="56"/>
        <v>2999.0421999999999</v>
      </c>
      <c r="S43" s="33">
        <f t="shared" si="56"/>
        <v>2999.0421999999999</v>
      </c>
      <c r="T43" s="33">
        <f t="shared" si="56"/>
        <v>2999.0421999999999</v>
      </c>
      <c r="U43" s="33">
        <f t="shared" si="56"/>
        <v>2999.0421999999999</v>
      </c>
      <c r="V43" s="33">
        <f t="shared" si="56"/>
        <v>2999.0421999999999</v>
      </c>
      <c r="W43" s="33">
        <f t="shared" si="56"/>
        <v>2999.0421999999999</v>
      </c>
      <c r="X43" s="33">
        <f t="shared" si="56"/>
        <v>2999.0421999999999</v>
      </c>
      <c r="Y43" s="33">
        <f t="shared" si="56"/>
        <v>2999.0421999999999</v>
      </c>
      <c r="Z43" s="33">
        <f t="shared" si="56"/>
        <v>2999.0421999999999</v>
      </c>
      <c r="AB43" s="38" t="s">
        <v>23</v>
      </c>
      <c r="AC43" s="46">
        <f t="shared" si="46"/>
        <v>3079.0421999999999</v>
      </c>
      <c r="AD43" s="46">
        <f t="shared" si="47"/>
        <v>79.78</v>
      </c>
      <c r="AE43" s="46">
        <f t="shared" si="48"/>
        <v>2999.2621999999997</v>
      </c>
    </row>
    <row r="44" spans="1:31" x14ac:dyDescent="0.25">
      <c r="A44" s="40" t="s">
        <v>24</v>
      </c>
      <c r="B44" s="33">
        <f t="shared" si="43"/>
        <v>3080.8525</v>
      </c>
      <c r="C44" s="33">
        <f t="shared" si="44"/>
        <v>3080.8525</v>
      </c>
      <c r="D44" s="33">
        <f t="shared" ref="D44:Z44" si="57">$AC44-E28</f>
        <v>3080.8525</v>
      </c>
      <c r="E44" s="33">
        <f t="shared" si="57"/>
        <v>3080.8525</v>
      </c>
      <c r="F44" s="33">
        <f t="shared" si="57"/>
        <v>3080.8525</v>
      </c>
      <c r="G44" s="33">
        <f t="shared" si="57"/>
        <v>3080.8525</v>
      </c>
      <c r="H44" s="33">
        <f t="shared" si="57"/>
        <v>3080.8525</v>
      </c>
      <c r="I44" s="33">
        <f t="shared" si="57"/>
        <v>3080.8525</v>
      </c>
      <c r="J44" s="33">
        <f t="shared" si="57"/>
        <v>3080.8525</v>
      </c>
      <c r="K44" s="33">
        <f t="shared" si="57"/>
        <v>3080.8525</v>
      </c>
      <c r="L44" s="33">
        <f t="shared" si="57"/>
        <v>3080.8525</v>
      </c>
      <c r="M44" s="33">
        <f t="shared" si="57"/>
        <v>3080.8525</v>
      </c>
      <c r="N44" s="33">
        <f t="shared" si="57"/>
        <v>3080.8525</v>
      </c>
      <c r="O44" s="33">
        <f t="shared" si="57"/>
        <v>3080.8525</v>
      </c>
      <c r="P44" s="33">
        <f t="shared" si="57"/>
        <v>3080.8525</v>
      </c>
      <c r="Q44" s="33">
        <f t="shared" si="57"/>
        <v>3080.8525</v>
      </c>
      <c r="R44" s="33">
        <f t="shared" si="57"/>
        <v>3080.8525</v>
      </c>
      <c r="S44" s="33">
        <f t="shared" si="57"/>
        <v>3080.8525</v>
      </c>
      <c r="T44" s="33">
        <f t="shared" si="57"/>
        <v>3080.8525</v>
      </c>
      <c r="U44" s="33">
        <f t="shared" si="57"/>
        <v>3080.8525</v>
      </c>
      <c r="V44" s="33">
        <f t="shared" si="57"/>
        <v>3080.8525</v>
      </c>
      <c r="W44" s="33">
        <f t="shared" si="57"/>
        <v>3080.7374386202978</v>
      </c>
      <c r="X44" s="33">
        <f t="shared" si="57"/>
        <v>3076.339446457886</v>
      </c>
      <c r="Y44" s="33">
        <f t="shared" si="57"/>
        <v>3071.9656432523675</v>
      </c>
      <c r="Z44" s="33">
        <f t="shared" si="57"/>
        <v>3067.6158959644795</v>
      </c>
      <c r="AB44" s="38" t="s">
        <v>24</v>
      </c>
      <c r="AC44" s="46">
        <f t="shared" si="46"/>
        <v>3160.8525</v>
      </c>
      <c r="AD44" s="46">
        <f t="shared" si="47"/>
        <v>79.78</v>
      </c>
      <c r="AE44" s="46">
        <f t="shared" si="48"/>
        <v>3081.0724999999998</v>
      </c>
    </row>
    <row r="45" spans="1:31" x14ac:dyDescent="0.25">
      <c r="A45" s="40" t="s">
        <v>25</v>
      </c>
      <c r="B45" s="33">
        <f t="shared" si="43"/>
        <v>3118.0390000000002</v>
      </c>
      <c r="C45" s="33">
        <f t="shared" si="44"/>
        <v>3118.0390000000002</v>
      </c>
      <c r="D45" s="33">
        <f t="shared" ref="D45:Z45" si="58">$AC45-E29</f>
        <v>3118.0390000000002</v>
      </c>
      <c r="E45" s="33">
        <f t="shared" si="58"/>
        <v>3118.0390000000002</v>
      </c>
      <c r="F45" s="33">
        <f t="shared" si="58"/>
        <v>3118.0390000000002</v>
      </c>
      <c r="G45" s="33">
        <f t="shared" si="58"/>
        <v>3118.0390000000002</v>
      </c>
      <c r="H45" s="33">
        <f t="shared" si="58"/>
        <v>3118.0390000000002</v>
      </c>
      <c r="I45" s="33">
        <f t="shared" si="58"/>
        <v>3118.0390000000002</v>
      </c>
      <c r="J45" s="33">
        <f t="shared" si="58"/>
        <v>3118.0390000000002</v>
      </c>
      <c r="K45" s="33">
        <f t="shared" si="58"/>
        <v>3118.0390000000002</v>
      </c>
      <c r="L45" s="33">
        <f t="shared" si="58"/>
        <v>3118.0390000000002</v>
      </c>
      <c r="M45" s="33">
        <f t="shared" si="58"/>
        <v>3118.0390000000002</v>
      </c>
      <c r="N45" s="33">
        <f t="shared" si="58"/>
        <v>3118.0390000000002</v>
      </c>
      <c r="O45" s="33">
        <f t="shared" si="58"/>
        <v>3114.2103707964184</v>
      </c>
      <c r="P45" s="33">
        <f t="shared" si="58"/>
        <v>3109.7758782570381</v>
      </c>
      <c r="Q45" s="33">
        <f t="shared" si="58"/>
        <v>3105.3657754266242</v>
      </c>
      <c r="R45" s="33">
        <f t="shared" si="58"/>
        <v>3100.9799281617779</v>
      </c>
      <c r="S45" s="33">
        <f t="shared" si="58"/>
        <v>3096.618203056888</v>
      </c>
      <c r="T45" s="33">
        <f t="shared" si="58"/>
        <v>3092.280467440075</v>
      </c>
      <c r="U45" s="33">
        <f t="shared" si="58"/>
        <v>3087.9665893691549</v>
      </c>
      <c r="V45" s="33">
        <f t="shared" si="58"/>
        <v>3083.6764376276246</v>
      </c>
      <c r="W45" s="33">
        <f t="shared" si="58"/>
        <v>3079.4098817206727</v>
      </c>
      <c r="X45" s="33">
        <f t="shared" si="58"/>
        <v>3075.1667918712087</v>
      </c>
      <c r="Y45" s="33">
        <f t="shared" si="58"/>
        <v>3070.9470390159172</v>
      </c>
      <c r="Z45" s="33">
        <f t="shared" si="58"/>
        <v>3066.7504948013298</v>
      </c>
      <c r="AB45" s="38" t="s">
        <v>25</v>
      </c>
      <c r="AC45" s="46">
        <f t="shared" si="46"/>
        <v>3198.0390000000002</v>
      </c>
      <c r="AD45" s="76" t="s">
        <v>84</v>
      </c>
      <c r="AE45" s="45">
        <f>SUM(AE34:AE44)</f>
        <v>31623.420999999995</v>
      </c>
    </row>
    <row r="46" spans="1:31" x14ac:dyDescent="0.25">
      <c r="A46" s="70" t="s">
        <v>84</v>
      </c>
      <c r="B46" s="77">
        <f>SUM(B34:B45)</f>
        <v>34739.040000000001</v>
      </c>
      <c r="C46" s="77">
        <f>SUM(C34:C45)</f>
        <v>34739.040000000001</v>
      </c>
      <c r="D46" s="77">
        <f>SUM(D34:D45)</f>
        <v>34739.040000000001</v>
      </c>
      <c r="E46" s="77">
        <f t="shared" ref="E46:Y46" si="59">SUM(E34:E45)</f>
        <v>34739.040000000001</v>
      </c>
      <c r="F46" s="77">
        <f>SUM(F34:F45)</f>
        <v>34735.837324310618</v>
      </c>
      <c r="G46" s="77">
        <f t="shared" si="59"/>
        <v>34715.35131683229</v>
      </c>
      <c r="H46" s="77">
        <f t="shared" si="59"/>
        <v>34711.526994589709</v>
      </c>
      <c r="I46" s="77">
        <f t="shared" si="59"/>
        <v>34707.723706119468</v>
      </c>
      <c r="J46" s="77">
        <f t="shared" si="59"/>
        <v>34703.941335735806</v>
      </c>
      <c r="K46" s="77">
        <f t="shared" si="59"/>
        <v>34700.179768389266</v>
      </c>
      <c r="L46" s="77">
        <f t="shared" si="59"/>
        <v>34696.438889663121</v>
      </c>
      <c r="M46" s="77">
        <f t="shared" si="59"/>
        <v>34692.337915363671</v>
      </c>
      <c r="N46" s="77">
        <f t="shared" si="59"/>
        <v>34684.509089329171</v>
      </c>
      <c r="O46" s="77">
        <f t="shared" si="59"/>
        <v>34672.894692634276</v>
      </c>
      <c r="P46" s="77">
        <f t="shared" si="59"/>
        <v>34660.717254324787</v>
      </c>
      <c r="Q46" s="77">
        <f t="shared" si="59"/>
        <v>34648.606791926002</v>
      </c>
      <c r="R46" s="77">
        <f t="shared" si="59"/>
        <v>34636.562937070412</v>
      </c>
      <c r="S46" s="77">
        <f t="shared" si="59"/>
        <v>34624.585323416519</v>
      </c>
      <c r="T46" s="77">
        <f t="shared" si="59"/>
        <v>34609.903919645636</v>
      </c>
      <c r="U46" s="77">
        <f t="shared" si="59"/>
        <v>34590.698621223157</v>
      </c>
      <c r="V46" s="77">
        <f t="shared" si="59"/>
        <v>34570.79080130643</v>
      </c>
      <c r="W46" s="77">
        <f t="shared" si="59"/>
        <v>34550.877413019545</v>
      </c>
      <c r="X46" s="77">
        <f t="shared" si="59"/>
        <v>34526.789984747935</v>
      </c>
      <c r="Y46" s="77">
        <f t="shared" si="59"/>
        <v>34502.493286366218</v>
      </c>
      <c r="Z46" s="77">
        <f>SUM(Z34:Z45)</f>
        <v>34474.626280791206</v>
      </c>
      <c r="AC46" s="93" t="s">
        <v>89</v>
      </c>
      <c r="AD46" s="93"/>
      <c r="AE46" s="38">
        <v>4332.8</v>
      </c>
    </row>
    <row r="47" spans="1:31" ht="15.75" x14ac:dyDescent="0.25">
      <c r="A47" s="78" t="s">
        <v>151</v>
      </c>
      <c r="B47" s="78">
        <f>B46-$AE$46</f>
        <v>30406.240000000002</v>
      </c>
      <c r="C47" s="78">
        <f t="shared" ref="C47:Z47" si="60">C46-$AE$46</f>
        <v>30406.240000000002</v>
      </c>
      <c r="D47" s="78">
        <f t="shared" si="60"/>
        <v>30406.240000000002</v>
      </c>
      <c r="E47" s="78">
        <f t="shared" si="60"/>
        <v>30406.240000000002</v>
      </c>
      <c r="F47" s="78">
        <f t="shared" si="60"/>
        <v>30403.037324310619</v>
      </c>
      <c r="G47" s="78">
        <f t="shared" si="60"/>
        <v>30382.55131683229</v>
      </c>
      <c r="H47" s="78">
        <f t="shared" si="60"/>
        <v>30378.72699458971</v>
      </c>
      <c r="I47" s="78">
        <f t="shared" si="60"/>
        <v>30374.923706119469</v>
      </c>
      <c r="J47" s="78">
        <f t="shared" si="60"/>
        <v>30371.141335735807</v>
      </c>
      <c r="K47" s="78">
        <f t="shared" si="60"/>
        <v>30367.379768389266</v>
      </c>
      <c r="L47" s="78">
        <f t="shared" si="60"/>
        <v>30363.638889663122</v>
      </c>
      <c r="M47" s="78">
        <f t="shared" si="60"/>
        <v>30359.537915363671</v>
      </c>
      <c r="N47" s="78">
        <f t="shared" si="60"/>
        <v>30351.709089329172</v>
      </c>
      <c r="O47" s="78">
        <f t="shared" si="60"/>
        <v>30340.094692634277</v>
      </c>
      <c r="P47" s="78">
        <f t="shared" si="60"/>
        <v>30327.917254324788</v>
      </c>
      <c r="Q47" s="78">
        <f t="shared" si="60"/>
        <v>30315.806791926003</v>
      </c>
      <c r="R47" s="78">
        <f t="shared" si="60"/>
        <v>30303.762937070413</v>
      </c>
      <c r="S47" s="78">
        <f t="shared" si="60"/>
        <v>30291.78532341652</v>
      </c>
      <c r="T47" s="78">
        <f t="shared" si="60"/>
        <v>30277.103919645637</v>
      </c>
      <c r="U47" s="78">
        <f t="shared" si="60"/>
        <v>30257.898621223158</v>
      </c>
      <c r="V47" s="78">
        <f t="shared" si="60"/>
        <v>30237.990801306431</v>
      </c>
      <c r="W47" s="78">
        <f t="shared" si="60"/>
        <v>30218.077413019546</v>
      </c>
      <c r="X47" s="78">
        <f t="shared" si="60"/>
        <v>30193.989984747936</v>
      </c>
      <c r="Y47" s="78">
        <f t="shared" si="60"/>
        <v>30169.693286366219</v>
      </c>
      <c r="Z47" s="78">
        <f t="shared" si="60"/>
        <v>30141.826280791207</v>
      </c>
      <c r="AC47" s="92"/>
      <c r="AD47" s="92"/>
      <c r="AE47" s="48"/>
    </row>
  </sheetData>
  <mergeCells count="4">
    <mergeCell ref="AE1:BC3"/>
    <mergeCell ref="B4:C4"/>
    <mergeCell ref="AC46:AD46"/>
    <mergeCell ref="AC47:AD47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AH5:AH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Sartori</dc:creator>
  <cp:lastModifiedBy>Leonardo Sartori</cp:lastModifiedBy>
  <dcterms:created xsi:type="dcterms:W3CDTF">2023-09-26T21:02:56Z</dcterms:created>
  <dcterms:modified xsi:type="dcterms:W3CDTF">2023-12-06T18:20:56Z</dcterms:modified>
</cp:coreProperties>
</file>