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scratch/nprice/Game/ColourBlind/"/>
    </mc:Choice>
  </mc:AlternateContent>
  <xr:revisionPtr revIDLastSave="0" documentId="13_ncr:1_{8FFEE194-8973-1044-88DF-4FBDC1854B22}" xr6:coauthVersionLast="46" xr6:coauthVersionMax="46" xr10:uidLastSave="{00000000-0000-0000-0000-000000000000}"/>
  <bookViews>
    <workbookView xWindow="33720" yWindow="8040" windowWidth="34620" windowHeight="22020" xr2:uid="{84E18BE3-57C3-EB4F-B361-3EF4F87331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1" l="1"/>
  <c r="Q39" i="1"/>
  <c r="Q40" i="1"/>
  <c r="Q42" i="1"/>
  <c r="Q45" i="1"/>
  <c r="Q46" i="1"/>
  <c r="Q47" i="1"/>
  <c r="N47" i="1"/>
  <c r="P47" i="1" s="1"/>
  <c r="I39" i="1"/>
  <c r="H39" i="1"/>
  <c r="G39" i="1"/>
  <c r="F39" i="1"/>
  <c r="E39" i="1"/>
  <c r="D39" i="1"/>
  <c r="M6" i="1"/>
  <c r="N6" i="1" s="1"/>
  <c r="Q6" i="1" s="1"/>
  <c r="N20" i="1"/>
  <c r="P20" i="1" s="1"/>
  <c r="M20" i="1"/>
  <c r="M19" i="1"/>
  <c r="M18" i="1"/>
  <c r="O18" i="1" s="1"/>
  <c r="M17" i="1"/>
  <c r="O17" i="1" s="1"/>
  <c r="M16" i="1"/>
  <c r="O16" i="1" s="1"/>
  <c r="M15" i="1"/>
  <c r="N18" i="1" s="1"/>
  <c r="O26" i="1"/>
  <c r="P26" i="1"/>
  <c r="N25" i="1"/>
  <c r="N26" i="1"/>
  <c r="M22" i="1"/>
  <c r="P22" i="1" s="1"/>
  <c r="M26" i="1"/>
  <c r="Q26" i="1" s="1"/>
  <c r="M25" i="1"/>
  <c r="O25" i="1" s="1"/>
  <c r="M24" i="1"/>
  <c r="N24" i="1" s="1"/>
  <c r="M23" i="1"/>
  <c r="N23" i="1" s="1"/>
  <c r="M13" i="1"/>
  <c r="O13" i="1" s="1"/>
  <c r="N13" i="1"/>
  <c r="P13" i="1" s="1"/>
  <c r="O9" i="1"/>
  <c r="N9" i="1"/>
  <c r="M11" i="1"/>
  <c r="P11" i="1" s="1"/>
  <c r="M10" i="1"/>
  <c r="M9" i="1"/>
  <c r="P9" i="1" s="1"/>
  <c r="M8" i="1"/>
  <c r="O8" i="1" s="1"/>
  <c r="O6" i="1"/>
  <c r="P6" i="1" s="1"/>
  <c r="M4" i="1"/>
  <c r="P24" i="1" l="1"/>
  <c r="O24" i="1"/>
  <c r="P8" i="1"/>
  <c r="N8" i="1"/>
  <c r="Q8" i="1" s="1"/>
  <c r="N19" i="1"/>
  <c r="P19" i="1" s="1"/>
  <c r="Q24" i="1"/>
  <c r="R24" i="1" s="1"/>
  <c r="T24" i="1" s="1"/>
  <c r="Q9" i="1"/>
  <c r="R26" i="1"/>
  <c r="T26" i="1" s="1"/>
  <c r="S26" i="1"/>
  <c r="Q20" i="1"/>
  <c r="S20" i="1" s="1"/>
  <c r="P18" i="1"/>
  <c r="Q18" i="1" s="1"/>
  <c r="R9" i="1"/>
  <c r="T9" i="1" s="1"/>
  <c r="S9" i="1"/>
  <c r="S24" i="1"/>
  <c r="R6" i="1"/>
  <c r="T6" i="1" s="1"/>
  <c r="N40" i="1" s="1"/>
  <c r="P40" i="1" s="1"/>
  <c r="S6" i="1"/>
  <c r="O22" i="1"/>
  <c r="O10" i="1"/>
  <c r="N22" i="1"/>
  <c r="Q22" i="1" s="1"/>
  <c r="O20" i="1"/>
  <c r="P23" i="1"/>
  <c r="O15" i="1"/>
  <c r="O19" i="1"/>
  <c r="M28" i="1"/>
  <c r="O4" i="1"/>
  <c r="N15" i="1"/>
  <c r="P10" i="1"/>
  <c r="O23" i="1"/>
  <c r="Q23" i="1" s="1"/>
  <c r="Q13" i="1"/>
  <c r="N16" i="1"/>
  <c r="N10" i="1"/>
  <c r="P25" i="1"/>
  <c r="Q25" i="1" s="1"/>
  <c r="N17" i="1"/>
  <c r="P17" i="1" s="1"/>
  <c r="O11" i="1"/>
  <c r="N11" i="1"/>
  <c r="P4" i="1"/>
  <c r="N4" i="1"/>
  <c r="S18" i="1" l="1"/>
  <c r="R18" i="1"/>
  <c r="T18" i="1" s="1"/>
  <c r="S8" i="1"/>
  <c r="R8" i="1"/>
  <c r="T8" i="1" s="1"/>
  <c r="N41" i="1" s="1"/>
  <c r="P41" i="1" s="1"/>
  <c r="Q10" i="1"/>
  <c r="R10" i="1" s="1"/>
  <c r="T10" i="1" s="1"/>
  <c r="Q11" i="1"/>
  <c r="S11" i="1" s="1"/>
  <c r="Q19" i="1"/>
  <c r="S25" i="1"/>
  <c r="R25" i="1"/>
  <c r="T25" i="1" s="1"/>
  <c r="R22" i="1"/>
  <c r="T22" i="1" s="1"/>
  <c r="N44" i="1" s="1"/>
  <c r="P44" i="1" s="1"/>
  <c r="S22" i="1"/>
  <c r="R19" i="1"/>
  <c r="T19" i="1" s="1"/>
  <c r="S19" i="1"/>
  <c r="S23" i="1"/>
  <c r="R23" i="1"/>
  <c r="T23" i="1" s="1"/>
  <c r="O44" i="1" s="1"/>
  <c r="Q44" i="1" s="1"/>
  <c r="Q17" i="1"/>
  <c r="N28" i="1"/>
  <c r="P15" i="1"/>
  <c r="Q15" i="1"/>
  <c r="O28" i="1"/>
  <c r="R20" i="1"/>
  <c r="T20" i="1" s="1"/>
  <c r="Q4" i="1"/>
  <c r="R13" i="1"/>
  <c r="T13" i="1" s="1"/>
  <c r="N42" i="1" s="1"/>
  <c r="P42" i="1" s="1"/>
  <c r="S13" i="1"/>
  <c r="P16" i="1"/>
  <c r="Q16" i="1" s="1"/>
  <c r="R11" i="1" l="1"/>
  <c r="T11" i="1" s="1"/>
  <c r="S10" i="1"/>
  <c r="O41" i="1"/>
  <c r="Q41" i="1" s="1"/>
  <c r="P28" i="1"/>
  <c r="S16" i="1"/>
  <c r="R16" i="1"/>
  <c r="T16" i="1" s="1"/>
  <c r="O43" i="1" s="1"/>
  <c r="Q43" i="1" s="1"/>
  <c r="R15" i="1"/>
  <c r="T15" i="1" s="1"/>
  <c r="N43" i="1" s="1"/>
  <c r="P43" i="1" s="1"/>
  <c r="S15" i="1"/>
  <c r="Q28" i="1"/>
  <c r="S4" i="1"/>
  <c r="R4" i="1"/>
  <c r="S17" i="1"/>
  <c r="R17" i="1"/>
  <c r="T17" i="1" s="1"/>
  <c r="S28" i="1" l="1"/>
  <c r="R28" i="1"/>
  <c r="T4" i="1"/>
  <c r="T29" i="1" l="1"/>
  <c r="P45" i="1" s="1"/>
  <c r="T28" i="1"/>
  <c r="N46" i="1"/>
  <c r="P46" i="1" s="1"/>
  <c r="N39" i="1"/>
  <c r="P39" i="1" s="1"/>
</calcChain>
</file>

<file path=xl/sharedStrings.xml><?xml version="1.0" encoding="utf-8"?>
<sst xmlns="http://schemas.openxmlformats.org/spreadsheetml/2006/main" count="138" uniqueCount="64">
  <si>
    <t>Tower and Economy Balancing</t>
  </si>
  <si>
    <t>Relevant Tower Stats:</t>
  </si>
  <si>
    <t>damage</t>
  </si>
  <si>
    <t>Calculated Basic Tower DPS:</t>
  </si>
  <si>
    <t>type1</t>
  </si>
  <si>
    <t>type2</t>
  </si>
  <si>
    <t>type3</t>
  </si>
  <si>
    <t>type4</t>
  </si>
  <si>
    <t>unit test</t>
  </si>
  <si>
    <t>pierce test</t>
  </si>
  <si>
    <t>fire interval</t>
  </si>
  <si>
    <t>pierce</t>
  </si>
  <si>
    <t>range (radius)</t>
  </si>
  <si>
    <t>type5</t>
  </si>
  <si>
    <t>type6</t>
  </si>
  <si>
    <t>range</t>
  </si>
  <si>
    <t>unit and peirce tests had covered track distance of (2r^2)^0.5</t>
  </si>
  <si>
    <t>pierce test assumed max pierce used</t>
  </si>
  <si>
    <t>N/A</t>
  </si>
  <si>
    <t>FOV (beam width angle)</t>
  </si>
  <si>
    <t>* assumed enemy spacing distance:</t>
  </si>
  <si>
    <t>slow multiplier (damage)</t>
  </si>
  <si>
    <t>min speed</t>
  </si>
  <si>
    <t>cheese rating (/10)</t>
  </si>
  <si>
    <t>shots</t>
  </si>
  <si>
    <t>hits</t>
  </si>
  <si>
    <t>buff value (damage)</t>
  </si>
  <si>
    <t>money boost?</t>
  </si>
  <si>
    <t>average win fraction</t>
  </si>
  <si>
    <t>scaled unit</t>
  </si>
  <si>
    <t>scaled pierce</t>
  </si>
  <si>
    <t>scaled tests compare covered track distance to total distance</t>
  </si>
  <si>
    <t>assumed total distance of track:</t>
  </si>
  <si>
    <t>avg.</t>
  </si>
  <si>
    <t>Avg.</t>
  </si>
  <si>
    <t>--------------</t>
  </si>
  <si>
    <t>aim(/1)</t>
  </si>
  <si>
    <t>aim-adjusted avg.</t>
  </si>
  <si>
    <t>cheese-adjusted avg.</t>
  </si>
  <si>
    <t>fully-adjusted avg.</t>
  </si>
  <si>
    <t>Prices</t>
  </si>
  <si>
    <t>basic</t>
  </si>
  <si>
    <t>base value:</t>
  </si>
  <si>
    <t>basic only</t>
  </si>
  <si>
    <t>rounded</t>
  </si>
  <si>
    <t>b</t>
  </si>
  <si>
    <t>u</t>
  </si>
  <si>
    <t>upgrade (sp)</t>
  </si>
  <si>
    <t>(half of amount gathered in an average wave)</t>
  </si>
  <si>
    <t>KEY:</t>
  </si>
  <si>
    <t xml:space="preserve"> = Edit values when balancing</t>
  </si>
  <si>
    <t xml:space="preserve"> = May edit equations when balancing, but preferably not</t>
  </si>
  <si>
    <t xml:space="preserve"> = Don't edit if at all avoidable</t>
  </si>
  <si>
    <t>Basic</t>
  </si>
  <si>
    <t>*AoE</t>
  </si>
  <si>
    <t>Pierce</t>
  </si>
  <si>
    <t>AoE</t>
  </si>
  <si>
    <t>*Ray</t>
  </si>
  <si>
    <t>Ray</t>
  </si>
  <si>
    <t>Slowing</t>
  </si>
  <si>
    <t>Quadshot</t>
  </si>
  <si>
    <t>Sniper</t>
  </si>
  <si>
    <t>Buff</t>
  </si>
  <si>
    <t>Beacon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</si>
</sst>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6" fillId="0" borderId="0" xfId="0" quotePrefix="1" applyFont="1"/>
    <xf numFmtId="0" fontId="5" fillId="0" borderId="3" xfId="0" applyFont="1" applyBorder="1"/>
    <xf numFmtId="0" fontId="6" fillId="0" borderId="1" xfId="0" applyFont="1" applyBorder="1"/>
    <xf numFmtId="0" fontId="6" fillId="0" borderId="3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 applyBorder="1"/>
    <xf numFmtId="0" fontId="0" fillId="0" borderId="9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  <xf numFmtId="0" fontId="3" fillId="0" borderId="4" xfId="0" applyFont="1" applyBorder="1"/>
    <xf numFmtId="0" fontId="0" fillId="0" borderId="10" xfId="0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6" fontId="0" fillId="0" borderId="0" xfId="0" applyNumberFormat="1"/>
    <xf numFmtId="6" fontId="0" fillId="2" borderId="0" xfId="0" applyNumberFormat="1" applyFill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3" fontId="0" fillId="2" borderId="0" xfId="0" applyNumberFormat="1" applyFill="1"/>
    <xf numFmtId="6" fontId="0" fillId="3" borderId="6" xfId="0" applyNumberFormat="1" applyFill="1" applyBorder="1"/>
    <xf numFmtId="0" fontId="0" fillId="3" borderId="7" xfId="0" applyFill="1" applyBorder="1"/>
    <xf numFmtId="0" fontId="0" fillId="3" borderId="1" xfId="0" applyFill="1" applyBorder="1"/>
    <xf numFmtId="8" fontId="0" fillId="3" borderId="1" xfId="0" applyNumberFormat="1" applyFill="1" applyBorder="1"/>
    <xf numFmtId="6" fontId="0" fillId="3" borderId="1" xfId="0" applyNumberFormat="1" applyFill="1" applyBorder="1"/>
    <xf numFmtId="0" fontId="0" fillId="3" borderId="0" xfId="0" applyFill="1"/>
    <xf numFmtId="0" fontId="7" fillId="0" borderId="5" xfId="0" applyFont="1" applyBorder="1"/>
    <xf numFmtId="0" fontId="0" fillId="2" borderId="6" xfId="0" applyFill="1" applyBorder="1"/>
    <xf numFmtId="0" fontId="0" fillId="0" borderId="6" xfId="0" quotePrefix="1" applyBorder="1"/>
    <xf numFmtId="0" fontId="0" fillId="0" borderId="6" xfId="0" applyBorder="1"/>
    <xf numFmtId="0" fontId="0" fillId="3" borderId="0" xfId="0" applyFill="1" applyBorder="1"/>
    <xf numFmtId="0" fontId="0" fillId="0" borderId="0" xfId="0" quotePrefix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FBAB-C336-E848-A291-523434C7FB43}">
  <dimension ref="A1:W58"/>
  <sheetViews>
    <sheetView tabSelected="1" topLeftCell="A3" workbookViewId="0">
      <selection activeCell="J43" sqref="J43"/>
    </sheetView>
  </sheetViews>
  <sheetFormatPr baseColWidth="10" defaultRowHeight="16" x14ac:dyDescent="0.2"/>
  <cols>
    <col min="3" max="3" width="21.5" customWidth="1"/>
    <col min="4" max="4" width="13" customWidth="1"/>
    <col min="15" max="16" width="11.5" customWidth="1"/>
    <col min="18" max="18" width="19" customWidth="1"/>
    <col min="19" max="19" width="19.1640625" customWidth="1"/>
    <col min="20" max="20" width="16.1640625" customWidth="1"/>
  </cols>
  <sheetData>
    <row r="1" spans="1:23" x14ac:dyDescent="0.2">
      <c r="A1" s="2" t="s">
        <v>0</v>
      </c>
      <c r="F1" t="s">
        <v>16</v>
      </c>
      <c r="K1" t="s">
        <v>17</v>
      </c>
      <c r="O1" t="s">
        <v>20</v>
      </c>
      <c r="R1" s="33">
        <v>0.4</v>
      </c>
    </row>
    <row r="2" spans="1:23" x14ac:dyDescent="0.2">
      <c r="F2" t="s">
        <v>31</v>
      </c>
      <c r="O2" t="s">
        <v>32</v>
      </c>
      <c r="R2" s="37">
        <v>10000</v>
      </c>
    </row>
    <row r="3" spans="1:23" x14ac:dyDescent="0.2">
      <c r="A3" s="4"/>
      <c r="B3" s="5" t="s">
        <v>1</v>
      </c>
      <c r="C3" s="4"/>
      <c r="D3" s="7" t="s">
        <v>4</v>
      </c>
      <c r="E3" s="7" t="s">
        <v>5</v>
      </c>
      <c r="F3" s="7" t="s">
        <v>6</v>
      </c>
      <c r="G3" s="7" t="s">
        <v>7</v>
      </c>
      <c r="H3" s="7" t="s">
        <v>13</v>
      </c>
      <c r="I3" s="8" t="s">
        <v>14</v>
      </c>
      <c r="J3" s="5" t="s">
        <v>3</v>
      </c>
      <c r="K3" s="4"/>
      <c r="L3" s="4"/>
      <c r="M3" s="7" t="s">
        <v>8</v>
      </c>
      <c r="N3" s="7" t="s">
        <v>9</v>
      </c>
      <c r="O3" s="7" t="s">
        <v>29</v>
      </c>
      <c r="P3" s="8" t="s">
        <v>30</v>
      </c>
      <c r="Q3" s="13" t="s">
        <v>33</v>
      </c>
      <c r="R3" s="11" t="s">
        <v>37</v>
      </c>
      <c r="S3" s="11" t="s">
        <v>38</v>
      </c>
      <c r="T3" s="11" t="s">
        <v>39</v>
      </c>
      <c r="U3" s="4"/>
      <c r="V3" s="4"/>
      <c r="W3" s="4"/>
    </row>
    <row r="4" spans="1:23" x14ac:dyDescent="0.2">
      <c r="B4" s="1" t="s">
        <v>53</v>
      </c>
      <c r="C4" t="s">
        <v>2</v>
      </c>
      <c r="D4" s="33">
        <v>1</v>
      </c>
      <c r="I4" s="3"/>
      <c r="K4" s="1" t="s">
        <v>53</v>
      </c>
      <c r="L4" t="s">
        <v>4</v>
      </c>
      <c r="M4">
        <f>D4/D5</f>
        <v>1.4285714285714286</v>
      </c>
      <c r="N4">
        <f>D6*M4</f>
        <v>2.8571428571428572</v>
      </c>
      <c r="O4">
        <f>((2*D7^2)^0.5)*M4/R2</f>
        <v>4.040610178208843E-4</v>
      </c>
      <c r="P4" s="3">
        <f>D6*O4</f>
        <v>8.081220356417686E-4</v>
      </c>
      <c r="Q4" s="14">
        <f>AVERAGE(M4:P4)</f>
        <v>1.0717316171919371</v>
      </c>
      <c r="R4" s="10">
        <f>D9*Q4</f>
        <v>0.96455845547274344</v>
      </c>
      <c r="S4" s="10">
        <f>Q4*D8</f>
        <v>3.2151948515758111</v>
      </c>
      <c r="T4" s="10">
        <f>R4*D8</f>
        <v>2.8936753664182304</v>
      </c>
    </row>
    <row r="5" spans="1:23" x14ac:dyDescent="0.2">
      <c r="C5" t="s">
        <v>10</v>
      </c>
      <c r="D5" s="33">
        <v>0.7</v>
      </c>
      <c r="I5" s="3"/>
      <c r="P5" s="3"/>
      <c r="Q5" s="14"/>
      <c r="R5" s="10"/>
      <c r="S5" s="10"/>
      <c r="T5" s="10"/>
    </row>
    <row r="6" spans="1:23" x14ac:dyDescent="0.2">
      <c r="C6" t="s">
        <v>11</v>
      </c>
      <c r="D6" s="33">
        <v>2</v>
      </c>
      <c r="I6" s="3"/>
      <c r="K6" s="1" t="s">
        <v>54</v>
      </c>
      <c r="L6" t="s">
        <v>4</v>
      </c>
      <c r="M6">
        <f>((2*D12^2)^0.5)*D10/(D11*R1)</f>
        <v>7.0710678118654755</v>
      </c>
      <c r="N6">
        <f>M6</f>
        <v>7.0710678118654755</v>
      </c>
      <c r="O6">
        <f>(2*D12^2)*D10/(D11*R1*R2)</f>
        <v>2E-3</v>
      </c>
      <c r="P6" s="3">
        <f>O6</f>
        <v>2E-3</v>
      </c>
      <c r="Q6" s="14">
        <f t="shared" ref="Q6:Q26" si="0">AVERAGE(M6:P6)</f>
        <v>3.5365339059327381</v>
      </c>
      <c r="R6" s="10">
        <f>D14*Q6</f>
        <v>3.5365339059327381</v>
      </c>
      <c r="S6" s="10">
        <f>Q6*D13</f>
        <v>28.292271247461905</v>
      </c>
      <c r="T6" s="10">
        <f>R6*D13</f>
        <v>28.292271247461905</v>
      </c>
    </row>
    <row r="7" spans="1:23" x14ac:dyDescent="0.2">
      <c r="C7" t="s">
        <v>12</v>
      </c>
      <c r="D7" s="33">
        <v>2</v>
      </c>
      <c r="I7" s="3"/>
      <c r="P7" s="3"/>
      <c r="Q7" s="14"/>
      <c r="R7" s="10"/>
      <c r="S7" s="10"/>
      <c r="T7" s="10"/>
    </row>
    <row r="8" spans="1:23" x14ac:dyDescent="0.2">
      <c r="C8" t="s">
        <v>23</v>
      </c>
      <c r="D8" s="33">
        <v>3</v>
      </c>
      <c r="I8" s="3"/>
      <c r="K8" s="1" t="s">
        <v>55</v>
      </c>
      <c r="L8" t="s">
        <v>4</v>
      </c>
      <c r="M8">
        <f>D19*D15/D16</f>
        <v>7.1428571428571432</v>
      </c>
      <c r="N8">
        <f>D17*M8</f>
        <v>21.428571428571431</v>
      </c>
      <c r="O8">
        <f>((2*D18^2)^0.5)*M8/R2</f>
        <v>1.5152288168283161E-3</v>
      </c>
      <c r="P8" s="3">
        <f>((2*D18^2)^0.5)*M8*D17/R2</f>
        <v>4.5456864504849481E-3</v>
      </c>
      <c r="Q8" s="14">
        <f t="shared" si="0"/>
        <v>7.1443723716739713</v>
      </c>
      <c r="R8" s="10">
        <f>D21*Q8</f>
        <v>6.4299351345065743</v>
      </c>
      <c r="S8" s="10">
        <f>Q8*D20</f>
        <v>21.433117115021915</v>
      </c>
      <c r="T8" s="10">
        <f>R8*D20</f>
        <v>19.289805403519722</v>
      </c>
    </row>
    <row r="9" spans="1:23" x14ac:dyDescent="0.2">
      <c r="B9" s="4"/>
      <c r="C9" s="4" t="s">
        <v>36</v>
      </c>
      <c r="D9" s="34">
        <v>0.9</v>
      </c>
      <c r="E9" s="4"/>
      <c r="F9" s="4"/>
      <c r="G9" s="4"/>
      <c r="H9" s="4"/>
      <c r="I9" s="6"/>
      <c r="L9" t="s">
        <v>5</v>
      </c>
      <c r="M9">
        <f>E19*D15/D16</f>
        <v>21.428571428571431</v>
      </c>
      <c r="N9">
        <f>E17*M9</f>
        <v>64.285714285714292</v>
      </c>
      <c r="O9">
        <f>((2*E18^2)^0.5)*M9/R2</f>
        <v>4.5456864504849481E-3</v>
      </c>
      <c r="P9" s="3">
        <f>((2*E18^2)^0.5)*M9*E17/R2</f>
        <v>1.3637059351454846E-2</v>
      </c>
      <c r="Q9" s="14">
        <f t="shared" si="0"/>
        <v>21.433117115021915</v>
      </c>
      <c r="R9" s="10">
        <f>E21*Q9</f>
        <v>15.00318198051534</v>
      </c>
      <c r="S9" s="10">
        <f>Q9*E20</f>
        <v>107.16558557510957</v>
      </c>
      <c r="T9" s="10">
        <f>R9*E20</f>
        <v>75.015909902576695</v>
      </c>
    </row>
    <row r="10" spans="1:23" x14ac:dyDescent="0.2">
      <c r="B10" s="1" t="s">
        <v>54</v>
      </c>
      <c r="C10" t="s">
        <v>2</v>
      </c>
      <c r="D10" s="33">
        <v>0.1</v>
      </c>
      <c r="I10" s="3"/>
      <c r="L10" t="s">
        <v>6</v>
      </c>
      <c r="M10">
        <f>F19*D15/D16</f>
        <v>35.714285714285715</v>
      </c>
      <c r="N10">
        <f>F17*M10</f>
        <v>107.14285714285714</v>
      </c>
      <c r="O10">
        <f>((2*F18^2)^0.5)*M10/R2</f>
        <v>7.5761440841415808E-3</v>
      </c>
      <c r="P10" s="3">
        <f>((2*F18^2)^0.5)*M10*F17/R2</f>
        <v>2.2728432252424741E-2</v>
      </c>
      <c r="Q10" s="14">
        <f t="shared" si="0"/>
        <v>35.721861858369856</v>
      </c>
      <c r="R10" s="10">
        <f>F21*Q10</f>
        <v>17.860930929184928</v>
      </c>
      <c r="S10" s="10">
        <f>Q10*F20</f>
        <v>232.19210207940407</v>
      </c>
      <c r="T10" s="10">
        <f>R10*F20</f>
        <v>116.09605103970203</v>
      </c>
    </row>
    <row r="11" spans="1:23" x14ac:dyDescent="0.2">
      <c r="C11" t="s">
        <v>10</v>
      </c>
      <c r="D11" s="33">
        <v>0.1</v>
      </c>
      <c r="I11" s="3"/>
      <c r="L11" t="s">
        <v>7</v>
      </c>
      <c r="M11">
        <f>G19*D15/D16</f>
        <v>35.714285714285715</v>
      </c>
      <c r="N11">
        <f>G17*M11</f>
        <v>107.14285714285714</v>
      </c>
      <c r="O11">
        <f>((2*G18^2)^0.5)*M11/R2</f>
        <v>7.5761440841415808E-3</v>
      </c>
      <c r="P11" s="3">
        <f>((2*G18^2)^0.5)*M11*G17/R2</f>
        <v>2.2728432252424741E-2</v>
      </c>
      <c r="Q11" s="14">
        <f t="shared" si="0"/>
        <v>35.721861858369856</v>
      </c>
      <c r="R11" s="10">
        <f>G21*Q11</f>
        <v>21.433117115021911</v>
      </c>
      <c r="S11" s="10">
        <f>Q11*G20</f>
        <v>250.05303300858898</v>
      </c>
      <c r="T11" s="10">
        <f>R11*G20</f>
        <v>150.03181980515339</v>
      </c>
    </row>
    <row r="12" spans="1:23" x14ac:dyDescent="0.2">
      <c r="C12" t="s">
        <v>15</v>
      </c>
      <c r="D12" s="33">
        <v>2</v>
      </c>
      <c r="I12" s="3"/>
      <c r="P12" s="3"/>
      <c r="Q12" s="14"/>
      <c r="R12" s="10"/>
      <c r="S12" s="10"/>
      <c r="T12" s="10"/>
    </row>
    <row r="13" spans="1:23" x14ac:dyDescent="0.2">
      <c r="C13" t="s">
        <v>23</v>
      </c>
      <c r="D13" s="33">
        <v>8</v>
      </c>
      <c r="I13" s="3"/>
      <c r="K13" s="1" t="s">
        <v>57</v>
      </c>
      <c r="L13" t="s">
        <v>4</v>
      </c>
      <c r="M13">
        <f>(D25/90)*((2*D24^2)^0.5)*D22/(R1*D23)</f>
        <v>3.5355339059327378</v>
      </c>
      <c r="N13">
        <f>0.25*((2*D24^2)^0.5)*D22/(R1*D23)</f>
        <v>1.7677669529663689</v>
      </c>
      <c r="O13">
        <f>((2*D24^2)^0.5)*M13/R2</f>
        <v>5.0000000000000012E-4</v>
      </c>
      <c r="P13" s="3">
        <f>((2*D24^2)^0.5)*N13/R2</f>
        <v>2.5000000000000006E-4</v>
      </c>
      <c r="Q13" s="14">
        <f t="shared" si="0"/>
        <v>1.3260127147247767</v>
      </c>
      <c r="R13" s="10">
        <f>D27*Q13</f>
        <v>1.3260127147247767</v>
      </c>
      <c r="S13" s="10">
        <f>Q13*D26</f>
        <v>7.95607628834866</v>
      </c>
      <c r="T13" s="10">
        <f>R13*D26</f>
        <v>7.95607628834866</v>
      </c>
    </row>
    <row r="14" spans="1:23" x14ac:dyDescent="0.2">
      <c r="B14" s="4"/>
      <c r="C14" s="4" t="s">
        <v>36</v>
      </c>
      <c r="D14" s="34">
        <v>1</v>
      </c>
      <c r="E14" s="4"/>
      <c r="F14" s="4"/>
      <c r="G14" s="4"/>
      <c r="H14" s="4"/>
      <c r="I14" s="6"/>
      <c r="P14" s="3"/>
      <c r="Q14" s="14"/>
      <c r="R14" s="10"/>
      <c r="S14" s="10"/>
      <c r="T14" s="10"/>
    </row>
    <row r="15" spans="1:23" x14ac:dyDescent="0.2">
      <c r="B15" s="1" t="s">
        <v>55</v>
      </c>
      <c r="C15" t="s">
        <v>2</v>
      </c>
      <c r="D15" s="33">
        <v>5</v>
      </c>
      <c r="E15" s="33">
        <v>5</v>
      </c>
      <c r="F15" s="33">
        <v>5</v>
      </c>
      <c r="G15" s="33">
        <v>5</v>
      </c>
      <c r="I15" s="3"/>
      <c r="K15" s="1" t="s">
        <v>60</v>
      </c>
      <c r="L15" t="s">
        <v>4</v>
      </c>
      <c r="M15">
        <f>4*D34/D36</f>
        <v>20</v>
      </c>
      <c r="N15">
        <f>D35*M15</f>
        <v>40</v>
      </c>
      <c r="O15">
        <f>M15/R2</f>
        <v>2E-3</v>
      </c>
      <c r="P15" s="3">
        <f>((2*D37^2)^0.5)*N15/R2</f>
        <v>5.6568542494923801E-3</v>
      </c>
      <c r="Q15" s="14">
        <f t="shared" si="0"/>
        <v>15.001914213562374</v>
      </c>
      <c r="R15" s="10">
        <f>D39*Q15</f>
        <v>3.1854560576760753</v>
      </c>
      <c r="S15" s="10">
        <f>Q15*D38</f>
        <v>15.001914213562374</v>
      </c>
      <c r="T15" s="10">
        <f>R15*D38</f>
        <v>3.1854560576760753</v>
      </c>
    </row>
    <row r="16" spans="1:23" x14ac:dyDescent="0.2">
      <c r="C16" t="s">
        <v>10</v>
      </c>
      <c r="D16" s="33">
        <v>0.7</v>
      </c>
      <c r="E16" s="33">
        <v>0.7</v>
      </c>
      <c r="F16" s="33">
        <v>0.7</v>
      </c>
      <c r="G16" s="33">
        <v>0.7</v>
      </c>
      <c r="I16" s="3"/>
      <c r="L16" t="s">
        <v>5</v>
      </c>
      <c r="M16">
        <f>4*E34/E36</f>
        <v>20</v>
      </c>
      <c r="N16">
        <f>E35*M15</f>
        <v>100</v>
      </c>
      <c r="O16">
        <f>M16/R2</f>
        <v>2E-3</v>
      </c>
      <c r="P16" s="3">
        <f>((2*E37^2)^0.5)*N16/R2</f>
        <v>1.4142135623730951E-2</v>
      </c>
      <c r="Q16" s="14">
        <f t="shared" si="0"/>
        <v>30.004035533905931</v>
      </c>
      <c r="R16" s="10">
        <f>E39*Q16</f>
        <v>6.6405892322878559</v>
      </c>
      <c r="S16" s="10">
        <f>Q16*E38</f>
        <v>60.008071067811862</v>
      </c>
      <c r="T16" s="10">
        <f>R16*E38</f>
        <v>13.281178464575712</v>
      </c>
    </row>
    <row r="17" spans="2:21" x14ac:dyDescent="0.2">
      <c r="C17" t="s">
        <v>11</v>
      </c>
      <c r="D17" s="33">
        <v>3</v>
      </c>
      <c r="E17" s="33">
        <v>3</v>
      </c>
      <c r="F17" s="33">
        <v>3</v>
      </c>
      <c r="G17" s="33">
        <v>3</v>
      </c>
      <c r="I17" s="3"/>
      <c r="L17" t="s">
        <v>6</v>
      </c>
      <c r="M17">
        <f>4*F34/F36</f>
        <v>20</v>
      </c>
      <c r="N17">
        <f>F35*M15</f>
        <v>160</v>
      </c>
      <c r="O17">
        <f>M17/R2</f>
        <v>2E-3</v>
      </c>
      <c r="P17" s="3">
        <f>((2*F37^2)^0.5)*N17/R2</f>
        <v>2.262741699796952E-2</v>
      </c>
      <c r="Q17" s="14">
        <f t="shared" si="0"/>
        <v>45.006156854249497</v>
      </c>
      <c r="R17" s="10">
        <f>F39*Q17</f>
        <v>10.378061521581373</v>
      </c>
      <c r="S17" s="10">
        <f>Q17*F38</f>
        <v>126.01723919189858</v>
      </c>
      <c r="T17" s="10">
        <f>R17*F38</f>
        <v>29.058572260427841</v>
      </c>
    </row>
    <row r="18" spans="2:21" x14ac:dyDescent="0.2">
      <c r="C18" t="s">
        <v>12</v>
      </c>
      <c r="D18" s="33">
        <v>1.5</v>
      </c>
      <c r="E18" s="33">
        <v>1.5</v>
      </c>
      <c r="F18" s="33">
        <v>1.5</v>
      </c>
      <c r="G18" s="33">
        <v>1.5</v>
      </c>
      <c r="I18" s="3"/>
      <c r="L18" t="s">
        <v>7</v>
      </c>
      <c r="M18">
        <f>4*G34/G36</f>
        <v>20</v>
      </c>
      <c r="N18">
        <f>G35*M15</f>
        <v>220</v>
      </c>
      <c r="O18">
        <f>M18/R2</f>
        <v>2E-3</v>
      </c>
      <c r="P18" s="3">
        <f>((2*G37^2)^0.5)*N18/R2</f>
        <v>3.1112698372208092E-2</v>
      </c>
      <c r="Q18" s="14">
        <f t="shared" si="0"/>
        <v>60.008278174593052</v>
      </c>
      <c r="R18" s="10">
        <f>G39*Q18</f>
        <v>14.410928145371035</v>
      </c>
      <c r="S18" s="10">
        <f>Q18*G38</f>
        <v>204.02814579361637</v>
      </c>
      <c r="T18" s="10">
        <f>R18*G38</f>
        <v>48.997155694261515</v>
      </c>
    </row>
    <row r="19" spans="2:21" x14ac:dyDescent="0.2">
      <c r="C19" t="s">
        <v>24</v>
      </c>
      <c r="D19" s="33">
        <v>1</v>
      </c>
      <c r="E19" s="33">
        <v>3</v>
      </c>
      <c r="F19" s="33">
        <v>5</v>
      </c>
      <c r="G19" s="33">
        <v>5</v>
      </c>
      <c r="I19" s="3"/>
      <c r="L19" t="s">
        <v>13</v>
      </c>
      <c r="M19">
        <f>4*H34/H36</f>
        <v>20</v>
      </c>
      <c r="N19">
        <f>H35*M15</f>
        <v>280</v>
      </c>
      <c r="O19">
        <f>M19/R2</f>
        <v>2E-3</v>
      </c>
      <c r="P19" s="3">
        <f>((2*H37^2)^0.5)*N19/R2</f>
        <v>3.959797974644666E-2</v>
      </c>
      <c r="Q19" s="14">
        <f t="shared" si="0"/>
        <v>75.010399494936621</v>
      </c>
      <c r="R19" s="10">
        <f>H39*Q19</f>
        <v>18.752599873734148</v>
      </c>
      <c r="S19" s="10">
        <f>Q19*H38</f>
        <v>285.03951808075914</v>
      </c>
      <c r="T19" s="10">
        <f>R19*H38</f>
        <v>71.259879520189756</v>
      </c>
    </row>
    <row r="20" spans="2:21" x14ac:dyDescent="0.2">
      <c r="C20" t="s">
        <v>23</v>
      </c>
      <c r="D20" s="33">
        <v>3</v>
      </c>
      <c r="E20" s="33">
        <v>5</v>
      </c>
      <c r="F20" s="33">
        <v>6.5</v>
      </c>
      <c r="G20" s="33">
        <v>7</v>
      </c>
      <c r="I20" s="3"/>
      <c r="L20" t="s">
        <v>14</v>
      </c>
      <c r="M20">
        <f>4*I34/I36</f>
        <v>20</v>
      </c>
      <c r="N20">
        <f>I35*M15</f>
        <v>400</v>
      </c>
      <c r="O20">
        <f>M20/R2</f>
        <v>2E-3</v>
      </c>
      <c r="P20" s="3">
        <f>((2*I37^2)^0.5)*N20/R2</f>
        <v>5.6568542494923803E-2</v>
      </c>
      <c r="Q20" s="14">
        <f t="shared" si="0"/>
        <v>105.01464213562373</v>
      </c>
      <c r="R20" s="10">
        <f>I39*Q20</f>
        <v>27.319664428761254</v>
      </c>
      <c r="S20" s="10">
        <f>Q20*I38</f>
        <v>420.05856854249492</v>
      </c>
      <c r="T20" s="10">
        <f>R20*I38</f>
        <v>109.27865771504501</v>
      </c>
    </row>
    <row r="21" spans="2:21" x14ac:dyDescent="0.2">
      <c r="B21" s="4"/>
      <c r="C21" s="4" t="s">
        <v>36</v>
      </c>
      <c r="D21" s="34">
        <v>0.9</v>
      </c>
      <c r="E21" s="34">
        <v>0.7</v>
      </c>
      <c r="F21" s="34">
        <v>0.5</v>
      </c>
      <c r="G21" s="34">
        <v>0.6</v>
      </c>
      <c r="H21" s="4"/>
      <c r="I21" s="6"/>
      <c r="P21" s="3"/>
      <c r="Q21" s="14"/>
      <c r="R21" s="10"/>
      <c r="S21" s="10"/>
      <c r="T21" s="10"/>
    </row>
    <row r="22" spans="2:21" x14ac:dyDescent="0.2">
      <c r="B22" s="1" t="s">
        <v>57</v>
      </c>
      <c r="C22" t="s">
        <v>2</v>
      </c>
      <c r="D22" s="33">
        <v>0.1</v>
      </c>
      <c r="I22" s="3"/>
      <c r="K22" s="1" t="s">
        <v>61</v>
      </c>
      <c r="L22" t="s">
        <v>4</v>
      </c>
      <c r="M22">
        <f>D42*D40/D41</f>
        <v>6.666666666666667</v>
      </c>
      <c r="N22">
        <f>M22</f>
        <v>6.666666666666667</v>
      </c>
      <c r="O22">
        <f>M22</f>
        <v>6.666666666666667</v>
      </c>
      <c r="P22" s="3">
        <f>M22</f>
        <v>6.666666666666667</v>
      </c>
      <c r="Q22" s="14">
        <f t="shared" si="0"/>
        <v>6.666666666666667</v>
      </c>
      <c r="R22" s="10">
        <f>D44*Q22</f>
        <v>6.666666666666667</v>
      </c>
      <c r="S22" s="10">
        <f>Q22*D43</f>
        <v>13.333333333333334</v>
      </c>
      <c r="T22" s="10">
        <f>R22*D43</f>
        <v>13.333333333333334</v>
      </c>
    </row>
    <row r="23" spans="2:21" x14ac:dyDescent="0.2">
      <c r="C23" t="s">
        <v>10</v>
      </c>
      <c r="D23" s="33">
        <v>0.05</v>
      </c>
      <c r="I23" s="3"/>
      <c r="L23" t="s">
        <v>5</v>
      </c>
      <c r="M23">
        <f>E42*E40/E41</f>
        <v>13.333333333333334</v>
      </c>
      <c r="N23">
        <f t="shared" ref="N23:N26" si="1">M23</f>
        <v>13.333333333333334</v>
      </c>
      <c r="O23">
        <f t="shared" ref="O23:O26" si="2">M23</f>
        <v>13.333333333333334</v>
      </c>
      <c r="P23" s="3">
        <f t="shared" ref="P23:P26" si="3">M23</f>
        <v>13.333333333333334</v>
      </c>
      <c r="Q23" s="14">
        <f t="shared" si="0"/>
        <v>13.333333333333334</v>
      </c>
      <c r="R23" s="10">
        <f>E44*Q23</f>
        <v>13.333333333333334</v>
      </c>
      <c r="S23" s="10">
        <f>Q23*E43</f>
        <v>40</v>
      </c>
      <c r="T23" s="10">
        <f>R23*E43</f>
        <v>40</v>
      </c>
    </row>
    <row r="24" spans="2:21" x14ac:dyDescent="0.2">
      <c r="C24" t="s">
        <v>15</v>
      </c>
      <c r="D24" s="33">
        <v>1</v>
      </c>
      <c r="I24" s="3"/>
      <c r="L24" t="s">
        <v>6</v>
      </c>
      <c r="M24">
        <f>F42*F40/F41</f>
        <v>20</v>
      </c>
      <c r="N24">
        <f t="shared" si="1"/>
        <v>20</v>
      </c>
      <c r="O24">
        <f t="shared" si="2"/>
        <v>20</v>
      </c>
      <c r="P24" s="3">
        <f t="shared" si="3"/>
        <v>20</v>
      </c>
      <c r="Q24" s="14">
        <f t="shared" si="0"/>
        <v>20</v>
      </c>
      <c r="R24" s="10">
        <f>F44*Q24</f>
        <v>20</v>
      </c>
      <c r="S24" s="10">
        <f>Q24*F43</f>
        <v>80</v>
      </c>
      <c r="T24" s="10">
        <f>R24*F43</f>
        <v>80</v>
      </c>
    </row>
    <row r="25" spans="2:21" x14ac:dyDescent="0.2">
      <c r="C25" t="s">
        <v>19</v>
      </c>
      <c r="D25" s="33">
        <v>45</v>
      </c>
      <c r="I25" s="3"/>
      <c r="L25" t="s">
        <v>7</v>
      </c>
      <c r="M25">
        <f>G42*G40/G41</f>
        <v>26.666666666666668</v>
      </c>
      <c r="N25">
        <f t="shared" si="1"/>
        <v>26.666666666666668</v>
      </c>
      <c r="O25">
        <f t="shared" si="2"/>
        <v>26.666666666666668</v>
      </c>
      <c r="P25" s="3">
        <f t="shared" si="3"/>
        <v>26.666666666666668</v>
      </c>
      <c r="Q25" s="14">
        <f t="shared" si="0"/>
        <v>26.666666666666668</v>
      </c>
      <c r="R25" s="10">
        <f>G44*Q25</f>
        <v>26.666666666666668</v>
      </c>
      <c r="S25" s="10">
        <f>Q25*G43</f>
        <v>133.33333333333334</v>
      </c>
      <c r="T25" s="10">
        <f>R25*G43</f>
        <v>133.33333333333334</v>
      </c>
    </row>
    <row r="26" spans="2:21" x14ac:dyDescent="0.2">
      <c r="C26" t="s">
        <v>23</v>
      </c>
      <c r="D26" s="33">
        <v>6</v>
      </c>
      <c r="I26" s="3"/>
      <c r="K26" s="4"/>
      <c r="L26" s="4" t="s">
        <v>13</v>
      </c>
      <c r="M26" s="4">
        <f>H42*H40/H41</f>
        <v>33.333333333333336</v>
      </c>
      <c r="N26" s="4">
        <f t="shared" si="1"/>
        <v>33.333333333333336</v>
      </c>
      <c r="O26" s="4">
        <f t="shared" si="2"/>
        <v>33.333333333333336</v>
      </c>
      <c r="P26" s="6">
        <f t="shared" si="3"/>
        <v>33.333333333333336</v>
      </c>
      <c r="Q26" s="15">
        <f t="shared" si="0"/>
        <v>33.333333333333336</v>
      </c>
      <c r="R26" s="10">
        <f>H44*Q26</f>
        <v>33.333333333333336</v>
      </c>
      <c r="S26" s="10">
        <f>Q26*H43</f>
        <v>200</v>
      </c>
      <c r="T26" s="10">
        <f>R26*H43</f>
        <v>200</v>
      </c>
    </row>
    <row r="27" spans="2:21" x14ac:dyDescent="0.2">
      <c r="B27" s="4"/>
      <c r="C27" s="4" t="s">
        <v>36</v>
      </c>
      <c r="D27" s="34">
        <v>1</v>
      </c>
      <c r="E27" s="4"/>
      <c r="F27" s="4"/>
      <c r="G27" s="4"/>
      <c r="H27" s="4"/>
      <c r="I27" s="6"/>
      <c r="P27" s="3"/>
      <c r="R27" s="16"/>
      <c r="S27" s="17"/>
      <c r="T27" s="18"/>
    </row>
    <row r="28" spans="2:21" x14ac:dyDescent="0.2">
      <c r="B28" s="1" t="s">
        <v>59</v>
      </c>
      <c r="C28" t="s">
        <v>21</v>
      </c>
      <c r="D28" s="33">
        <v>0.98</v>
      </c>
      <c r="I28" s="3"/>
      <c r="K28" s="9" t="s">
        <v>34</v>
      </c>
      <c r="L28" s="12" t="s">
        <v>35</v>
      </c>
      <c r="M28" s="10">
        <f>AVERAGEIF(M4:M26,"&lt;&gt;0")</f>
        <v>18.446398508131647</v>
      </c>
      <c r="N28" s="10">
        <f>AVERAGEIF(N4:N26,"&lt;&gt;0")</f>
        <v>89.538665423443035</v>
      </c>
      <c r="O28" s="10">
        <f t="shared" ref="O28:S28" si="4">AVERAGEIF(O4:O26,"&lt;&gt;0")</f>
        <v>5.5575620702474122</v>
      </c>
      <c r="P28" s="14">
        <f t="shared" si="4"/>
        <v>5.568689075545957</v>
      </c>
      <c r="Q28" s="10">
        <f t="shared" si="4"/>
        <v>29.777828769342015</v>
      </c>
      <c r="R28" s="19">
        <f t="shared" si="4"/>
        <v>13.735642749709486</v>
      </c>
      <c r="S28" s="20">
        <f t="shared" si="4"/>
        <v>123.72930576235113</v>
      </c>
      <c r="T28" s="14">
        <f>AVERAGEIF(T4:T26,"&lt;&gt;0")</f>
        <v>63.405731968445735</v>
      </c>
    </row>
    <row r="29" spans="2:21" x14ac:dyDescent="0.2">
      <c r="C29" t="s">
        <v>10</v>
      </c>
      <c r="D29" s="33">
        <v>0.05</v>
      </c>
      <c r="I29" s="3"/>
      <c r="K29" s="4"/>
      <c r="L29" s="4"/>
      <c r="M29" s="4"/>
      <c r="N29" s="4"/>
      <c r="O29" s="4"/>
      <c r="P29" s="6"/>
      <c r="Q29" s="4"/>
      <c r="R29" s="21"/>
      <c r="S29" s="4"/>
      <c r="T29" s="6">
        <f>(T4+T6+T8+T13+T15+T22)/6</f>
        <v>12.491769616126321</v>
      </c>
      <c r="U29" t="s">
        <v>43</v>
      </c>
    </row>
    <row r="30" spans="2:21" x14ac:dyDescent="0.2">
      <c r="C30" t="s">
        <v>22</v>
      </c>
      <c r="D30" s="33">
        <v>100</v>
      </c>
      <c r="I30" s="3"/>
      <c r="K30" s="1" t="s">
        <v>59</v>
      </c>
      <c r="L30" t="s">
        <v>4</v>
      </c>
      <c r="M30" s="43" t="s">
        <v>18</v>
      </c>
      <c r="N30" s="43" t="s">
        <v>18</v>
      </c>
      <c r="O30" s="43"/>
      <c r="P30" s="43"/>
      <c r="Q30" s="43"/>
      <c r="R30" s="43"/>
      <c r="S30" s="43"/>
      <c r="T30" s="43"/>
    </row>
    <row r="31" spans="2:21" x14ac:dyDescent="0.2">
      <c r="C31" t="s">
        <v>15</v>
      </c>
      <c r="D31" s="33">
        <v>1</v>
      </c>
      <c r="I31" s="3"/>
    </row>
    <row r="32" spans="2:21" x14ac:dyDescent="0.2">
      <c r="C32" t="s">
        <v>23</v>
      </c>
      <c r="D32" s="33">
        <v>8</v>
      </c>
      <c r="I32" s="3"/>
      <c r="K32" s="1" t="s">
        <v>62</v>
      </c>
      <c r="L32" t="s">
        <v>4</v>
      </c>
      <c r="M32" s="43" t="s">
        <v>18</v>
      </c>
      <c r="N32" s="43" t="s">
        <v>18</v>
      </c>
      <c r="O32" s="43"/>
      <c r="P32" s="43"/>
      <c r="Q32" s="43"/>
      <c r="R32" s="43"/>
      <c r="S32" s="43"/>
      <c r="T32" s="43"/>
    </row>
    <row r="33" spans="2:20" x14ac:dyDescent="0.2">
      <c r="B33" s="4"/>
      <c r="C33" s="4" t="s">
        <v>36</v>
      </c>
      <c r="D33" s="34">
        <v>1</v>
      </c>
      <c r="E33" s="4"/>
      <c r="F33" s="4"/>
      <c r="G33" s="4"/>
      <c r="H33" s="4"/>
      <c r="I33" s="6"/>
    </row>
    <row r="34" spans="2:20" x14ac:dyDescent="0.2">
      <c r="B34" s="1" t="s">
        <v>60</v>
      </c>
      <c r="C34" t="s">
        <v>2</v>
      </c>
      <c r="D34" s="33">
        <v>5</v>
      </c>
      <c r="E34" s="33">
        <v>5</v>
      </c>
      <c r="F34" s="33">
        <v>5</v>
      </c>
      <c r="G34" s="33">
        <v>5</v>
      </c>
      <c r="H34" s="33">
        <v>5</v>
      </c>
      <c r="I34" s="35">
        <v>5</v>
      </c>
      <c r="K34" s="1" t="s">
        <v>63</v>
      </c>
      <c r="L34" t="s">
        <v>4</v>
      </c>
      <c r="M34" s="43" t="s">
        <v>18</v>
      </c>
      <c r="N34" s="43" t="s">
        <v>18</v>
      </c>
      <c r="O34" s="43"/>
      <c r="P34" s="43"/>
      <c r="Q34" s="43"/>
      <c r="R34" s="43"/>
      <c r="S34" s="43"/>
      <c r="T34" s="43"/>
    </row>
    <row r="35" spans="2:20" x14ac:dyDescent="0.2">
      <c r="C35" t="s">
        <v>11</v>
      </c>
      <c r="D35" s="33">
        <v>2</v>
      </c>
      <c r="E35" s="33">
        <v>5</v>
      </c>
      <c r="F35" s="33">
        <v>8</v>
      </c>
      <c r="G35" s="33">
        <v>11</v>
      </c>
      <c r="H35" s="33">
        <v>14</v>
      </c>
      <c r="I35" s="35">
        <v>20</v>
      </c>
    </row>
    <row r="36" spans="2:20" x14ac:dyDescent="0.2">
      <c r="C36" t="s">
        <v>10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  <c r="I36" s="35">
        <v>1</v>
      </c>
    </row>
    <row r="37" spans="2:20" x14ac:dyDescent="0.2">
      <c r="C37" t="s">
        <v>15</v>
      </c>
      <c r="D37" s="33">
        <v>1</v>
      </c>
      <c r="E37" s="33">
        <v>1</v>
      </c>
      <c r="F37" s="33">
        <v>1</v>
      </c>
      <c r="G37" s="33">
        <v>1</v>
      </c>
      <c r="H37" s="33">
        <v>1</v>
      </c>
      <c r="I37" s="35">
        <v>1</v>
      </c>
      <c r="P37" t="s">
        <v>44</v>
      </c>
    </row>
    <row r="38" spans="2:20" x14ac:dyDescent="0.2">
      <c r="C38" t="s">
        <v>23</v>
      </c>
      <c r="D38" s="33">
        <v>1</v>
      </c>
      <c r="E38" s="33">
        <v>2</v>
      </c>
      <c r="F38" s="33">
        <v>2.8</v>
      </c>
      <c r="G38" s="33">
        <v>3.4</v>
      </c>
      <c r="H38" s="33">
        <v>3.8</v>
      </c>
      <c r="I38" s="35">
        <v>4</v>
      </c>
      <c r="L38" s="26" t="s">
        <v>40</v>
      </c>
      <c r="M38" s="27"/>
      <c r="N38" s="22" t="s">
        <v>41</v>
      </c>
      <c r="O38" s="23" t="s">
        <v>47</v>
      </c>
      <c r="P38" t="s">
        <v>45</v>
      </c>
      <c r="Q38" t="s">
        <v>46</v>
      </c>
    </row>
    <row r="39" spans="2:20" x14ac:dyDescent="0.2">
      <c r="B39" s="4"/>
      <c r="C39" s="4" t="s">
        <v>36</v>
      </c>
      <c r="D39" s="34">
        <f>(0.96/((2*D37^2)^0.5))^4</f>
        <v>0.21233663999999988</v>
      </c>
      <c r="E39" s="34">
        <f>(0.97/((2*E37^2)^0.5))^4</f>
        <v>0.22132320249999993</v>
      </c>
      <c r="F39" s="34">
        <f>(0.98/((2*F37^2)^0.5))^4</f>
        <v>0.23059203999999997</v>
      </c>
      <c r="G39" s="34">
        <f>(0.99/((2*G37^2)^0.5))^4</f>
        <v>0.24014900249999988</v>
      </c>
      <c r="H39" s="34">
        <f>(1/((2*H37^2)^0.5))^4</f>
        <v>0.24999999999999989</v>
      </c>
      <c r="I39" s="36">
        <f>(1.01/((2*I37^2)^0.5))^4</f>
        <v>0.26015100250000001</v>
      </c>
      <c r="L39" s="24"/>
      <c r="M39" s="28" t="s">
        <v>53</v>
      </c>
      <c r="N39" s="38">
        <f>M49*T4</f>
        <v>231.49402931345844</v>
      </c>
      <c r="O39" s="39"/>
      <c r="P39" s="31">
        <f>ROUND(N39/100, 1)*100</f>
        <v>229.99999999999997</v>
      </c>
      <c r="Q39" s="31">
        <f>ROUND(O39/100, 1)*100</f>
        <v>0</v>
      </c>
    </row>
    <row r="40" spans="2:20" x14ac:dyDescent="0.2">
      <c r="B40" s="1" t="s">
        <v>61</v>
      </c>
      <c r="C40" t="s">
        <v>2</v>
      </c>
      <c r="D40" s="33">
        <v>20</v>
      </c>
      <c r="E40" s="33">
        <v>20</v>
      </c>
      <c r="F40" s="33">
        <v>20</v>
      </c>
      <c r="G40" s="33">
        <v>20</v>
      </c>
      <c r="H40" s="33">
        <v>20</v>
      </c>
      <c r="I40" s="3"/>
      <c r="L40" s="24"/>
      <c r="M40" s="29" t="s">
        <v>56</v>
      </c>
      <c r="N40" s="38">
        <f>M49*T6</f>
        <v>2263.3816997969525</v>
      </c>
      <c r="O40" s="40"/>
      <c r="P40" s="31">
        <f t="shared" ref="P40:Q47" si="5">ROUND(N40/100, 1)*100</f>
        <v>2260</v>
      </c>
      <c r="Q40" s="31">
        <f t="shared" si="5"/>
        <v>0</v>
      </c>
    </row>
    <row r="41" spans="2:20" x14ac:dyDescent="0.2">
      <c r="C41" t="s">
        <v>10</v>
      </c>
      <c r="D41" s="33">
        <v>3</v>
      </c>
      <c r="E41" s="33">
        <v>3</v>
      </c>
      <c r="F41" s="33">
        <v>3</v>
      </c>
      <c r="G41" s="33">
        <v>3</v>
      </c>
      <c r="H41" s="33">
        <v>3</v>
      </c>
      <c r="I41" s="3"/>
      <c r="L41" s="24"/>
      <c r="M41" s="29" t="s">
        <v>55</v>
      </c>
      <c r="N41" s="38">
        <f>M49*T8</f>
        <v>1543.1844322815778</v>
      </c>
      <c r="O41" s="41">
        <f>M49*T9/T8</f>
        <v>311.11111111111114</v>
      </c>
      <c r="P41" s="31">
        <f t="shared" si="5"/>
        <v>1540</v>
      </c>
      <c r="Q41" s="31">
        <f t="shared" si="5"/>
        <v>310</v>
      </c>
    </row>
    <row r="42" spans="2:20" x14ac:dyDescent="0.2">
      <c r="C42" t="s">
        <v>25</v>
      </c>
      <c r="D42" s="33">
        <v>1</v>
      </c>
      <c r="E42" s="33">
        <v>2</v>
      </c>
      <c r="F42" s="33">
        <v>3</v>
      </c>
      <c r="G42" s="33">
        <v>4</v>
      </c>
      <c r="H42" s="33">
        <v>5</v>
      </c>
      <c r="I42" s="3"/>
      <c r="L42" s="24"/>
      <c r="M42" s="29" t="s">
        <v>58</v>
      </c>
      <c r="N42" s="38">
        <f>M49*T13</f>
        <v>636.48610306789283</v>
      </c>
      <c r="O42" s="40"/>
      <c r="P42" s="31">
        <f t="shared" si="5"/>
        <v>640</v>
      </c>
      <c r="Q42" s="31">
        <f t="shared" si="5"/>
        <v>0</v>
      </c>
    </row>
    <row r="43" spans="2:20" x14ac:dyDescent="0.2">
      <c r="C43" t="s">
        <v>23</v>
      </c>
      <c r="D43" s="33">
        <v>2</v>
      </c>
      <c r="E43" s="33">
        <v>3</v>
      </c>
      <c r="F43" s="33">
        <v>4</v>
      </c>
      <c r="G43" s="33">
        <v>5</v>
      </c>
      <c r="H43" s="33">
        <v>6</v>
      </c>
      <c r="I43" s="3"/>
      <c r="L43" s="24"/>
      <c r="M43" s="29" t="s">
        <v>60</v>
      </c>
      <c r="N43" s="38">
        <f>M49*T15</f>
        <v>254.83648461408603</v>
      </c>
      <c r="O43" s="41">
        <f>M49*T16/T15</f>
        <v>333.54541953442964</v>
      </c>
      <c r="P43" s="31">
        <f t="shared" si="5"/>
        <v>250</v>
      </c>
      <c r="Q43" s="31">
        <f t="shared" si="5"/>
        <v>330</v>
      </c>
    </row>
    <row r="44" spans="2:20" x14ac:dyDescent="0.2">
      <c r="B44" s="4"/>
      <c r="C44" s="4" t="s">
        <v>36</v>
      </c>
      <c r="D44" s="34">
        <v>1</v>
      </c>
      <c r="E44" s="34">
        <v>1</v>
      </c>
      <c r="F44" s="34">
        <v>1</v>
      </c>
      <c r="G44" s="34">
        <v>1</v>
      </c>
      <c r="H44" s="34">
        <v>1</v>
      </c>
      <c r="I44" s="6"/>
      <c r="L44" s="24"/>
      <c r="M44" s="29" t="s">
        <v>61</v>
      </c>
      <c r="N44" s="38">
        <f>M49*T22</f>
        <v>1066.6666666666667</v>
      </c>
      <c r="O44" s="42">
        <f>M49*T23/T22</f>
        <v>240</v>
      </c>
      <c r="P44" s="31">
        <f t="shared" si="5"/>
        <v>1070</v>
      </c>
      <c r="Q44" s="31">
        <f t="shared" si="5"/>
        <v>240</v>
      </c>
    </row>
    <row r="45" spans="2:20" x14ac:dyDescent="0.2">
      <c r="B45" s="1" t="s">
        <v>62</v>
      </c>
      <c r="C45" t="s">
        <v>26</v>
      </c>
      <c r="D45" s="33">
        <v>1.1000000000000001</v>
      </c>
      <c r="I45" s="3"/>
      <c r="L45" s="24"/>
      <c r="M45" s="29" t="s">
        <v>59</v>
      </c>
      <c r="N45" s="38">
        <f>M49*T29</f>
        <v>999.34156929010567</v>
      </c>
      <c r="O45" s="40"/>
      <c r="P45" s="31">
        <f t="shared" si="5"/>
        <v>1000</v>
      </c>
      <c r="Q45" s="31">
        <f t="shared" si="5"/>
        <v>0</v>
      </c>
    </row>
    <row r="46" spans="2:20" x14ac:dyDescent="0.2">
      <c r="C46" t="s">
        <v>15</v>
      </c>
      <c r="D46" s="33">
        <v>1</v>
      </c>
      <c r="I46" s="3"/>
      <c r="L46" s="24"/>
      <c r="M46" s="29" t="s">
        <v>62</v>
      </c>
      <c r="N46" s="38">
        <f>(M49/T4)*T29</f>
        <v>345.35372588359252</v>
      </c>
      <c r="O46" s="40"/>
      <c r="P46" s="31">
        <f t="shared" si="5"/>
        <v>350</v>
      </c>
      <c r="Q46" s="31">
        <f t="shared" si="5"/>
        <v>0</v>
      </c>
    </row>
    <row r="47" spans="2:20" x14ac:dyDescent="0.2">
      <c r="C47" t="s">
        <v>23</v>
      </c>
      <c r="D47" s="33">
        <v>4</v>
      </c>
      <c r="I47" s="3"/>
      <c r="L47" s="24"/>
      <c r="M47" s="29" t="s">
        <v>63</v>
      </c>
      <c r="N47" s="38">
        <f>30*M49</f>
        <v>2400</v>
      </c>
      <c r="O47" s="40"/>
      <c r="P47" s="31">
        <f t="shared" si="5"/>
        <v>2400</v>
      </c>
      <c r="Q47" s="31">
        <f t="shared" si="5"/>
        <v>0</v>
      </c>
    </row>
    <row r="48" spans="2:20" x14ac:dyDescent="0.2">
      <c r="B48" s="4"/>
      <c r="C48" s="4" t="s">
        <v>36</v>
      </c>
      <c r="D48" s="34">
        <v>1</v>
      </c>
      <c r="E48" s="4"/>
      <c r="F48" s="4"/>
      <c r="G48" s="4"/>
      <c r="H48" s="4"/>
      <c r="I48" s="6"/>
      <c r="L48" s="21"/>
      <c r="M48" s="30"/>
      <c r="N48" s="4"/>
      <c r="O48" s="6"/>
    </row>
    <row r="49" spans="2:13" x14ac:dyDescent="0.2">
      <c r="B49" s="1" t="s">
        <v>63</v>
      </c>
      <c r="C49" t="s">
        <v>28</v>
      </c>
      <c r="D49" s="33"/>
      <c r="I49" s="3"/>
      <c r="L49" t="s">
        <v>42</v>
      </c>
      <c r="M49" s="32">
        <v>80</v>
      </c>
    </row>
    <row r="50" spans="2:13" x14ac:dyDescent="0.2">
      <c r="C50" t="s">
        <v>27</v>
      </c>
      <c r="D50" s="33"/>
      <c r="I50" s="3"/>
      <c r="L50" t="s">
        <v>48</v>
      </c>
    </row>
    <row r="51" spans="2:13" x14ac:dyDescent="0.2">
      <c r="I51" s="3"/>
    </row>
    <row r="52" spans="2:13" x14ac:dyDescent="0.2">
      <c r="I52" s="3"/>
    </row>
    <row r="55" spans="2:13" x14ac:dyDescent="0.2">
      <c r="D55" s="44" t="s">
        <v>49</v>
      </c>
      <c r="E55" s="45"/>
      <c r="F55" s="46" t="s">
        <v>50</v>
      </c>
      <c r="G55" s="47"/>
      <c r="H55" s="47"/>
      <c r="I55" s="47"/>
      <c r="J55" s="25"/>
    </row>
    <row r="56" spans="2:13" x14ac:dyDescent="0.2">
      <c r="D56" s="24"/>
      <c r="E56" s="48"/>
      <c r="F56" s="49" t="s">
        <v>51</v>
      </c>
      <c r="G56" s="50"/>
      <c r="H56" s="50"/>
      <c r="I56" s="50"/>
      <c r="J56" s="3"/>
    </row>
    <row r="57" spans="2:13" x14ac:dyDescent="0.2">
      <c r="D57" s="24"/>
      <c r="E57" s="50"/>
      <c r="F57" s="49" t="s">
        <v>52</v>
      </c>
      <c r="G57" s="50"/>
      <c r="H57" s="50"/>
      <c r="I57" s="50"/>
      <c r="J57" s="3"/>
    </row>
    <row r="58" spans="2:13" x14ac:dyDescent="0.2">
      <c r="D58" s="21"/>
      <c r="E58" s="4"/>
      <c r="F58" s="4"/>
      <c r="G58" s="4"/>
      <c r="H58" s="4"/>
      <c r="I58" s="4"/>
      <c r="J58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2021-02-16T06:34:18Z</dcterms:created>
  <dcterms:modified xsi:type="dcterms:W3CDTF">2021-02-17T04:01:46Z</dcterms:modified>
</cp:coreProperties>
</file>