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tcc-melhorcaminho\docs\"/>
    </mc:Choice>
  </mc:AlternateContent>
  <bookViews>
    <workbookView xWindow="90" yWindow="1680" windowWidth="22170" windowHeight="7875" activeTab="1"/>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52511"/>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AB3" i="3"/>
  <c r="AB4" i="3"/>
  <c r="AB5" i="3"/>
  <c r="AB6" i="3"/>
  <c r="AB7" i="3"/>
  <c r="AB8" i="3"/>
  <c r="AB9" i="3"/>
  <c r="AB10" i="3"/>
  <c r="AB11" i="3"/>
  <c r="AB12" i="3"/>
  <c r="AB13" i="3"/>
  <c r="AB14" i="3"/>
  <c r="AB15" i="3"/>
  <c r="AB16" i="3"/>
  <c r="AB17" i="3"/>
  <c r="AB18" i="3"/>
  <c r="AB19" i="3"/>
  <c r="AB20" i="3"/>
  <c r="AB21" i="3"/>
  <c r="AB22" i="3"/>
  <c r="AB23" i="3"/>
  <c r="AB24" i="3"/>
  <c r="AB25" i="3"/>
  <c r="AB26" i="3"/>
  <c r="AB27" i="3"/>
  <c r="AB28" i="3"/>
  <c r="AB29" i="3"/>
  <c r="AB30" i="3"/>
  <c r="AB31" i="3"/>
  <c r="AB32" i="3"/>
  <c r="AB33" i="3"/>
  <c r="AB34" i="3"/>
  <c r="B128" i="7" l="1"/>
  <c r="B127" i="7"/>
  <c r="B130" i="7"/>
  <c r="B129" i="7"/>
  <c r="P45" i="7"/>
  <c r="Q45" i="7" s="1"/>
  <c r="P2" i="7"/>
  <c r="B142" i="7"/>
  <c r="B141" i="7"/>
  <c r="B144" i="7"/>
  <c r="B143" i="7"/>
  <c r="R45" i="7"/>
  <c r="S45" i="7" s="1"/>
  <c r="R2" i="7"/>
  <c r="B114" i="7"/>
  <c r="B113" i="7"/>
  <c r="B116" i="7"/>
  <c r="B115" i="7"/>
  <c r="N45" i="7"/>
  <c r="O45" i="7" s="1"/>
  <c r="N2" i="7"/>
  <c r="B100" i="7"/>
  <c r="B99" i="7"/>
  <c r="B86" i="7"/>
  <c r="B85" i="7"/>
  <c r="B102" i="7"/>
  <c r="B101" i="7"/>
  <c r="L45" i="7"/>
  <c r="M45" i="7" s="1"/>
  <c r="L2" i="7"/>
  <c r="B72" i="7"/>
  <c r="B71" i="7"/>
  <c r="B58" i="7"/>
  <c r="B57" i="7"/>
  <c r="B88" i="7"/>
  <c r="B87" i="7"/>
  <c r="J45" i="7"/>
  <c r="K45" i="7" s="1"/>
  <c r="J2" i="7"/>
  <c r="B74" i="7"/>
  <c r="B73" i="7"/>
  <c r="H45" i="7"/>
  <c r="I45" i="7" s="1"/>
  <c r="H2" i="7"/>
  <c r="B60" i="7"/>
  <c r="B59" i="7"/>
  <c r="F45" i="7"/>
  <c r="G45" i="7" s="1"/>
  <c r="F2" i="7"/>
  <c r="B44" i="7"/>
  <c r="B43" i="7"/>
  <c r="B46" i="7"/>
  <c r="B45" i="7"/>
  <c r="T45" i="7"/>
  <c r="T2"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E45" i="7" s="1"/>
  <c r="D2" i="7"/>
  <c r="U45" i="7"/>
  <c r="Q3" i="7" l="1"/>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authors>
    <author>TonyAdmin</author>
    <author>Tony</author>
    <author>Tony C.</author>
  </authors>
  <commentList>
    <comment ref="A2" authorId="0" shape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text>
        <r>
          <rPr>
            <b/>
            <sz val="8"/>
            <color indexed="81"/>
            <rFont val="Tahoma"/>
            <family val="2"/>
          </rPr>
          <t>Edge Style</t>
        </r>
        <r>
          <rPr>
            <b/>
            <sz val="9"/>
            <color indexed="81"/>
            <rFont val="Tahoma"/>
            <family val="2"/>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L2" authorId="0" shapeId="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Tony</author>
  </authors>
  <commentList>
    <comment ref="A2" authorId="0" shape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2"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family val="2"/>
          </rPr>
          <t xml:space="preserve">
</t>
        </r>
      </text>
    </comment>
    <comment ref="G2" authorId="1" shapeId="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L2" authorId="1" shapeId="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family val="2"/>
          </rPr>
          <t xml:space="preserve">
</t>
        </r>
        <r>
          <rPr>
            <sz val="9"/>
            <color indexed="81"/>
            <rFont val="Tahoma"/>
            <family val="2"/>
          </rPr>
          <t xml:space="preserve">
</t>
        </r>
      </text>
    </comment>
  </commentList>
</comments>
</file>

<file path=xl/comments5.xml><?xml version="1.0" encoding="utf-8"?>
<comments xmlns="http://schemas.openxmlformats.org/spreadsheetml/2006/main">
  <authors>
    <author>TonyAdmin</author>
  </authors>
  <commentList>
    <comment ref="A1" authorId="0" shape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<sst xmlns="http://schemas.openxmlformats.org/spreadsheetml/2006/main" count="290" uniqueCount="243">
  <si>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</si>
  <si>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</si>
  <si>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</si>
  <si>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</si>
  <si>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</si>
  <si>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</si>
  <si>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</si>
  <si>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</si>
  <si>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</si>
  <si>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</si>
  <si>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</si>
  <si>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</si>
  <si>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</si>
  <si>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</si>
  <si>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</si>
  <si>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</si>
  <si>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</si>
  <si>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</si>
  <si>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</si>
  <si>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</si>
  <si>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</si>
  <si>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</si>
  <si>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</si>
  <si>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</si>
  <si>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</si>
  <si>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</si>
  <si>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</si>
  <si>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</si>
  <si>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</si>
  <si>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</si>
  <si>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</si>
  <si>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Undirected</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</si>
  <si>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</si>
  <si>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</si>
  <si>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</si>
  <si>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</si>
  <si>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</si>
  <si>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</si>
  <si>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</si>
  <si>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</si>
  <si>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</si>
  <si>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</si>
  <si>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</si>
  <si>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</si>
  <si>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</si>
  <si>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</si>
  <si>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</si>
  <si>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</si>
  <si>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</si>
  <si>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</si>
  <si>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</si>
  <si>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</si>
  <si>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</si>
  <si>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</si>
  <si>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</si>
  <si>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</si>
  <si>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</si>
  <si>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</si>
  <si>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</si>
  <si>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</si>
  <si>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</si>
  <si>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</si>
  <si>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</si>
  <si>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</si>
  <si>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</si>
  <si>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</si>
  <si>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</si>
  <si>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</si>
  <si>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</si>
  <si>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</si>
  <si>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</si>
  <si>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</si>
  <si>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</si>
  <si>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</si>
  <si>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</si>
  <si>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</si>
  <si>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</si>
  <si>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</si>
  <si>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</si>
  <si>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</si>
  <si>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</si>
  <si>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</si>
  <si>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</si>
  <si>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</si>
  <si>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</si>
  <si>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</si>
  <si>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</si>
  <si>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</si>
  <si>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</si>
  <si>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</si>
  <si>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</si>
  <si>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</si>
  <si>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</si>
  <si>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</si>
  <si>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</si>
  <si>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</si>
  <si>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</si>
  <si>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</si>
  <si>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</si>
  <si>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</si>
  <si>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</si>
  <si>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</si>
  <si>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</si>
  <si>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</si>
  <si>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</si>
  <si>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</si>
  <si>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</si>
  <si>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</si>
  <si>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</si>
  <si>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</si>
  <si>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</si>
  <si>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</si>
  <si>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</si>
  <si>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</si>
  <si>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</si>
  <si>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</si>
  <si>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</si>
  <si>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</si>
  <si>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</si>
  <si>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</si>
  <si>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</si>
  <si>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</si>
  <si>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</si>
  <si>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</si>
  <si>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</si>
  <si>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</si>
  <si>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</si>
  <si>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</si>
  <si>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</si>
  <si>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</si>
  <si>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</si>
  <si>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</si>
  <si>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</si>
  <si>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</si>
  <si>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</si>
  <si>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</si>
  <si>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</si>
  <si>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</si>
  <si>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</si>
  <si>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</si>
  <si>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</si>
  <si>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</si>
  <si>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</si>
  <si>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</si>
  <si>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</si>
  <si>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</si>
  <si>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</si>
  <si>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</si>
  <si>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</si>
  <si>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</si>
  <si>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</si>
  <si>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</si>
  <si>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</si>
  <si>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</si>
  <si>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</si>
  <si>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</si>
  <si>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</si>
  <si>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</si>
  <si>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</si>
  <si>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</si>
  <si>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</si>
  <si>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</si>
  <si>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</si>
  <si>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</si>
  <si>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</si>
  <si>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</si>
  <si>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</si>
  <si>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</si>
  <si>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</si>
  <si>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</si>
  <si>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</si>
  <si>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</si>
  <si>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</si>
  <si>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</si>
  <si>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</si>
  <si>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</si>
  <si>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</si>
  <si>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</si>
  <si>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</si>
  <si>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</si>
  <si>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</si>
  <si>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</si>
  <si>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</si>
  <si>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</si>
  <si>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</si>
  <si>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</si>
  <si>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</si>
  <si>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</si>
  <si>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</si>
  <si>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</si>
  <si>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</si>
  <si>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</si>
  <si>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</si>
  <si>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</si>
  <si>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</si>
  <si>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</si>
  <si>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</si>
  <si>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</si>
  <si>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</si>
  <si>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</si>
  <si>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</si>
  <si>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</si>
  <si>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</si>
  <si>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</si>
  <si>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</si>
  <si>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</si>
  <si>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americana</t>
  </si>
  <si>
    <t>andira</t>
  </si>
  <si>
    <t>aracatuba</t>
  </si>
  <si>
    <t>araraquara</t>
  </si>
  <si>
    <t>assis</t>
  </si>
  <si>
    <t>bandeirantes</t>
  </si>
  <si>
    <t>bauru</t>
  </si>
  <si>
    <t>belo horizonte</t>
  </si>
  <si>
    <t>camburiu</t>
  </si>
  <si>
    <t>campinas</t>
  </si>
  <si>
    <t>cornelio procopio</t>
  </si>
  <si>
    <t>curitiba</t>
  </si>
  <si>
    <t>florianopolis</t>
  </si>
  <si>
    <t>florinea</t>
  </si>
  <si>
    <t>foz do iguacu</t>
  </si>
  <si>
    <t>ipatinga</t>
  </si>
  <si>
    <t>jose bonifacio</t>
  </si>
  <si>
    <t>leopolis</t>
  </si>
  <si>
    <t>londrina</t>
  </si>
  <si>
    <t>marilia</t>
  </si>
  <si>
    <t>osvaldo cruz</t>
  </si>
  <si>
    <t>ourinhos</t>
  </si>
  <si>
    <t>presidente prudente</t>
  </si>
  <si>
    <t>rancharia</t>
  </si>
  <si>
    <t>ribeirao preto</t>
  </si>
  <si>
    <t>rio claro</t>
  </si>
  <si>
    <t>sao carlos</t>
  </si>
  <si>
    <t>sao jose do rio preto</t>
  </si>
  <si>
    <t>sao paulo</t>
  </si>
  <si>
    <t>sertaneja</t>
  </si>
  <si>
    <t>taruma</t>
  </si>
  <si>
    <t>tupa</t>
  </si>
  <si>
    <t>Graph History</t>
  </si>
  <si>
    <t>Vertices[Y]</t>
  </si>
  <si>
    <t>LayoutAlgorithm░The graph was laid out using the Harel-Koren Fast Multiscale layout algorithm.▓GraphDirectedness░The graph is undirected.</t>
  </si>
  <si>
    <t>RED</t>
  </si>
  <si>
    <t>&lt;?xml version="1.0" encoding="utf-8"?&gt;_x000D_
&lt;configuration&gt;_x000D_
  &lt;configSections&gt;_x000D_
    &lt;sectionGroup name="userSettings" type="System.Configuration.UserSettingsGroup, System, Version=2.0.0.0, Culture=neutral, PublicKeyToken=b77a5c561934e089"&gt;_x000D_
      &lt;section name="GeneralUserSettings4"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 name="DynamicFiltersUserSettings" type="System.Configuration.ClientSettingsSection, System, Version=2.0.0.0, Culture=neutral, PublicKeyToken=b77a5c561934e089" allowExeDefinition="MachineToLocalUser" requirePermission="false" /&gt;_x000D_
      &lt;section name="VertexGridSnapperUserSettings" type="System.Configuration.ClientSettingsSection, System, Version=2.0.0.0, Culture=neutral, PublicKeyToken=b77a5c561934e089" allowExeDefinition="MachineToLocalUser" requirePermission="false" /&gt;_x000D_
      &lt;section name="LayoutUserSettings" type="System.Configuration.ClientSettingsSection, System, Version=2.0.0.0, Culture=neutral, PublicKeyToken=b77a5c561934e089" allowExeDefinition="MachineToLocalUser" requirePermission="false" /&gt;_x000D_
    &lt;/sectionGroup&gt;_x000D_
  &lt;/configSections&gt;_x000D_
  &lt;userSettings&gt;_x000D_
    &lt;GeneralUserSettings4&gt;_x000D_
      &lt;setting name="ReadGroupLabels" serializeAs="String"&gt;_x000D_
        &lt;value&gt;True&lt;/value&gt;_x000D_
      &lt;/setting&gt;_x000D_
      &lt;setting name="ReadVertexLabels" serializeAs="String"&gt;_x000D_
        &lt;value&gt;True&lt;/value&gt;_x000D_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&lt;/GeneralUserSettings4&gt;_x000D_
    &lt;GraphZoomAndScaleUserSettings&gt;_x000D_
      &lt;setting name="GraphScale" serializeAs="String"&gt;_x000D_
        &lt;value&gt;1&lt;/value&gt;_x000D_
      &lt;/setting&gt;_x000D_
    &lt;/GraphZoomAndScaleUserSettings&gt;_x000D_
    &lt;DynamicFiltersUserSettings&gt;_x000D_
      &lt;setting name="FilterNonNumericCells" serializeAs="String"&gt;_x000D_
        &lt;value&gt;False&lt;/value&gt;_x000D_
      &lt;/setting&gt;_x000D_
      &lt;setting name="FilteredAlpha" serializeAs="String"&gt;_x000D_
        &lt;value&gt;24&lt;/value&gt;_x000D_
      &lt;/setting&gt;_x000D_
    &lt;/DynamicFiltersUserSettings&gt;_x000D_
    &lt;VertexGridSnapperUserSettings&gt;_x000D_
      &lt;setting name="GridSize" serializeAs="String"&gt;_x000D_
        &lt;value&gt;55&lt;/value&gt;_x000D_
      &lt;/setting&gt;_x000D_
    &lt;/VertexGridSnapperUserSettings&gt;_x000D_
    &lt;LayoutUserSettings&gt;_x000D_
      &lt;setting name="Layout" serializeAs="String"&gt;_x000D_
        &lt;value&gt;HarelKorenFastMultiscale&lt;/value&gt;_x000D_
      &lt;/setting&gt;_x000D_
    &lt;/LayoutUserSettings&gt;_x000D_
  &lt;/userSettings&gt;_x000D_
&lt;/configuration&gt;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</si>
</sst>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
    <numFmt numFmtId="166" formatCode="#,##0.000"/>
    <numFmt numFmtId="167" formatCode="0.000"/>
  </numFmts>
  <fonts count="11"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family val="2"/>
    </font>
    <font>
      <sz val="9"/>
      <color indexed="81"/>
      <name val="Tahoma"/>
      <family val="2"/>
    </font>
    <font>
      <sz val="11"/>
      <color theme="1"/>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9">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cellStyleXfs>
  <cellXfs count="94">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49" fontId="0" fillId="0" borderId="0" xfId="3" applyNumberFormat="1" applyFont="1" applyAlignment="1">
      <alignment wrapText="1"/>
    </xf>
    <xf numFmtId="1" fontId="5" fillId="4" borderId="1" xfId="5" applyNumberFormat="1" applyAlignment="1"/>
    <xf numFmtId="167" fontId="5" fillId="4" borderId="1" xfId="5" applyNumberFormat="1" applyAlignment="1"/>
    <xf numFmtId="167" fontId="10" fillId="4" borderId="1" xfId="5" applyNumberFormat="1" applyFont="1" applyAlignment="1"/>
    <xf numFmtId="0" fontId="0" fillId="5" borderId="1" xfId="4" applyNumberFormat="1" applyFont="1" applyAlignment="1">
      <alignment wrapText="1"/>
    </xf>
    <xf numFmtId="164" fontId="0" fillId="5" borderId="1" xfId="4" applyNumberFormat="1" applyFont="1" applyAlignment="1">
      <alignment wrapText="1"/>
    </xf>
    <xf numFmtId="1" fontId="0" fillId="5" borderId="1" xfId="4" applyNumberFormat="1" applyFont="1" applyAlignment="1">
      <alignment wrapText="1"/>
    </xf>
    <xf numFmtId="0" fontId="6" fillId="6" borderId="1" xfId="6" applyNumberFormat="1" applyAlignment="1">
      <alignment wrapText="1"/>
    </xf>
    <xf numFmtId="49" fontId="6" fillId="6" borderId="1" xfId="6" applyNumberFormat="1" applyAlignment="1">
      <alignment wrapText="1"/>
    </xf>
    <xf numFmtId="0" fontId="0" fillId="3" borderId="1" xfId="7" applyNumberFormat="1" applyFont="1" applyAlignment="1">
      <alignment wrapText="1"/>
    </xf>
    <xf numFmtId="164" fontId="0" fillId="3" borderId="1" xfId="7" applyNumberFormat="1" applyFont="1" applyAlignment="1">
      <alignment wrapText="1"/>
    </xf>
    <xf numFmtId="165" fontId="0" fillId="3" borderId="1" xfId="7" applyNumberFormat="1" applyFont="1" applyAlignment="1">
      <alignment wrapText="1"/>
    </xf>
    <xf numFmtId="166" fontId="0" fillId="3" borderId="1" xfId="7" applyNumberFormat="1" applyFont="1" applyAlignment="1">
      <alignment wrapText="1"/>
    </xf>
    <xf numFmtId="0" fontId="0" fillId="2" borderId="1" xfId="1" applyNumberFormat="1" applyFont="1" applyAlignment="1">
      <alignment wrapText="1"/>
    </xf>
    <xf numFmtId="0" fontId="0" fillId="0" borderId="0" xfId="2" applyNumberFormat="1" applyFont="1" applyAlignment="1">
      <alignment wrapText="1"/>
    </xf>
    <xf numFmtId="0" fontId="5" fillId="2" borderId="1" xfId="1" applyNumberFormat="1"/>
    <xf numFmtId="0" fontId="6" fillId="6" borderId="1" xfId="6"/>
    <xf numFmtId="0" fontId="6" fillId="6" borderId="1" xfId="6" applyNumberFormat="1"/>
    <xf numFmtId="0" fontId="5" fillId="4" borderId="1" xfId="5" applyNumberFormat="1" applyAlignment="1">
      <alignment wrapText="1"/>
    </xf>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49" fontId="0" fillId="0" borderId="0" xfId="3" applyNumberFormat="1" applyFont="1" applyBorder="1"/>
    <xf numFmtId="0" fontId="0" fillId="5" borderId="11" xfId="4" applyNumberFormat="1" applyFont="1" applyBorder="1"/>
    <xf numFmtId="164" fontId="0" fillId="5" borderId="11" xfId="4" applyNumberFormat="1" applyFont="1" applyBorder="1"/>
    <xf numFmtId="1" fontId="0" fillId="5" borderId="11" xfId="4" applyNumberFormat="1" applyFont="1" applyBorder="1"/>
    <xf numFmtId="49" fontId="6" fillId="6" borderId="11" xfId="6" applyNumberFormat="1" applyBorder="1"/>
    <xf numFmtId="0" fontId="6" fillId="6" borderId="11" xfId="6" applyNumberFormat="1" applyBorder="1"/>
    <xf numFmtId="164" fontId="0" fillId="3" borderId="11" xfId="7" applyNumberFormat="1" applyFont="1" applyBorder="1"/>
    <xf numFmtId="165" fontId="0" fillId="3" borderId="11" xfId="7" applyNumberFormat="1" applyFont="1" applyBorder="1"/>
    <xf numFmtId="0" fontId="0" fillId="3" borderId="11" xfId="7" applyNumberFormat="1" applyFont="1" applyBorder="1"/>
    <xf numFmtId="166" fontId="0" fillId="3" borderId="11" xfId="7" applyNumberFormat="1" applyFont="1" applyBorder="1"/>
    <xf numFmtId="1" fontId="0" fillId="4" borderId="11" xfId="5" applyNumberFormat="1" applyFont="1" applyBorder="1" applyAlignment="1"/>
    <xf numFmtId="167" fontId="0" fillId="4" borderId="11" xfId="5" applyNumberFormat="1" applyFont="1" applyBorder="1" applyAlignment="1"/>
    <xf numFmtId="167" fontId="5" fillId="4" borderId="11" xfId="5" applyNumberFormat="1" applyBorder="1" applyAlignment="1"/>
    <xf numFmtId="0" fontId="0" fillId="2" borderId="11" xfId="1" applyNumberFormat="1" applyFont="1" applyBorder="1"/>
    <xf numFmtId="0" fontId="0" fillId="0" borderId="0" xfId="2" applyNumberFormat="1" applyFont="1" applyBorder="1"/>
  </cellXfs>
  <cellStyles count="9">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s>
  <dxfs count="97">
    <dxf>
      <numFmt numFmtId="30" formatCode="@"/>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0" formatCode="General"/>
    </dxf>
    <dxf>
      <numFmt numFmtId="0" formatCode="General"/>
    </dxf>
    <dxf>
      <numFmt numFmtId="0" formatCode="General"/>
    </dxf>
    <dxf>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numFmt numFmtId="166" formatCode="#,##0.000"/>
    </dxf>
    <dxf>
      <numFmt numFmtId="166" formatCode="#,##0.000"/>
    </dxf>
    <dxf>
      <numFmt numFmtId="0" formatCode="General"/>
    </dxf>
    <dxf>
      <numFmt numFmtId="165" formatCode="#,##0.0"/>
    </dxf>
    <dxf>
      <numFmt numFmtId="165" formatCode="#,##0.0"/>
    </dxf>
    <dxf>
      <numFmt numFmtId="164" formatCode="0.0"/>
    </dxf>
    <dxf>
      <numFmt numFmtId="30" formatCode="@"/>
    </dxf>
    <dxf>
      <numFmt numFmtId="0" formatCode="General"/>
    </dxf>
    <dxf>
      <numFmt numFmtId="0" formatCode="General"/>
    </dxf>
    <dxf>
      <numFmt numFmtId="30" formatCode="@"/>
    </dxf>
    <dxf>
      <numFmt numFmtId="0" formatCode="General"/>
    </dxf>
    <dxf>
      <numFmt numFmtId="0" formatCode="General"/>
    </dxf>
    <dxf>
      <numFmt numFmtId="1" formatCode="0"/>
    </dxf>
    <dxf>
      <numFmt numFmtId="164" formatCode="0.0"/>
    </dxf>
    <dxf>
      <numFmt numFmtId="0" formatCode="General"/>
    </dxf>
    <dxf>
      <numFmt numFmtId="0" formatCode="General"/>
    </dxf>
    <dxf>
      <numFmt numFmtId="30" formatCode="@"/>
    </dxf>
    <dxf>
      <numFmt numFmtId="30" formatCode="@"/>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numFmt numFmtId="0" formatCode="General"/>
      <alignment horizontal="general" vertical="bottom" textRotation="0" wrapText="1" relative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indent="0" justifyLastLine="0" shrinkToFit="0" readingOrder="0"/>
    </dxf>
    <dxf>
      <numFmt numFmtId="164" formatCode="0.0"/>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s>
  <tableStyles count="1" defaultTableStyle="TableStyleMedium9" defaultPivotStyle="PivotStyleLight16">
    <tableStyle name="NodeXL Table" pivot="0" count="1">
      <tableStyleElement type="headerRow" dxfId="9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923027952"/>
        <c:axId val="1923017072"/>
      </c:barChart>
      <c:catAx>
        <c:axId val="1923027952"/>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923017072"/>
        <c:crosses val="autoZero"/>
        <c:auto val="1"/>
        <c:lblAlgn val="ctr"/>
        <c:lblOffset val="100"/>
        <c:noMultiLvlLbl val="0"/>
      </c:catAx>
      <c:valAx>
        <c:axId val="1923017072"/>
        <c:scaling>
          <c:orientation val="minMax"/>
        </c:scaling>
        <c:delete val="0"/>
        <c:axPos val="l"/>
        <c:majorGridlines/>
        <c:title>
          <c:tx>
            <c:rich>
              <a:bodyPr rot="-5400000" vert="horz"/>
              <a:lstStyle/>
              <a:p>
                <a:pPr>
                  <a:defRPr/>
                </a:pPr>
                <a:r>
                  <a:rPr lang="en-US"/>
                  <a:t>Frequency</a:t>
                </a:r>
              </a:p>
            </c:rich>
          </c:tx>
          <c:layout/>
          <c:overlay val="0"/>
        </c:title>
        <c:numFmt formatCode="General" sourceLinked="1"/>
        <c:majorTickMark val="out"/>
        <c:minorTickMark val="none"/>
        <c:tickLblPos val="nextTo"/>
        <c:crossAx val="192302795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Metrics'!$G$2:$G$45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923013264"/>
        <c:axId val="1923030128"/>
      </c:barChart>
      <c:catAx>
        <c:axId val="1923013264"/>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923030128"/>
        <c:crosses val="autoZero"/>
        <c:auto val="1"/>
        <c:lblAlgn val="ctr"/>
        <c:lblOffset val="100"/>
        <c:noMultiLvlLbl val="0"/>
      </c:catAx>
      <c:valAx>
        <c:axId val="1923030128"/>
        <c:scaling>
          <c:orientation val="minMax"/>
        </c:scaling>
        <c:delete val="0"/>
        <c:axPos val="l"/>
        <c:majorGridlines/>
        <c:title>
          <c:tx>
            <c:rich>
              <a:bodyPr rot="-5400000" vert="horz"/>
              <a:lstStyle/>
              <a:p>
                <a:pPr>
                  <a:defRPr/>
                </a:pPr>
                <a:r>
                  <a:rPr lang="en-US"/>
                  <a:t>Frequency</a:t>
                </a:r>
              </a:p>
            </c:rich>
          </c:tx>
          <c:layout/>
          <c:overlay val="0"/>
        </c:title>
        <c:numFmt formatCode="General" sourceLinked="1"/>
        <c:majorTickMark val="out"/>
        <c:minorTickMark val="none"/>
        <c:tickLblPos val="nextTo"/>
        <c:crossAx val="192301326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Metrics'!$I$2:$I$45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923043184"/>
        <c:axId val="1923044272"/>
      </c:barChart>
      <c:catAx>
        <c:axId val="1923043184"/>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923044272"/>
        <c:crosses val="autoZero"/>
        <c:auto val="1"/>
        <c:lblAlgn val="ctr"/>
        <c:lblOffset val="100"/>
        <c:noMultiLvlLbl val="0"/>
      </c:catAx>
      <c:valAx>
        <c:axId val="1923044272"/>
        <c:scaling>
          <c:orientation val="minMax"/>
        </c:scaling>
        <c:delete val="0"/>
        <c:axPos val="l"/>
        <c:majorGridlines/>
        <c:title>
          <c:tx>
            <c:rich>
              <a:bodyPr rot="-5400000" vert="horz"/>
              <a:lstStyle/>
              <a:p>
                <a:pPr>
                  <a:defRPr/>
                </a:pPr>
                <a:r>
                  <a:rPr lang="en-US"/>
                  <a:t>Frequency</a:t>
                </a:r>
              </a:p>
            </c:rich>
          </c:tx>
          <c:layout/>
          <c:overlay val="0"/>
        </c:title>
        <c:numFmt formatCode="General" sourceLinked="1"/>
        <c:majorTickMark val="out"/>
        <c:minorTickMark val="none"/>
        <c:tickLblPos val="nextTo"/>
        <c:crossAx val="192304318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Metrics'!$K$2:$K$45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923043728"/>
        <c:axId val="1923039920"/>
      </c:barChart>
      <c:catAx>
        <c:axId val="1923043728"/>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923039920"/>
        <c:crosses val="autoZero"/>
        <c:auto val="1"/>
        <c:lblAlgn val="ctr"/>
        <c:lblOffset val="100"/>
        <c:noMultiLvlLbl val="0"/>
      </c:catAx>
      <c:valAx>
        <c:axId val="1923039920"/>
        <c:scaling>
          <c:orientation val="minMax"/>
        </c:scaling>
        <c:delete val="0"/>
        <c:axPos val="l"/>
        <c:majorGridlines/>
        <c:title>
          <c:tx>
            <c:rich>
              <a:bodyPr rot="-5400000" vert="horz"/>
              <a:lstStyle/>
              <a:p>
                <a:pPr>
                  <a:defRPr/>
                </a:pPr>
                <a:r>
                  <a:rPr lang="en-US"/>
                  <a:t>Frequency</a:t>
                </a:r>
              </a:p>
            </c:rich>
          </c:tx>
          <c:layout/>
          <c:overlay val="0"/>
        </c:title>
        <c:numFmt formatCode="General" sourceLinked="1"/>
        <c:majorTickMark val="out"/>
        <c:minorTickMark val="none"/>
        <c:tickLblPos val="nextTo"/>
        <c:crossAx val="192304372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Metrics'!$M$2:$M$45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923042640"/>
        <c:axId val="1923050800"/>
      </c:barChart>
      <c:catAx>
        <c:axId val="1923042640"/>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923050800"/>
        <c:crosses val="autoZero"/>
        <c:auto val="1"/>
        <c:lblAlgn val="ctr"/>
        <c:lblOffset val="100"/>
        <c:noMultiLvlLbl val="0"/>
      </c:catAx>
      <c:valAx>
        <c:axId val="1923050800"/>
        <c:scaling>
          <c:orientation val="minMax"/>
        </c:scaling>
        <c:delete val="0"/>
        <c:axPos val="l"/>
        <c:majorGridlines/>
        <c:title>
          <c:tx>
            <c:rich>
              <a:bodyPr rot="-5400000" vert="horz"/>
              <a:lstStyle/>
              <a:p>
                <a:pPr>
                  <a:defRPr/>
                </a:pPr>
                <a:r>
                  <a:rPr lang="en-US"/>
                  <a:t>Frequency</a:t>
                </a:r>
              </a:p>
            </c:rich>
          </c:tx>
          <c:layout/>
          <c:overlay val="0"/>
        </c:title>
        <c:numFmt formatCode="General" sourceLinked="1"/>
        <c:majorTickMark val="out"/>
        <c:minorTickMark val="none"/>
        <c:tickLblPos val="nextTo"/>
        <c:crossAx val="192304264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Metrics'!$O$2:$O$45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923039376"/>
        <c:axId val="1923041552"/>
      </c:barChart>
      <c:catAx>
        <c:axId val="1923039376"/>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923041552"/>
        <c:crosses val="autoZero"/>
        <c:auto val="1"/>
        <c:lblAlgn val="ctr"/>
        <c:lblOffset val="100"/>
        <c:noMultiLvlLbl val="0"/>
      </c:catAx>
      <c:valAx>
        <c:axId val="1923041552"/>
        <c:scaling>
          <c:orientation val="minMax"/>
        </c:scaling>
        <c:delete val="0"/>
        <c:axPos val="l"/>
        <c:majorGridlines/>
        <c:title>
          <c:tx>
            <c:rich>
              <a:bodyPr rot="-5400000" vert="horz"/>
              <a:lstStyle/>
              <a:p>
                <a:pPr>
                  <a:defRPr/>
                </a:pPr>
                <a:r>
                  <a:rPr lang="en-US"/>
                  <a:t>Frequency</a:t>
                </a:r>
              </a:p>
            </c:rich>
          </c:tx>
          <c:layout/>
          <c:overlay val="0"/>
        </c:title>
        <c:numFmt formatCode="General" sourceLinked="1"/>
        <c:majorTickMark val="out"/>
        <c:minorTickMark val="none"/>
        <c:tickLblPos val="nextTo"/>
        <c:crossAx val="19230393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Metrics'!$S$2:$S$45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923046448"/>
        <c:axId val="1923048080"/>
      </c:barChart>
      <c:catAx>
        <c:axId val="1923046448"/>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923048080"/>
        <c:crosses val="autoZero"/>
        <c:auto val="1"/>
        <c:lblAlgn val="ctr"/>
        <c:lblOffset val="100"/>
        <c:noMultiLvlLbl val="0"/>
      </c:catAx>
      <c:valAx>
        <c:axId val="1923048080"/>
        <c:scaling>
          <c:orientation val="minMax"/>
        </c:scaling>
        <c:delete val="0"/>
        <c:axPos val="l"/>
        <c:majorGridlines/>
        <c:title>
          <c:tx>
            <c:rich>
              <a:bodyPr rot="-5400000" vert="horz"/>
              <a:lstStyle/>
              <a:p>
                <a:pPr>
                  <a:defRPr/>
                </a:pPr>
                <a:r>
                  <a:rPr lang="en-US"/>
                  <a:t>Frequency</a:t>
                </a:r>
              </a:p>
            </c:rich>
          </c:tx>
          <c:layout/>
          <c:overlay val="0"/>
        </c:title>
        <c:numFmt formatCode="General" sourceLinked="1"/>
        <c:majorTickMark val="out"/>
        <c:minorTickMark val="none"/>
        <c:tickLblPos val="nextTo"/>
        <c:crossAx val="192304644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Metrics'!$Q$2:$Q$45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923049712"/>
        <c:axId val="1923038288"/>
      </c:barChart>
      <c:catAx>
        <c:axId val="1923049712"/>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923038288"/>
        <c:crosses val="autoZero"/>
        <c:auto val="1"/>
        <c:lblAlgn val="ctr"/>
        <c:lblOffset val="100"/>
        <c:noMultiLvlLbl val="0"/>
      </c:catAx>
      <c:valAx>
        <c:axId val="1923038288"/>
        <c:scaling>
          <c:orientation val="minMax"/>
        </c:scaling>
        <c:delete val="0"/>
        <c:axPos val="l"/>
        <c:majorGridlines/>
        <c:title>
          <c:tx>
            <c:rich>
              <a:bodyPr rot="-5400000" vert="horz"/>
              <a:lstStyle/>
              <a:p>
                <a:pPr>
                  <a:defRPr/>
                </a:pPr>
                <a:r>
                  <a:rPr lang="en-US"/>
                  <a:t>Frequency</a:t>
                </a:r>
              </a:p>
            </c:rich>
          </c:tx>
          <c:layout/>
          <c:overlay val="0"/>
        </c:title>
        <c:numFmt formatCode="General" sourceLinked="1"/>
        <c:majorTickMark val="out"/>
        <c:minorTickMark val="none"/>
        <c:tickLblPos val="nextTo"/>
        <c:crossAx val="192304971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1</c:v>
                </c:pt>
              </c:strCache>
            </c:strRef>
          </c:tx>
          <c:spPr>
            <a:solidFill>
              <a:schemeClr val="accent1"/>
            </a:solidFill>
          </c:spPr>
          <c:invertIfNegative val="0"/>
          <c:cat>
            <c:numRef>
              <c:f>'Overall Metrics'!$T$2:$T$45</c:f>
              <c:numCache>
                <c:formatCode>#,##0.00</c:formatCode>
                <c:ptCount val="44"/>
                <c:pt idx="0">
                  <c:v>183.42010498046875</c:v>
                </c:pt>
                <c:pt idx="1">
                  <c:v>407.42382528615553</c:v>
                </c:pt>
                <c:pt idx="2">
                  <c:v>631.42754559184232</c:v>
                </c:pt>
                <c:pt idx="3">
                  <c:v>855.4312658975291</c:v>
                </c:pt>
                <c:pt idx="4">
                  <c:v>1079.4349862032159</c:v>
                </c:pt>
                <c:pt idx="5">
                  <c:v>1303.4387065089027</c:v>
                </c:pt>
                <c:pt idx="6">
                  <c:v>1527.4424268145895</c:v>
                </c:pt>
                <c:pt idx="7">
                  <c:v>1751.4461471202762</c:v>
                </c:pt>
                <c:pt idx="8">
                  <c:v>1975.449867425963</c:v>
                </c:pt>
                <c:pt idx="9">
                  <c:v>2199.4535877316498</c:v>
                </c:pt>
                <c:pt idx="10">
                  <c:v>2423.4573080373366</c:v>
                </c:pt>
                <c:pt idx="11">
                  <c:v>2647.4610283430234</c:v>
                </c:pt>
                <c:pt idx="12">
                  <c:v>2871.4647486487102</c:v>
                </c:pt>
                <c:pt idx="13">
                  <c:v>3095.4684689543969</c:v>
                </c:pt>
                <c:pt idx="14">
                  <c:v>3319.4721892600837</c:v>
                </c:pt>
                <c:pt idx="15">
                  <c:v>3543.4759095657705</c:v>
                </c:pt>
                <c:pt idx="16">
                  <c:v>3767.4796298714573</c:v>
                </c:pt>
                <c:pt idx="17">
                  <c:v>3991.4833501771441</c:v>
                </c:pt>
                <c:pt idx="18">
                  <c:v>4215.4870704828309</c:v>
                </c:pt>
                <c:pt idx="19">
                  <c:v>4439.4907907885172</c:v>
                </c:pt>
                <c:pt idx="20">
                  <c:v>4663.4945110942044</c:v>
                </c:pt>
                <c:pt idx="21">
                  <c:v>4887.4982313998917</c:v>
                </c:pt>
                <c:pt idx="22">
                  <c:v>5111.5019517055789</c:v>
                </c:pt>
                <c:pt idx="23">
                  <c:v>5335.5056720112661</c:v>
                </c:pt>
                <c:pt idx="24">
                  <c:v>5559.5093923169534</c:v>
                </c:pt>
                <c:pt idx="25">
                  <c:v>5783.5131126226406</c:v>
                </c:pt>
                <c:pt idx="26">
                  <c:v>6007.5168329283279</c:v>
                </c:pt>
                <c:pt idx="27">
                  <c:v>6231.5205532340151</c:v>
                </c:pt>
                <c:pt idx="28">
                  <c:v>6455.5242735397023</c:v>
                </c:pt>
                <c:pt idx="29">
                  <c:v>6679.5279938453896</c:v>
                </c:pt>
                <c:pt idx="30">
                  <c:v>6903.5317141510768</c:v>
                </c:pt>
                <c:pt idx="31">
                  <c:v>7127.5354344567641</c:v>
                </c:pt>
                <c:pt idx="32">
                  <c:v>7351.5391547624513</c:v>
                </c:pt>
                <c:pt idx="33">
                  <c:v>7575.5428750681385</c:v>
                </c:pt>
                <c:pt idx="34">
                  <c:v>7799.5465953738258</c:v>
                </c:pt>
                <c:pt idx="35">
                  <c:v>8023.550315679513</c:v>
                </c:pt>
                <c:pt idx="36">
                  <c:v>8247.5540359852002</c:v>
                </c:pt>
                <c:pt idx="37">
                  <c:v>8471.5577562908875</c:v>
                </c:pt>
                <c:pt idx="38">
                  <c:v>8695.5614765965747</c:v>
                </c:pt>
                <c:pt idx="39">
                  <c:v>8919.565196902262</c:v>
                </c:pt>
                <c:pt idx="40">
                  <c:v>9143.5689172079492</c:v>
                </c:pt>
                <c:pt idx="41">
                  <c:v>9367.5726375136364</c:v>
                </c:pt>
                <c:pt idx="42">
                  <c:v>9591.5763578193237</c:v>
                </c:pt>
                <c:pt idx="43">
                  <c:v>9815.580078125</c:v>
                </c:pt>
              </c:numCache>
            </c:numRef>
          </c:cat>
          <c:val>
            <c:numRef>
              <c:f>'Overall Metrics'!$U$2:$U$45</c:f>
              <c:numCache>
                <c:formatCode>General</c:formatCode>
                <c:ptCount val="44"/>
                <c:pt idx="0">
                  <c:v>1</c:v>
                </c:pt>
                <c:pt idx="1">
                  <c:v>0</c:v>
                </c:pt>
                <c:pt idx="2">
                  <c:v>1</c:v>
                </c:pt>
                <c:pt idx="3">
                  <c:v>1</c:v>
                </c:pt>
                <c:pt idx="4">
                  <c:v>0</c:v>
                </c:pt>
                <c:pt idx="5">
                  <c:v>0</c:v>
                </c:pt>
                <c:pt idx="6">
                  <c:v>1</c:v>
                </c:pt>
                <c:pt idx="7">
                  <c:v>0</c:v>
                </c:pt>
                <c:pt idx="8">
                  <c:v>2</c:v>
                </c:pt>
                <c:pt idx="9">
                  <c:v>0</c:v>
                </c:pt>
                <c:pt idx="10">
                  <c:v>0</c:v>
                </c:pt>
                <c:pt idx="11">
                  <c:v>0</c:v>
                </c:pt>
                <c:pt idx="12">
                  <c:v>1</c:v>
                </c:pt>
                <c:pt idx="13">
                  <c:v>0</c:v>
                </c:pt>
                <c:pt idx="14">
                  <c:v>2</c:v>
                </c:pt>
                <c:pt idx="15">
                  <c:v>3</c:v>
                </c:pt>
                <c:pt idx="16">
                  <c:v>0</c:v>
                </c:pt>
                <c:pt idx="17">
                  <c:v>0</c:v>
                </c:pt>
                <c:pt idx="18">
                  <c:v>1</c:v>
                </c:pt>
                <c:pt idx="19">
                  <c:v>1</c:v>
                </c:pt>
                <c:pt idx="20">
                  <c:v>0</c:v>
                </c:pt>
                <c:pt idx="21">
                  <c:v>0</c:v>
                </c:pt>
                <c:pt idx="22">
                  <c:v>3</c:v>
                </c:pt>
                <c:pt idx="23">
                  <c:v>1</c:v>
                </c:pt>
                <c:pt idx="24">
                  <c:v>0</c:v>
                </c:pt>
                <c:pt idx="25">
                  <c:v>1</c:v>
                </c:pt>
                <c:pt idx="26">
                  <c:v>1</c:v>
                </c:pt>
                <c:pt idx="27">
                  <c:v>2</c:v>
                </c:pt>
                <c:pt idx="28">
                  <c:v>0</c:v>
                </c:pt>
                <c:pt idx="29">
                  <c:v>0</c:v>
                </c:pt>
                <c:pt idx="30">
                  <c:v>2</c:v>
                </c:pt>
                <c:pt idx="31">
                  <c:v>0</c:v>
                </c:pt>
                <c:pt idx="32">
                  <c:v>1</c:v>
                </c:pt>
                <c:pt idx="33">
                  <c:v>0</c:v>
                </c:pt>
                <c:pt idx="34">
                  <c:v>1</c:v>
                </c:pt>
                <c:pt idx="35">
                  <c:v>1</c:v>
                </c:pt>
                <c:pt idx="36">
                  <c:v>1</c:v>
                </c:pt>
                <c:pt idx="37">
                  <c:v>1</c:v>
                </c:pt>
                <c:pt idx="38">
                  <c:v>0</c:v>
                </c:pt>
                <c:pt idx="39">
                  <c:v>1</c:v>
                </c:pt>
                <c:pt idx="40">
                  <c:v>0</c:v>
                </c:pt>
                <c:pt idx="41">
                  <c:v>0</c:v>
                </c:pt>
                <c:pt idx="42">
                  <c:v>1</c:v>
                </c:pt>
                <c:pt idx="43">
                  <c:v>1</c:v>
                </c:pt>
              </c:numCache>
            </c:numRef>
          </c:val>
        </c:ser>
        <c:dLbls>
          <c:showLegendKey val="0"/>
          <c:showVal val="0"/>
          <c:showCatName val="0"/>
          <c:showSerName val="0"/>
          <c:showPercent val="0"/>
          <c:showBubbleSize val="0"/>
        </c:dLbls>
        <c:gapWidth val="0"/>
        <c:axId val="1923051344"/>
        <c:axId val="1923051888"/>
      </c:barChart>
      <c:catAx>
        <c:axId val="1923051344"/>
        <c:scaling>
          <c:orientation val="minMax"/>
        </c:scaling>
        <c:delete val="1"/>
        <c:axPos val="b"/>
        <c:numFmt formatCode="#,##0.00" sourceLinked="1"/>
        <c:majorTickMark val="out"/>
        <c:minorTickMark val="none"/>
        <c:tickLblPos val="none"/>
        <c:crossAx val="1923051888"/>
        <c:crosses val="autoZero"/>
        <c:auto val="1"/>
        <c:lblAlgn val="ctr"/>
        <c:lblOffset val="100"/>
        <c:noMultiLvlLbl val="0"/>
      </c:catAx>
      <c:valAx>
        <c:axId val="1923051888"/>
        <c:scaling>
          <c:orientation val="minMax"/>
        </c:scaling>
        <c:delete val="1"/>
        <c:axPos val="l"/>
        <c:numFmt formatCode="General" sourceLinked="1"/>
        <c:majorTickMark val="out"/>
        <c:minorTickMark val="none"/>
        <c:tickLblPos val="none"/>
        <c:crossAx val="1923051344"/>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N54" totalsRowShown="0" headerRowDxfId="95" dataDxfId="94">
  <autoFilter ref="A2:N54"/>
  <tableColumns count="14">
    <tableColumn id="1" name="Vertex 1" dataDxfId="93" dataCellStyle="NodeXL Required"/>
    <tableColumn id="2" name="Vertex 2" dataDxfId="92" dataCellStyle="NodeXL Required"/>
    <tableColumn id="3" name="Color" dataDxfId="91" dataCellStyle="NodeXL Visual Property"/>
    <tableColumn id="4" name="Width" dataDxfId="90" dataCellStyle="NodeXL Visual Property"/>
    <tableColumn id="11" name="Style" dataDxfId="89" dataCellStyle="NodeXL Visual Property"/>
    <tableColumn id="5" name="Opacity" dataDxfId="88" dataCellStyle="NodeXL Visual Property"/>
    <tableColumn id="6" name="Visibility" dataDxfId="87" dataCellStyle="NodeXL Visual Property"/>
    <tableColumn id="10" name="Label" dataDxfId="0" dataCellStyle="NodeXL Label"/>
    <tableColumn id="12" name="Label Text Color" dataDxfId="86" dataCellStyle="NodeXL Label"/>
    <tableColumn id="13" name="Label Font Size" dataDxfId="85" dataCellStyle="NodeXL Label"/>
    <tableColumn id="14" name="Reciprocated?" dataDxfId="84" dataCellStyle="NodeXL Graph Metric"/>
    <tableColumn id="7" name="ID" dataDxfId="83" dataCellStyle="NodeXL Do Not Edit"/>
    <tableColumn id="9" name="Dynamic Filter" dataDxfId="82" dataCellStyle="NodeXL Do Not Edit">
      <calculatedColumnFormula xml:space="preserve"> IF(AND(TRUE), TRUE, FALSE)</calculatedColumnFormula>
    </tableColumn>
    <tableColumn id="8" name="Add Your Own Columns Here" dataDxfId="81" dataCellStyle="NodeXL Other Column"/>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3" totalsRowShown="0" headerRowDxfId="1">
  <autoFilter ref="M1:P3"/>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2.xml><?xml version="1.0" encoding="utf-8"?>
<table xmlns="http://schemas.openxmlformats.org/spreadsheetml/2006/main" id="2" name="Vertices" displayName="Vertices" ref="A2:AC34" totalsRowShown="0" headerRowDxfId="80" dataDxfId="79">
  <autoFilter ref="A2:AC34"/>
  <tableColumns count="29">
    <tableColumn id="1" name="Vertex" dataDxfId="78" dataCellStyle="NodeXL Required"/>
    <tableColumn id="2" name="Color" dataDxfId="77" dataCellStyle="NodeXL Visual Property"/>
    <tableColumn id="5" name="Shape" dataDxfId="76" dataCellStyle="NodeXL Visual Property"/>
    <tableColumn id="6" name="Size" dataDxfId="75" dataCellStyle="NodeXL Visual Property"/>
    <tableColumn id="4" name="Opacity" dataDxfId="74" dataCellStyle="NodeXL Visual Property"/>
    <tableColumn id="7" name="Image File" dataDxfId="73" dataCellStyle="NodeXL Visual Property"/>
    <tableColumn id="3" name="Visibility" dataDxfId="72" dataCellStyle="NodeXL Visual Property"/>
    <tableColumn id="10" name="Label" dataDxfId="71" dataCellStyle="NodeXL Label"/>
    <tableColumn id="16" name="Label Fill Color" dataDxfId="70" dataCellStyle="NodeXL Label"/>
    <tableColumn id="9" name="Label Position" dataDxfId="69" dataCellStyle="NodeXL Label"/>
    <tableColumn id="8" name="Tooltip" dataDxfId="68" dataCellStyle="NodeXL Label"/>
    <tableColumn id="18" name="Layout Order" dataDxfId="67" dataCellStyle="NodeXL Layout"/>
    <tableColumn id="13" name="X" dataDxfId="66" dataCellStyle="NodeXL Layout"/>
    <tableColumn id="14" name="Y" dataDxfId="65" dataCellStyle="NodeXL Layout"/>
    <tableColumn id="12" name="Locked?" dataDxfId="64" dataCellStyle="NodeXL Layout"/>
    <tableColumn id="19" name="Polar R" dataDxfId="63" dataCellStyle="NodeXL Layout"/>
    <tableColumn id="20" name="Polar Angle" dataDxfId="62" dataCellStyle="NodeXL Layout"/>
    <tableColumn id="21" name="Degree" dataDxfId="61" dataCellStyle="NodeXL Graph Metric"/>
    <tableColumn id="22" name="In-Degree" dataDxfId="60" dataCellStyle="NodeXL Graph Metric"/>
    <tableColumn id="23" name="Out-Degree" dataDxfId="59" dataCellStyle="NodeXL Graph Metric"/>
    <tableColumn id="24" name="Betweenness Centrality" dataDxfId="58" dataCellStyle="NodeXL Graph Metric"/>
    <tableColumn id="25" name="Closeness Centrality" dataDxfId="57" dataCellStyle="NodeXL Graph Metric"/>
    <tableColumn id="26" name="Eigenvector Centrality" dataDxfId="56" dataCellStyle="NodeXL Graph Metric"/>
    <tableColumn id="15" name="PageRank" dataDxfId="55" dataCellStyle="NodeXL Graph Metric"/>
    <tableColumn id="27" name="Clustering Coefficient" dataDxfId="54" dataCellStyle="NodeXL Graph Metric"/>
    <tableColumn id="29" name="Reciprocated Vertex Pair Ratio" dataDxfId="53" dataCellStyle="NodeXL Graph Metric"/>
    <tableColumn id="11" name="ID" dataDxfId="52" dataCellStyle="NodeXL Do Not Edit"/>
    <tableColumn id="28" name="Dynamic Filter" dataDxfId="51" dataCellStyle="NodeXL Do Not Edit">
      <calculatedColumnFormula xml:space="preserve"> IF(AND(OR(NOT(ISNUMBER(Vertices[X])), Vertices[X] &gt;= Misc!$O$2), OR(NOT(ISNUMBER(Vertices[X])), Vertices[X] &lt;= Misc!$P$2),OR(NOT(ISNUMBER(Vertices[Y])), Vertices[Y] &gt;= Misc!$O$3), OR(NOT(ISNUMBER(Vertices[Y])), Vertices[Y] &lt;= Misc!$P$3),TRUE), TRUE, FALSE)</calculatedColumnFormula>
    </tableColumn>
    <tableColumn id="17" name="Add Your Own Columns Here" dataDxfId="50" dataCellStyle="NodeXL Other Column"/>
  </tableColumns>
  <tableStyleInfo name="NodeXL Table" showFirstColumn="0" showLastColumn="0" showRowStripes="0" showColumnStripes="0"/>
</table>
</file>

<file path=xl/tables/table3.xml><?xml version="1.0" encoding="utf-8"?>
<table xmlns="http://schemas.openxmlformats.org/spreadsheetml/2006/main" id="4" name="Groups" displayName="Groups" ref="A2:X3" insertRow="1" totalsRowShown="0" headerRowDxfId="49">
  <autoFilter ref="A2:X3"/>
  <tableColumns count="24">
    <tableColumn id="1" name="Group" dataDxfId="48" dataCellStyle="NodeXL Required"/>
    <tableColumn id="2" name="Vertex Color" dataDxfId="47" dataCellStyle="NodeXL Visual Property"/>
    <tableColumn id="3" name="Vertex Shape" dataDxfId="46" dataCellStyle="NodeXL Visual Property"/>
    <tableColumn id="22" name="Visibility" dataDxfId="45" dataCellStyle="NodeXL Visual Property"/>
    <tableColumn id="4" name="Collapsed?" dataCellStyle="NodeXL Visual Property"/>
    <tableColumn id="18" name="Label" dataDxfId="44" dataCellStyle="NodeXL Label"/>
    <tableColumn id="20" name="Collapsed X" dataCellStyle="NodeXL Layout"/>
    <tableColumn id="21" name="Collapsed Y" dataCellStyle="NodeXL Layout"/>
    <tableColumn id="6" name="ID" dataDxfId="43" dataCellStyle="NodeXL Do Not Edit"/>
    <tableColumn id="19" name="Collapsed Properties" dataDxfId="42" dataCellStyle="NodeXL Do Not Edit"/>
    <tableColumn id="5" name="Vertices" dataDxfId="41" dataCellStyle="NodeXL Graph Metric"/>
    <tableColumn id="7" name="Unique Edges" dataDxfId="40" dataCellStyle="NodeXL Graph Metric"/>
    <tableColumn id="8" name="Edges With Duplicates" dataDxfId="39" dataCellStyle="NodeXL Graph Metric"/>
    <tableColumn id="9" name="Total Edges" dataDxfId="38" dataCellStyle="NodeXL Graph Metric"/>
    <tableColumn id="10" name="Self-Loops" dataDxfId="37" dataCellStyle="NodeXL Graph Metric"/>
    <tableColumn id="24" name="Reciprocated Vertex Pair Ratio" dataDxfId="36" dataCellStyle="NodeXL Graph Metric"/>
    <tableColumn id="25" name="Reciprocated Edge Ratio" dataDxfId="35" dataCellStyle="NodeXL Graph Metric"/>
    <tableColumn id="11" name="Connected Components" dataDxfId="34" dataCellStyle="NodeXL Graph Metric"/>
    <tableColumn id="12" name="Single-Vertex Connected Components" dataDxfId="33" dataCellStyle="NodeXL Graph Metric"/>
    <tableColumn id="13" name="Maximum Vertices in a Connected Component" dataDxfId="32" dataCellStyle="NodeXL Graph Metric"/>
    <tableColumn id="14" name="Maximum Edges in a Connected Component" dataDxfId="31" dataCellStyle="NodeXL Graph Metric"/>
    <tableColumn id="15" name="Maximum Geodesic Distance (Diameter)" dataDxfId="30" dataCellStyle="NodeXL Graph Metric"/>
    <tableColumn id="16" name="Average Geodesic Distance" dataDxfId="29" dataCellStyle="NodeXL Graph Metric"/>
    <tableColumn id="17" name="Graph Density" dataDxfId="28" dataCellStyle="NodeXL Graph Metric"/>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3" totalsRowShown="0" headerRowDxfId="27" dataDxfId="26">
  <autoFilter ref="A1:C3"/>
  <tableColumns count="3">
    <tableColumn id="1" name="Group" dataDxfId="25"/>
    <tableColumn id="2" name="Vertex" dataDxfId="24"/>
    <tableColumn id="3" name="Vertex ID" dataDxfId="23"/>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6" totalsRowShown="0" dataCellStyle="NodeXL Graph Metric">
  <autoFilter ref="A1:B26"/>
  <tableColumns count="2">
    <tableColumn id="1" name="Graph Metric" dataDxfId="22" dataCellStyle="NodeXL Graph Metric"/>
    <tableColumn id="2" name="Value" dataDxfId="21"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45" totalsRowShown="0">
  <autoFilter ref="D1:U45"/>
  <tableColumns count="18">
    <tableColumn id="1" name="Degree Bin" dataDxfId="20"/>
    <tableColumn id="2" name="Degree Frequency" dataDxfId="19">
      <calculatedColumnFormula>COUNTIF(Vertices[Degree], "&gt;= " &amp; D2) - COUNTIF(Vertices[Degree], "&gt;=" &amp; D3)</calculatedColumnFormula>
    </tableColumn>
    <tableColumn id="3" name="In-Degree Bin" dataDxfId="18"/>
    <tableColumn id="4" name="In-Degree Frequency" dataDxfId="17">
      <calculatedColumnFormula>COUNTIF(Vertices[In-Degree], "&gt;= " &amp; F2) - COUNTIF(Vertices[In-Degree], "&gt;=" &amp; F3)</calculatedColumnFormula>
    </tableColumn>
    <tableColumn id="5" name="Out-Degree Bin" dataDxfId="16"/>
    <tableColumn id="6" name="Out-Degree Frequency" dataDxfId="15">
      <calculatedColumnFormula>COUNTIF(Vertices[Out-Degree], "&gt;= " &amp; H2) - COUNTIF(Vertices[Out-Degree], "&gt;=" &amp; H3)</calculatedColumnFormula>
    </tableColumn>
    <tableColumn id="7" name="Betweenness Centrality Bin" dataDxfId="14"/>
    <tableColumn id="8" name="Betweenness Centrality Frequency" dataDxfId="13">
      <calculatedColumnFormula>COUNTIF(Vertices[Betweenness Centrality], "&gt;= " &amp; J2) - COUNTIF(Vertices[Betweenness Centrality], "&gt;=" &amp; J3)</calculatedColumnFormula>
    </tableColumn>
    <tableColumn id="9" name="Closeness Centrality Bin" dataDxfId="12"/>
    <tableColumn id="10" name="Closeness Centrality Frequency" dataDxfId="11">
      <calculatedColumnFormula>COUNTIF(Vertices[Closeness Centrality], "&gt;= " &amp; L2) - COUNTIF(Vertices[Closeness Centrality], "&gt;=" &amp; L3)</calculatedColumnFormula>
    </tableColumn>
    <tableColumn id="11" name="Eigenvector Centrality Bin" dataDxfId="10"/>
    <tableColumn id="12" name="Eigenvector Centrality Frequency" dataDxfId="9">
      <calculatedColumnFormula>COUNTIF(Vertices[Eigenvector Centrality], "&gt;= " &amp; N2) - COUNTIF(Vertices[Eigenvector Centrality], "&gt;=" &amp; N3)</calculatedColumnFormula>
    </tableColumn>
    <tableColumn id="18" name="PageRank Bin" dataDxfId="8"/>
    <tableColumn id="17" name="PageRank Frequency" dataDxfId="7">
      <calculatedColumnFormula>COUNTIF(Vertices[Eigenvector Centrality], "&gt;= " &amp; P2) - COUNTIF(Vertices[Eigenvector Centrality], "&gt;=" &amp; P3)</calculatedColumnFormula>
    </tableColumn>
    <tableColumn id="13" name="Clustering Coefficient Bin" dataDxfId="6"/>
    <tableColumn id="14" name="Clustering Coefficient Frequency" dataDxfId="5">
      <calculatedColumnFormula>COUNTIF(Vertices[Clustering Coefficient], "&gt;= " &amp; R2) - COUNTIF(Vertices[Clustering Coefficient], "&gt;=" &amp; R3)</calculatedColumnFormula>
    </tableColumn>
    <tableColumn id="15" name="Dynamic Filter Bin" dataDxfId="4"/>
    <tableColumn id="16" name="Dynamic Filter Frequency" dataDxfId="3">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29:B32" totalsRowShown="0" dataCellStyle="NodeXL Graph Metric">
  <autoFilter ref="A29:B32"/>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7" totalsRowShown="0" headerRowDxfId="2">
  <autoFilter ref="J1:K7"/>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N54"/>
  <sheetViews>
    <sheetView workbookViewId="0">
      <pane xSplit="2" ySplit="2" topLeftCell="C3" activePane="bottomRight" state="frozen"/>
      <selection pane="topRight" activeCell="C1" sqref="C1"/>
      <selection pane="bottomLeft" activeCell="A3" sqref="A3"/>
      <selection pane="bottomRight" activeCell="A2" sqref="A2:N2"/>
    </sheetView>
  </sheetViews>
  <sheetFormatPr defaultRowHeight="15" x14ac:dyDescent="0.25"/>
  <cols>
    <col min="1" max="2" width="10.42578125" style="1" customWidth="1"/>
    <col min="3" max="3" width="7.85546875" style="3" bestFit="1" customWidth="1"/>
    <col min="4" max="4" width="8.7109375" style="2" bestFit="1" customWidth="1"/>
    <col min="5" max="5" width="7.7109375" style="2" bestFit="1" customWidth="1"/>
    <col min="6" max="6" width="9.85546875" style="2" bestFit="1" customWidth="1"/>
    <col min="7" max="7" width="11" style="3" bestFit="1" customWidth="1"/>
    <col min="8" max="8" width="8" style="1" bestFit="1" customWidth="1"/>
    <col min="9" max="9" width="12.28515625" style="3" bestFit="1" customWidth="1"/>
    <col min="10" max="10" width="12.42578125" style="3" bestFit="1" customWidth="1"/>
    <col min="11" max="11" width="15.5703125" style="3" hidden="1" customWidth="1"/>
    <col min="12" max="12" width="11" hidden="1" customWidth="1"/>
    <col min="13" max="13" width="10.85546875" hidden="1" customWidth="1"/>
    <col min="14" max="14" width="16" bestFit="1" customWidth="1"/>
  </cols>
  <sheetData>
    <row r="1" spans="1:14" x14ac:dyDescent="0.25">
      <c r="C1" s="18" t="s">
        <v>40</v>
      </c>
      <c r="D1" s="19"/>
      <c r="E1" s="19"/>
      <c r="F1" s="19"/>
      <c r="G1" s="18"/>
      <c r="H1" s="16" t="s">
        <v>44</v>
      </c>
      <c r="I1" s="66"/>
      <c r="J1" s="66"/>
      <c r="K1" s="35" t="s">
        <v>43</v>
      </c>
      <c r="L1" s="20" t="s">
        <v>41</v>
      </c>
      <c r="M1" s="20"/>
      <c r="N1" s="17" t="s">
        <v>42</v>
      </c>
    </row>
    <row r="2" spans="1:14" ht="30" customHeight="1" x14ac:dyDescent="0.25">
      <c r="A2" s="11" t="s">
        <v>0</v>
      </c>
      <c r="B2" s="11" t="s">
        <v>1</v>
      </c>
      <c r="C2" s="13" t="s">
        <v>2</v>
      </c>
      <c r="D2" s="13" t="s">
        <v>3</v>
      </c>
      <c r="E2" s="13" t="s">
        <v>130</v>
      </c>
      <c r="F2" s="13" t="s">
        <v>4</v>
      </c>
      <c r="G2" s="13" t="s">
        <v>11</v>
      </c>
      <c r="H2" s="11" t="s">
        <v>47</v>
      </c>
      <c r="I2" s="13" t="s">
        <v>160</v>
      </c>
      <c r="J2" s="13" t="s">
        <v>161</v>
      </c>
      <c r="K2" s="13" t="s">
        <v>165</v>
      </c>
      <c r="L2" s="13" t="s">
        <v>12</v>
      </c>
      <c r="M2" s="13" t="s">
        <v>39</v>
      </c>
      <c r="N2" s="13" t="s">
        <v>26</v>
      </c>
    </row>
    <row r="3" spans="1:14" ht="15" customHeight="1" x14ac:dyDescent="0.25">
      <c r="A3">
        <v>3</v>
      </c>
      <c r="B3">
        <v>8</v>
      </c>
      <c r="C3" s="54"/>
      <c r="D3" s="55"/>
      <c r="E3" s="54"/>
      <c r="F3" s="56"/>
      <c r="G3" s="54"/>
      <c r="H3" s="58">
        <v>148</v>
      </c>
      <c r="I3" s="57"/>
      <c r="J3" s="57"/>
      <c r="K3" s="68"/>
      <c r="L3" s="63">
        <v>3</v>
      </c>
      <c r="M3" s="63" t="b">
        <f t="shared" ref="M3:M34" si="0" xml:space="preserve"> IF(AND(TRUE), TRUE, FALSE)</f>
        <v>1</v>
      </c>
      <c r="N3" s="64"/>
    </row>
    <row r="4" spans="1:14" x14ac:dyDescent="0.25">
      <c r="A4">
        <v>5</v>
      </c>
      <c r="B4">
        <v>1</v>
      </c>
      <c r="C4" s="54"/>
      <c r="D4" s="55"/>
      <c r="E4" s="54"/>
      <c r="F4" s="56"/>
      <c r="G4" s="54"/>
      <c r="H4" s="58">
        <v>84</v>
      </c>
      <c r="I4" s="57"/>
      <c r="J4" s="57"/>
      <c r="K4" s="68"/>
      <c r="L4" s="63">
        <v>4</v>
      </c>
      <c r="M4" s="63" t="b">
        <f t="shared" si="0"/>
        <v>1</v>
      </c>
      <c r="N4" s="64"/>
    </row>
    <row r="5" spans="1:14" x14ac:dyDescent="0.25">
      <c r="A5">
        <v>5</v>
      </c>
      <c r="B5">
        <v>4</v>
      </c>
      <c r="C5" s="54"/>
      <c r="D5" s="55"/>
      <c r="E5" s="54"/>
      <c r="F5" s="56"/>
      <c r="G5" s="54"/>
      <c r="H5" s="58">
        <v>67</v>
      </c>
      <c r="I5" s="57"/>
      <c r="J5" s="57"/>
      <c r="K5" s="68"/>
      <c r="L5" s="63">
        <v>5</v>
      </c>
      <c r="M5" s="63" t="b">
        <f t="shared" si="0"/>
        <v>1</v>
      </c>
      <c r="N5" s="64"/>
    </row>
    <row r="6" spans="1:14" x14ac:dyDescent="0.25">
      <c r="A6">
        <v>5</v>
      </c>
      <c r="B6">
        <v>7</v>
      </c>
      <c r="C6" s="54"/>
      <c r="D6" s="55"/>
      <c r="E6" s="54"/>
      <c r="F6" s="56"/>
      <c r="G6" s="54"/>
      <c r="H6" s="58">
        <v>30.75</v>
      </c>
      <c r="I6" s="57"/>
      <c r="J6" s="57"/>
      <c r="K6" s="68"/>
      <c r="L6" s="63">
        <v>6</v>
      </c>
      <c r="M6" s="63" t="b">
        <f t="shared" si="0"/>
        <v>1</v>
      </c>
      <c r="N6" s="64"/>
    </row>
    <row r="7" spans="1:14" x14ac:dyDescent="0.25">
      <c r="A7">
        <v>5</v>
      </c>
      <c r="B7">
        <v>8</v>
      </c>
      <c r="C7" s="54"/>
      <c r="D7" s="55"/>
      <c r="E7" s="54"/>
      <c r="F7" s="56"/>
      <c r="G7" s="54"/>
      <c r="H7" s="58">
        <v>144.29</v>
      </c>
      <c r="I7" s="57"/>
      <c r="J7" s="57"/>
      <c r="K7" s="68"/>
      <c r="L7" s="63">
        <v>7</v>
      </c>
      <c r="M7" s="63" t="b">
        <f t="shared" si="0"/>
        <v>1</v>
      </c>
      <c r="N7" s="64"/>
    </row>
    <row r="8" spans="1:14" x14ac:dyDescent="0.25">
      <c r="A8">
        <v>5</v>
      </c>
      <c r="B8">
        <v>10</v>
      </c>
      <c r="C8" s="54"/>
      <c r="D8" s="55"/>
      <c r="E8" s="54"/>
      <c r="F8" s="56"/>
      <c r="G8" s="54"/>
      <c r="H8" s="58">
        <v>87</v>
      </c>
      <c r="I8" s="57"/>
      <c r="J8" s="57"/>
      <c r="K8" s="68"/>
      <c r="L8" s="63">
        <v>8</v>
      </c>
      <c r="M8" s="63" t="b">
        <f t="shared" si="0"/>
        <v>1</v>
      </c>
      <c r="N8" s="64"/>
    </row>
    <row r="9" spans="1:14" x14ac:dyDescent="0.25">
      <c r="A9">
        <v>5</v>
      </c>
      <c r="B9">
        <v>19</v>
      </c>
      <c r="C9" s="54"/>
      <c r="D9" s="55"/>
      <c r="E9" s="54"/>
      <c r="F9" s="56"/>
      <c r="G9" s="54"/>
      <c r="H9" s="58">
        <v>27</v>
      </c>
      <c r="I9" s="57"/>
      <c r="J9" s="57"/>
      <c r="K9" s="68"/>
      <c r="L9" s="63">
        <v>9</v>
      </c>
      <c r="M9" s="63" t="b">
        <f t="shared" si="0"/>
        <v>1</v>
      </c>
      <c r="N9" s="64"/>
    </row>
    <row r="10" spans="1:14" x14ac:dyDescent="0.25">
      <c r="A10">
        <v>5</v>
      </c>
      <c r="B10">
        <v>20</v>
      </c>
      <c r="C10" s="54"/>
      <c r="D10" s="55"/>
      <c r="E10" s="54"/>
      <c r="F10" s="56"/>
      <c r="G10" s="54"/>
      <c r="H10" s="58">
        <v>14.4</v>
      </c>
      <c r="I10" s="57"/>
      <c r="J10" s="57"/>
      <c r="K10" s="68"/>
      <c r="L10" s="63">
        <v>10</v>
      </c>
      <c r="M10" s="63" t="b">
        <f t="shared" si="0"/>
        <v>1</v>
      </c>
      <c r="N10" s="64"/>
    </row>
    <row r="11" spans="1:14" x14ac:dyDescent="0.25">
      <c r="A11">
        <v>5</v>
      </c>
      <c r="B11">
        <v>23</v>
      </c>
      <c r="C11" s="54"/>
      <c r="D11" s="55"/>
      <c r="E11" s="54"/>
      <c r="F11" s="56"/>
      <c r="G11" s="54"/>
      <c r="H11" s="58">
        <v>14.4</v>
      </c>
      <c r="I11" s="57"/>
      <c r="J11" s="57"/>
      <c r="K11" s="68"/>
      <c r="L11" s="63">
        <v>11</v>
      </c>
      <c r="M11" s="63" t="b">
        <f t="shared" si="0"/>
        <v>1</v>
      </c>
      <c r="N11" s="64"/>
    </row>
    <row r="12" spans="1:14" x14ac:dyDescent="0.25">
      <c r="A12">
        <v>5</v>
      </c>
      <c r="B12">
        <v>24</v>
      </c>
      <c r="C12" s="54"/>
      <c r="D12" s="55"/>
      <c r="E12" s="54"/>
      <c r="F12" s="56"/>
      <c r="G12" s="54"/>
      <c r="H12" s="58">
        <v>10.1</v>
      </c>
      <c r="I12" s="57"/>
      <c r="J12" s="57"/>
      <c r="K12" s="68"/>
      <c r="L12" s="63">
        <v>12</v>
      </c>
      <c r="M12" s="63" t="b">
        <f t="shared" si="0"/>
        <v>1</v>
      </c>
      <c r="N12" s="64"/>
    </row>
    <row r="13" spans="1:14" x14ac:dyDescent="0.25">
      <c r="A13">
        <v>5</v>
      </c>
      <c r="B13">
        <v>25</v>
      </c>
      <c r="C13" s="54"/>
      <c r="D13" s="55"/>
      <c r="E13" s="54"/>
      <c r="F13" s="56"/>
      <c r="G13" s="54"/>
      <c r="H13" s="58">
        <v>60.5</v>
      </c>
      <c r="I13" s="57"/>
      <c r="J13" s="57"/>
      <c r="K13" s="68"/>
      <c r="L13" s="63">
        <v>13</v>
      </c>
      <c r="M13" s="63" t="b">
        <f t="shared" si="0"/>
        <v>1</v>
      </c>
      <c r="N13" s="64"/>
    </row>
    <row r="14" spans="1:14" x14ac:dyDescent="0.25">
      <c r="A14">
        <v>5</v>
      </c>
      <c r="B14">
        <v>26</v>
      </c>
      <c r="C14" s="54"/>
      <c r="D14" s="55"/>
      <c r="E14" s="54"/>
      <c r="F14" s="56"/>
      <c r="G14" s="54"/>
      <c r="H14" s="58">
        <v>80</v>
      </c>
      <c r="I14" s="57"/>
      <c r="J14" s="57"/>
      <c r="K14" s="68"/>
      <c r="L14" s="63">
        <v>14</v>
      </c>
      <c r="M14" s="63" t="b">
        <f t="shared" si="0"/>
        <v>1</v>
      </c>
      <c r="N14" s="64"/>
    </row>
    <row r="15" spans="1:14" x14ac:dyDescent="0.25">
      <c r="A15">
        <v>5</v>
      </c>
      <c r="B15">
        <v>27</v>
      </c>
      <c r="C15" s="54"/>
      <c r="D15" s="55"/>
      <c r="E15" s="54"/>
      <c r="F15" s="56"/>
      <c r="G15" s="54"/>
      <c r="H15" s="58">
        <v>75</v>
      </c>
      <c r="I15" s="57"/>
      <c r="J15" s="57"/>
      <c r="K15" s="68"/>
      <c r="L15" s="63">
        <v>15</v>
      </c>
      <c r="M15" s="63" t="b">
        <f t="shared" si="0"/>
        <v>1</v>
      </c>
      <c r="N15" s="64"/>
    </row>
    <row r="16" spans="1:14" x14ac:dyDescent="0.25">
      <c r="A16">
        <v>5</v>
      </c>
      <c r="B16">
        <v>28</v>
      </c>
      <c r="C16" s="54"/>
      <c r="D16" s="55"/>
      <c r="E16" s="54"/>
      <c r="F16" s="56"/>
      <c r="G16" s="54"/>
      <c r="H16" s="58">
        <v>46</v>
      </c>
      <c r="I16" s="57"/>
      <c r="J16" s="57"/>
      <c r="K16" s="68"/>
      <c r="L16" s="63">
        <v>16</v>
      </c>
      <c r="M16" s="63" t="b">
        <f t="shared" si="0"/>
        <v>1</v>
      </c>
      <c r="N16" s="64"/>
    </row>
    <row r="17" spans="1:14" x14ac:dyDescent="0.25">
      <c r="A17">
        <v>5</v>
      </c>
      <c r="B17">
        <v>32</v>
      </c>
      <c r="C17" s="54"/>
      <c r="D17" s="55"/>
      <c r="E17" s="54"/>
      <c r="F17" s="56"/>
      <c r="G17" s="54"/>
      <c r="H17" s="58">
        <v>22.75</v>
      </c>
      <c r="I17" s="57"/>
      <c r="J17" s="57"/>
      <c r="K17" s="68"/>
      <c r="L17" s="63">
        <v>17</v>
      </c>
      <c r="M17" s="63" t="b">
        <f t="shared" si="0"/>
        <v>1</v>
      </c>
      <c r="N17" s="64"/>
    </row>
    <row r="18" spans="1:14" x14ac:dyDescent="0.25">
      <c r="A18">
        <v>7</v>
      </c>
      <c r="B18">
        <v>8</v>
      </c>
      <c r="C18" s="54"/>
      <c r="D18" s="55"/>
      <c r="E18" s="54"/>
      <c r="F18" s="56"/>
      <c r="G18" s="54"/>
      <c r="H18" s="58">
        <v>129.19999999999999</v>
      </c>
      <c r="I18" s="57"/>
      <c r="J18" s="57"/>
      <c r="K18" s="68"/>
      <c r="L18" s="63">
        <v>18</v>
      </c>
      <c r="M18" s="63" t="b">
        <f t="shared" si="0"/>
        <v>1</v>
      </c>
      <c r="N18" s="64"/>
    </row>
    <row r="19" spans="1:14" x14ac:dyDescent="0.25">
      <c r="A19">
        <v>11</v>
      </c>
      <c r="B19">
        <v>2</v>
      </c>
      <c r="C19" s="54"/>
      <c r="D19" s="55"/>
      <c r="E19" s="54"/>
      <c r="F19" s="56"/>
      <c r="G19" s="54"/>
      <c r="H19" s="58">
        <v>10.09</v>
      </c>
      <c r="I19" s="57"/>
      <c r="J19" s="57"/>
      <c r="K19" s="68"/>
      <c r="L19" s="63">
        <v>19</v>
      </c>
      <c r="M19" s="63" t="b">
        <f t="shared" si="0"/>
        <v>1</v>
      </c>
      <c r="N19" s="64"/>
    </row>
    <row r="20" spans="1:14" x14ac:dyDescent="0.25">
      <c r="A20">
        <v>11</v>
      </c>
      <c r="B20">
        <v>4</v>
      </c>
      <c r="C20" s="54"/>
      <c r="D20" s="55"/>
      <c r="E20" s="54"/>
      <c r="F20" s="56"/>
      <c r="G20" s="54"/>
      <c r="H20" s="58">
        <v>61</v>
      </c>
      <c r="I20" s="57"/>
      <c r="J20" s="57"/>
      <c r="K20" s="68"/>
      <c r="L20" s="63">
        <v>20</v>
      </c>
      <c r="M20" s="63" t="b">
        <f t="shared" si="0"/>
        <v>1</v>
      </c>
      <c r="N20" s="64"/>
    </row>
    <row r="21" spans="1:14" x14ac:dyDescent="0.25">
      <c r="A21">
        <v>11</v>
      </c>
      <c r="B21">
        <v>5</v>
      </c>
      <c r="C21" s="54"/>
      <c r="D21" s="55"/>
      <c r="E21" s="54"/>
      <c r="F21" s="56"/>
      <c r="G21" s="54"/>
      <c r="H21" s="58">
        <v>17.45</v>
      </c>
      <c r="I21" s="57"/>
      <c r="J21" s="57"/>
      <c r="K21" s="68"/>
      <c r="L21" s="63">
        <v>21</v>
      </c>
      <c r="M21" s="63" t="b">
        <f t="shared" si="0"/>
        <v>1</v>
      </c>
      <c r="N21" s="64"/>
    </row>
    <row r="22" spans="1:14" x14ac:dyDescent="0.25">
      <c r="A22">
        <v>11</v>
      </c>
      <c r="B22">
        <v>6</v>
      </c>
      <c r="C22" s="54"/>
      <c r="D22" s="55"/>
      <c r="E22" s="54"/>
      <c r="F22" s="56"/>
      <c r="G22" s="54"/>
      <c r="H22" s="58">
        <v>7.18</v>
      </c>
      <c r="I22" s="57"/>
      <c r="J22" s="57"/>
      <c r="K22" s="68"/>
      <c r="L22" s="63">
        <v>22</v>
      </c>
      <c r="M22" s="63" t="b">
        <f t="shared" si="0"/>
        <v>1</v>
      </c>
      <c r="N22" s="64"/>
    </row>
    <row r="23" spans="1:14" x14ac:dyDescent="0.25">
      <c r="A23">
        <v>11</v>
      </c>
      <c r="B23">
        <v>12</v>
      </c>
      <c r="C23" s="54"/>
      <c r="D23" s="55"/>
      <c r="E23" s="54"/>
      <c r="F23" s="56"/>
      <c r="G23" s="54"/>
      <c r="H23" s="58">
        <v>106.31</v>
      </c>
      <c r="I23" s="57"/>
      <c r="J23" s="57"/>
      <c r="K23" s="68"/>
      <c r="L23" s="63">
        <v>23</v>
      </c>
      <c r="M23" s="63" t="b">
        <f t="shared" si="0"/>
        <v>1</v>
      </c>
      <c r="N23" s="64"/>
    </row>
    <row r="24" spans="1:14" x14ac:dyDescent="0.25">
      <c r="A24">
        <v>11</v>
      </c>
      <c r="B24">
        <v>14</v>
      </c>
      <c r="C24" s="54"/>
      <c r="D24" s="55"/>
      <c r="E24" s="54"/>
      <c r="F24" s="56"/>
      <c r="G24" s="54"/>
      <c r="H24" s="58">
        <v>11.3</v>
      </c>
      <c r="I24" s="57"/>
      <c r="J24" s="57"/>
      <c r="K24" s="68"/>
      <c r="L24" s="63">
        <v>24</v>
      </c>
      <c r="M24" s="63" t="b">
        <f t="shared" si="0"/>
        <v>1</v>
      </c>
      <c r="N24" s="64"/>
    </row>
    <row r="25" spans="1:14" x14ac:dyDescent="0.25">
      <c r="A25">
        <v>11</v>
      </c>
      <c r="B25">
        <v>18</v>
      </c>
      <c r="C25" s="54"/>
      <c r="D25" s="55"/>
      <c r="E25" s="54"/>
      <c r="F25" s="56"/>
      <c r="G25" s="54"/>
      <c r="H25" s="58">
        <v>3.6</v>
      </c>
      <c r="I25" s="57"/>
      <c r="J25" s="57"/>
      <c r="K25" s="68"/>
      <c r="L25" s="63">
        <v>25</v>
      </c>
      <c r="M25" s="63" t="b">
        <f t="shared" si="0"/>
        <v>1</v>
      </c>
      <c r="N25" s="64"/>
    </row>
    <row r="26" spans="1:14" x14ac:dyDescent="0.25">
      <c r="A26">
        <v>11</v>
      </c>
      <c r="B26">
        <v>19</v>
      </c>
      <c r="C26" s="54"/>
      <c r="D26" s="55"/>
      <c r="E26" s="54"/>
      <c r="F26" s="56"/>
      <c r="G26" s="54"/>
      <c r="H26" s="58">
        <v>14.8</v>
      </c>
      <c r="I26" s="57"/>
      <c r="J26" s="57"/>
      <c r="K26" s="68"/>
      <c r="L26" s="63">
        <v>26</v>
      </c>
      <c r="M26" s="63" t="b">
        <f t="shared" si="0"/>
        <v>1</v>
      </c>
      <c r="N26" s="64"/>
    </row>
    <row r="27" spans="1:14" x14ac:dyDescent="0.25">
      <c r="A27">
        <v>11</v>
      </c>
      <c r="B27">
        <v>22</v>
      </c>
      <c r="C27" s="54"/>
      <c r="D27" s="55"/>
      <c r="E27" s="54"/>
      <c r="F27" s="56"/>
      <c r="G27" s="54"/>
      <c r="H27" s="58">
        <v>24</v>
      </c>
      <c r="I27" s="57"/>
      <c r="J27" s="57"/>
      <c r="K27" s="68"/>
      <c r="L27" s="63">
        <v>27</v>
      </c>
      <c r="M27" s="63" t="b">
        <f t="shared" si="0"/>
        <v>1</v>
      </c>
      <c r="N27" s="64"/>
    </row>
    <row r="28" spans="1:14" x14ac:dyDescent="0.25">
      <c r="A28">
        <v>11</v>
      </c>
      <c r="B28">
        <v>30</v>
      </c>
      <c r="C28" s="54"/>
      <c r="D28" s="55"/>
      <c r="E28" s="54"/>
      <c r="F28" s="56"/>
      <c r="G28" s="54"/>
      <c r="H28" s="58">
        <v>4.9400000000000004</v>
      </c>
      <c r="I28" s="57"/>
      <c r="J28" s="57"/>
      <c r="K28" s="68"/>
      <c r="L28" s="63">
        <v>28</v>
      </c>
      <c r="M28" s="63" t="b">
        <f t="shared" si="0"/>
        <v>1</v>
      </c>
      <c r="N28" s="64"/>
    </row>
    <row r="29" spans="1:14" x14ac:dyDescent="0.25">
      <c r="A29">
        <v>11</v>
      </c>
      <c r="B29">
        <v>31</v>
      </c>
      <c r="C29" s="54"/>
      <c r="D29" s="55"/>
      <c r="E29" s="54"/>
      <c r="F29" s="56"/>
      <c r="G29" s="54"/>
      <c r="H29" s="58">
        <v>14.6</v>
      </c>
      <c r="I29" s="57"/>
      <c r="J29" s="57"/>
      <c r="K29" s="68"/>
      <c r="L29" s="63">
        <v>29</v>
      </c>
      <c r="M29" s="63" t="b">
        <f t="shared" si="0"/>
        <v>1</v>
      </c>
      <c r="N29" s="64"/>
    </row>
    <row r="30" spans="1:14" x14ac:dyDescent="0.25">
      <c r="A30">
        <v>19</v>
      </c>
      <c r="B30">
        <v>1</v>
      </c>
      <c r="C30" s="54"/>
      <c r="D30" s="55"/>
      <c r="E30" s="54"/>
      <c r="F30" s="56"/>
      <c r="G30" s="54"/>
      <c r="H30" s="58">
        <v>113.25</v>
      </c>
      <c r="I30" s="57"/>
      <c r="J30" s="57"/>
      <c r="K30" s="68"/>
      <c r="L30" s="63">
        <v>30</v>
      </c>
      <c r="M30" s="63" t="b">
        <f t="shared" si="0"/>
        <v>1</v>
      </c>
      <c r="N30" s="64"/>
    </row>
    <row r="31" spans="1:14" x14ac:dyDescent="0.25">
      <c r="A31">
        <v>19</v>
      </c>
      <c r="B31">
        <v>3</v>
      </c>
      <c r="C31" s="54"/>
      <c r="D31" s="55"/>
      <c r="E31" s="54"/>
      <c r="F31" s="56"/>
      <c r="G31" s="54"/>
      <c r="H31" s="58">
        <v>72</v>
      </c>
      <c r="I31" s="57"/>
      <c r="J31" s="57"/>
      <c r="K31" s="68"/>
      <c r="L31" s="63">
        <v>31</v>
      </c>
      <c r="M31" s="63" t="b">
        <f t="shared" si="0"/>
        <v>1</v>
      </c>
      <c r="N31" s="64"/>
    </row>
    <row r="32" spans="1:14" x14ac:dyDescent="0.25">
      <c r="A32">
        <v>19</v>
      </c>
      <c r="B32">
        <v>6</v>
      </c>
      <c r="C32" s="54"/>
      <c r="D32" s="55"/>
      <c r="E32" s="54"/>
      <c r="F32" s="56"/>
      <c r="G32" s="54"/>
      <c r="H32" s="58">
        <v>26.78</v>
      </c>
      <c r="I32" s="57"/>
      <c r="J32" s="57"/>
      <c r="K32" s="68"/>
      <c r="L32" s="63">
        <v>32</v>
      </c>
      <c r="M32" s="63" t="b">
        <f t="shared" si="0"/>
        <v>1</v>
      </c>
      <c r="N32" s="64"/>
    </row>
    <row r="33" spans="1:14" x14ac:dyDescent="0.25">
      <c r="A33">
        <v>19</v>
      </c>
      <c r="B33">
        <v>7</v>
      </c>
      <c r="C33" s="54"/>
      <c r="D33" s="55"/>
      <c r="E33" s="54"/>
      <c r="F33" s="56"/>
      <c r="G33" s="54"/>
      <c r="H33" s="58">
        <v>57.25</v>
      </c>
      <c r="I33" s="57"/>
      <c r="J33" s="57"/>
      <c r="K33" s="68"/>
      <c r="L33" s="63">
        <v>33</v>
      </c>
      <c r="M33" s="63" t="b">
        <f t="shared" si="0"/>
        <v>1</v>
      </c>
      <c r="N33" s="64"/>
    </row>
    <row r="34" spans="1:14" x14ac:dyDescent="0.25">
      <c r="A34">
        <v>19</v>
      </c>
      <c r="B34">
        <v>9</v>
      </c>
      <c r="C34" s="54"/>
      <c r="D34" s="55"/>
      <c r="E34" s="54"/>
      <c r="F34" s="56"/>
      <c r="G34" s="54"/>
      <c r="H34" s="58">
        <v>110</v>
      </c>
      <c r="I34" s="57"/>
      <c r="J34" s="57"/>
      <c r="K34" s="68"/>
      <c r="L34" s="63">
        <v>34</v>
      </c>
      <c r="M34" s="63" t="b">
        <f t="shared" si="0"/>
        <v>1</v>
      </c>
      <c r="N34" s="64"/>
    </row>
    <row r="35" spans="1:14" x14ac:dyDescent="0.25">
      <c r="A35">
        <v>19</v>
      </c>
      <c r="B35">
        <v>10</v>
      </c>
      <c r="C35" s="54"/>
      <c r="D35" s="55"/>
      <c r="E35" s="54"/>
      <c r="F35" s="56"/>
      <c r="G35" s="54"/>
      <c r="H35" s="58">
        <v>101.1</v>
      </c>
      <c r="I35" s="57"/>
      <c r="J35" s="57"/>
      <c r="K35" s="68"/>
      <c r="L35" s="63">
        <v>35</v>
      </c>
      <c r="M35" s="63" t="b">
        <f t="shared" ref="M35:M54" si="1" xml:space="preserve"> IF(AND(TRUE), TRUE, FALSE)</f>
        <v>1</v>
      </c>
      <c r="N35" s="64"/>
    </row>
    <row r="36" spans="1:14" x14ac:dyDescent="0.25">
      <c r="A36">
        <v>19</v>
      </c>
      <c r="B36">
        <v>12</v>
      </c>
      <c r="C36" s="54"/>
      <c r="D36" s="55"/>
      <c r="E36" s="54"/>
      <c r="F36" s="56"/>
      <c r="G36" s="54"/>
      <c r="H36" s="58">
        <v>105.92</v>
      </c>
      <c r="I36" s="57"/>
      <c r="J36" s="57"/>
      <c r="K36" s="68"/>
      <c r="L36" s="63">
        <v>36</v>
      </c>
      <c r="M36" s="63" t="b">
        <f t="shared" si="1"/>
        <v>1</v>
      </c>
      <c r="N36" s="64"/>
    </row>
    <row r="37" spans="1:14" x14ac:dyDescent="0.25">
      <c r="A37">
        <v>19</v>
      </c>
      <c r="B37">
        <v>13</v>
      </c>
      <c r="C37" s="54"/>
      <c r="D37" s="55"/>
      <c r="E37" s="54"/>
      <c r="F37" s="56"/>
      <c r="G37" s="54"/>
      <c r="H37" s="58">
        <v>122.3</v>
      </c>
      <c r="I37" s="57"/>
      <c r="J37" s="57"/>
      <c r="K37" s="68"/>
      <c r="L37" s="63">
        <v>37</v>
      </c>
      <c r="M37" s="63" t="b">
        <f t="shared" si="1"/>
        <v>1</v>
      </c>
      <c r="N37" s="64"/>
    </row>
    <row r="38" spans="1:14" x14ac:dyDescent="0.25">
      <c r="A38">
        <v>19</v>
      </c>
      <c r="B38">
        <v>15</v>
      </c>
      <c r="C38" s="54"/>
      <c r="D38" s="55"/>
      <c r="E38" s="54"/>
      <c r="F38" s="56"/>
      <c r="G38" s="54"/>
      <c r="H38" s="58">
        <v>113.69</v>
      </c>
      <c r="I38" s="57"/>
      <c r="J38" s="57"/>
      <c r="K38" s="68"/>
      <c r="L38" s="63">
        <v>38</v>
      </c>
      <c r="M38" s="63" t="b">
        <f t="shared" si="1"/>
        <v>1</v>
      </c>
      <c r="N38" s="64"/>
    </row>
    <row r="39" spans="1:14" x14ac:dyDescent="0.25">
      <c r="A39">
        <v>19</v>
      </c>
      <c r="B39">
        <v>16</v>
      </c>
      <c r="C39" s="54"/>
      <c r="D39" s="55"/>
      <c r="E39" s="54"/>
      <c r="F39" s="56"/>
      <c r="G39" s="54"/>
      <c r="H39" s="58">
        <v>224.07</v>
      </c>
      <c r="I39" s="57"/>
      <c r="J39" s="57"/>
      <c r="K39" s="68"/>
      <c r="L39" s="63">
        <v>39</v>
      </c>
      <c r="M39" s="63" t="b">
        <f t="shared" si="1"/>
        <v>1</v>
      </c>
      <c r="N39" s="64"/>
    </row>
    <row r="40" spans="1:14" x14ac:dyDescent="0.25">
      <c r="A40">
        <v>19</v>
      </c>
      <c r="B40">
        <v>20</v>
      </c>
      <c r="C40" s="54"/>
      <c r="D40" s="55"/>
      <c r="E40" s="54"/>
      <c r="F40" s="56"/>
      <c r="G40" s="54"/>
      <c r="H40" s="58">
        <v>40.75</v>
      </c>
      <c r="I40" s="57"/>
      <c r="J40" s="57"/>
      <c r="K40" s="68"/>
      <c r="L40" s="63">
        <v>40</v>
      </c>
      <c r="M40" s="63" t="b">
        <f t="shared" si="1"/>
        <v>1</v>
      </c>
      <c r="N40" s="64"/>
    </row>
    <row r="41" spans="1:14" x14ac:dyDescent="0.25">
      <c r="A41">
        <v>19</v>
      </c>
      <c r="B41">
        <v>21</v>
      </c>
      <c r="C41" s="54"/>
      <c r="D41" s="55"/>
      <c r="E41" s="54"/>
      <c r="F41" s="56"/>
      <c r="G41" s="54"/>
      <c r="H41" s="58">
        <v>54.76</v>
      </c>
      <c r="I41" s="57"/>
      <c r="J41" s="57"/>
      <c r="K41" s="68"/>
      <c r="L41" s="63">
        <v>41</v>
      </c>
      <c r="M41" s="63" t="b">
        <f t="shared" si="1"/>
        <v>1</v>
      </c>
      <c r="N41" s="64"/>
    </row>
    <row r="42" spans="1:14" x14ac:dyDescent="0.25">
      <c r="A42">
        <v>19</v>
      </c>
      <c r="B42">
        <v>22</v>
      </c>
      <c r="C42" s="54"/>
      <c r="D42" s="55"/>
      <c r="E42" s="54"/>
      <c r="F42" s="56"/>
      <c r="G42" s="54"/>
      <c r="H42" s="58">
        <v>41.59</v>
      </c>
      <c r="I42" s="57"/>
      <c r="J42" s="57"/>
      <c r="K42" s="68"/>
      <c r="L42" s="63">
        <v>42</v>
      </c>
      <c r="M42" s="63" t="b">
        <f t="shared" si="1"/>
        <v>1</v>
      </c>
      <c r="N42" s="64"/>
    </row>
    <row r="43" spans="1:14" x14ac:dyDescent="0.25">
      <c r="A43">
        <v>19</v>
      </c>
      <c r="B43">
        <v>23</v>
      </c>
      <c r="C43" s="54"/>
      <c r="D43" s="55"/>
      <c r="E43" s="54"/>
      <c r="F43" s="56"/>
      <c r="G43" s="54"/>
      <c r="H43" s="58">
        <v>42.04</v>
      </c>
      <c r="I43" s="57"/>
      <c r="J43" s="57"/>
      <c r="K43" s="68"/>
      <c r="L43" s="63">
        <v>43</v>
      </c>
      <c r="M43" s="63" t="b">
        <f t="shared" si="1"/>
        <v>1</v>
      </c>
      <c r="N43" s="64"/>
    </row>
    <row r="44" spans="1:14" x14ac:dyDescent="0.25">
      <c r="A44">
        <v>19</v>
      </c>
      <c r="B44">
        <v>25</v>
      </c>
      <c r="C44" s="54"/>
      <c r="D44" s="55"/>
      <c r="E44" s="54"/>
      <c r="F44" s="56"/>
      <c r="G44" s="54"/>
      <c r="H44" s="58">
        <v>86.5</v>
      </c>
      <c r="I44" s="57"/>
      <c r="J44" s="57"/>
      <c r="K44" s="68"/>
      <c r="L44" s="63">
        <v>44</v>
      </c>
      <c r="M44" s="63" t="b">
        <f t="shared" si="1"/>
        <v>1</v>
      </c>
      <c r="N44" s="64"/>
    </row>
    <row r="45" spans="1:14" x14ac:dyDescent="0.25">
      <c r="A45">
        <v>19</v>
      </c>
      <c r="B45">
        <v>26</v>
      </c>
      <c r="C45" s="54"/>
      <c r="D45" s="55"/>
      <c r="E45" s="54"/>
      <c r="F45" s="56"/>
      <c r="G45" s="54"/>
      <c r="H45" s="58">
        <v>109.25</v>
      </c>
      <c r="I45" s="57"/>
      <c r="J45" s="57"/>
      <c r="K45" s="68"/>
      <c r="L45" s="63">
        <v>45</v>
      </c>
      <c r="M45" s="63" t="b">
        <f t="shared" si="1"/>
        <v>1</v>
      </c>
      <c r="N45" s="64"/>
    </row>
    <row r="46" spans="1:14" x14ac:dyDescent="0.25">
      <c r="A46">
        <v>19</v>
      </c>
      <c r="B46">
        <v>27</v>
      </c>
      <c r="C46" s="54"/>
      <c r="D46" s="55"/>
      <c r="E46" s="54"/>
      <c r="F46" s="56"/>
      <c r="G46" s="54"/>
      <c r="H46" s="58">
        <v>104.25</v>
      </c>
      <c r="I46" s="57"/>
      <c r="J46" s="57"/>
      <c r="K46" s="68"/>
      <c r="L46" s="63">
        <v>46</v>
      </c>
      <c r="M46" s="63" t="b">
        <f t="shared" si="1"/>
        <v>1</v>
      </c>
      <c r="N46" s="64"/>
    </row>
    <row r="47" spans="1:14" x14ac:dyDescent="0.25">
      <c r="A47">
        <v>19</v>
      </c>
      <c r="B47">
        <v>28</v>
      </c>
      <c r="C47" s="54"/>
      <c r="D47" s="55"/>
      <c r="E47" s="54"/>
      <c r="F47" s="56"/>
      <c r="G47" s="54"/>
      <c r="H47" s="58">
        <v>72.5</v>
      </c>
      <c r="I47" s="57"/>
      <c r="J47" s="57"/>
      <c r="K47" s="68"/>
      <c r="L47" s="63">
        <v>47</v>
      </c>
      <c r="M47" s="63" t="b">
        <f t="shared" si="1"/>
        <v>1</v>
      </c>
      <c r="N47" s="64"/>
    </row>
    <row r="48" spans="1:14" x14ac:dyDescent="0.25">
      <c r="A48">
        <v>19</v>
      </c>
      <c r="B48">
        <v>29</v>
      </c>
      <c r="C48" s="54"/>
      <c r="D48" s="55"/>
      <c r="E48" s="54"/>
      <c r="F48" s="56"/>
      <c r="G48" s="54"/>
      <c r="H48" s="58">
        <v>100.1</v>
      </c>
      <c r="I48" s="57"/>
      <c r="J48" s="57"/>
      <c r="K48" s="68"/>
      <c r="L48" s="63">
        <v>48</v>
      </c>
      <c r="M48" s="63" t="b">
        <f t="shared" si="1"/>
        <v>1</v>
      </c>
      <c r="N48" s="64"/>
    </row>
    <row r="49" spans="1:14" x14ac:dyDescent="0.25">
      <c r="A49">
        <v>19</v>
      </c>
      <c r="B49">
        <v>32</v>
      </c>
      <c r="C49" s="54"/>
      <c r="D49" s="55"/>
      <c r="E49" s="54"/>
      <c r="F49" s="56"/>
      <c r="G49" s="54"/>
      <c r="H49" s="58">
        <v>52</v>
      </c>
      <c r="I49" s="57"/>
      <c r="J49" s="57"/>
      <c r="K49" s="68"/>
      <c r="L49" s="63">
        <v>49</v>
      </c>
      <c r="M49" s="63" t="b">
        <f t="shared" si="1"/>
        <v>1</v>
      </c>
      <c r="N49" s="64"/>
    </row>
    <row r="50" spans="1:14" x14ac:dyDescent="0.25">
      <c r="A50">
        <v>28</v>
      </c>
      <c r="B50">
        <v>8</v>
      </c>
      <c r="C50" s="54"/>
      <c r="D50" s="55"/>
      <c r="E50" s="54"/>
      <c r="F50" s="56"/>
      <c r="G50" s="54"/>
      <c r="H50" s="58">
        <v>124.92</v>
      </c>
      <c r="I50" s="57"/>
      <c r="J50" s="57"/>
      <c r="K50" s="68"/>
      <c r="L50" s="63">
        <v>50</v>
      </c>
      <c r="M50" s="63" t="b">
        <f t="shared" si="1"/>
        <v>1</v>
      </c>
      <c r="N50" s="64"/>
    </row>
    <row r="51" spans="1:14" x14ac:dyDescent="0.25">
      <c r="A51">
        <v>32</v>
      </c>
      <c r="B51">
        <v>3</v>
      </c>
      <c r="C51" s="54"/>
      <c r="D51" s="55"/>
      <c r="E51" s="54"/>
      <c r="F51" s="56"/>
      <c r="G51" s="54"/>
      <c r="H51" s="58">
        <v>19.75</v>
      </c>
      <c r="I51" s="57"/>
      <c r="J51" s="57"/>
      <c r="K51" s="68"/>
      <c r="L51" s="63">
        <v>51</v>
      </c>
      <c r="M51" s="63" t="b">
        <f t="shared" si="1"/>
        <v>1</v>
      </c>
      <c r="N51" s="64"/>
    </row>
    <row r="52" spans="1:14" x14ac:dyDescent="0.25">
      <c r="A52">
        <v>32</v>
      </c>
      <c r="B52">
        <v>17</v>
      </c>
      <c r="C52" s="54"/>
      <c r="D52" s="55"/>
      <c r="E52" s="54"/>
      <c r="F52" s="56"/>
      <c r="G52" s="54"/>
      <c r="H52" s="58">
        <v>42.1</v>
      </c>
      <c r="I52" s="57"/>
      <c r="J52" s="57"/>
      <c r="K52" s="68"/>
      <c r="L52" s="63">
        <v>52</v>
      </c>
      <c r="M52" s="63" t="b">
        <f t="shared" si="1"/>
        <v>1</v>
      </c>
      <c r="N52" s="64"/>
    </row>
    <row r="53" spans="1:14" x14ac:dyDescent="0.25">
      <c r="A53">
        <v>32</v>
      </c>
      <c r="B53">
        <v>20</v>
      </c>
      <c r="C53" s="54"/>
      <c r="D53" s="55"/>
      <c r="E53" s="54"/>
      <c r="F53" s="56"/>
      <c r="G53" s="54"/>
      <c r="H53" s="58">
        <v>9.4499999999999993</v>
      </c>
      <c r="I53" s="57"/>
      <c r="J53" s="57"/>
      <c r="K53" s="68"/>
      <c r="L53" s="63">
        <v>53</v>
      </c>
      <c r="M53" s="63" t="b">
        <f t="shared" si="1"/>
        <v>1</v>
      </c>
      <c r="N53" s="64"/>
    </row>
    <row r="54" spans="1:14" x14ac:dyDescent="0.25">
      <c r="A54">
        <v>32</v>
      </c>
      <c r="B54">
        <v>23</v>
      </c>
      <c r="C54" s="54"/>
      <c r="D54" s="55"/>
      <c r="E54" s="54"/>
      <c r="F54" s="56"/>
      <c r="G54" s="54"/>
      <c r="H54" s="58">
        <v>14.8</v>
      </c>
      <c r="I54" s="57"/>
      <c r="J54" s="57"/>
      <c r="K54" s="68"/>
      <c r="L54" s="63">
        <v>54</v>
      </c>
      <c r="M54" s="63" t="b">
        <f t="shared" si="1"/>
        <v>1</v>
      </c>
      <c r="N54" s="64"/>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54"/>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54"/>
    <dataValidation allowBlank="1" showErrorMessage="1" sqref="N2:N5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5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54"/>
    <dataValidation allowBlank="1" showInputMessage="1" promptTitle="Edge Color" prompt="To select an optional edge color, right-click and select Select Color on the right-click menu." sqref="C3:C54"/>
    <dataValidation allowBlank="1" showInputMessage="1" errorTitle="Invalid Edge Width" error="The optional edge width must be a whole number between 1 and 10." promptTitle="Edge Width" prompt="Enter an optional edge width between 1 and 10." sqref="D3:D54"/>
    <dataValidation allowBlank="1" showInputMessage="1" errorTitle="Invalid Edge Opacity" error="The optional edge opacity must be a whole number between 0 and 10." promptTitle="Edge Opacity" prompt="Enter an optional edge opacity between 0 (transparent) and 100 (opaque)." sqref="F3:F54"/>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54">
      <formula1>ValidEdgeVisibilities</formula1>
    </dataValidation>
    <dataValidation allowBlank="1" showInputMessage="1" showErrorMessage="1" promptTitle="Vertex 1 Name" prompt="Enter the name of the edge's first vertex." sqref="A3:A54"/>
    <dataValidation allowBlank="1" showInputMessage="1" showErrorMessage="1" promptTitle="Vertex 2 Name" prompt="Enter the name of the edge's second vertex." sqref="B3:B54"/>
    <dataValidation allowBlank="1" showInputMessage="1" showErrorMessage="1" errorTitle="Invalid Edge Visibility" error="You have entered an unrecognized edge visibility.  Try selecting from the drop-down list instead." promptTitle="Edge Label" prompt="Enter an optional edge label." sqref="H3:H54"/>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54">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54"/>
  </dataValidations>
  <pageMargins left="0.7" right="0.7" top="0.75" bottom="0.75" header="0.3" footer="0.3"/>
  <pageSetup orientation="portrait" horizontalDpi="0"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H34"/>
  <sheetViews>
    <sheetView tabSelected="1" workbookViewId="0">
      <pane xSplit="1" ySplit="2" topLeftCell="B3" activePane="bottomRight" state="frozen"/>
      <selection pane="topRight" activeCell="B1" sqref="B1"/>
      <selection pane="bottomLeft" activeCell="A3" sqref="A3"/>
      <selection pane="bottomRight" activeCell="A2" sqref="A2:AC2"/>
    </sheetView>
  </sheetViews>
  <sheetFormatPr defaultRowHeight="15" x14ac:dyDescent="0.25"/>
  <cols>
    <col min="1" max="1" width="9.140625" style="1"/>
    <col min="2" max="2" width="7.85546875" customWidth="1"/>
    <col min="3" max="3" width="8.5703125" customWidth="1"/>
    <col min="4" max="4" width="6.7109375" customWidth="1"/>
    <col min="5" max="5" width="9.85546875" customWidth="1"/>
    <col min="6" max="6" width="7.7109375" customWidth="1"/>
    <col min="7" max="7" width="11" customWidth="1"/>
    <col min="8" max="8" width="8.5703125" customWidth="1"/>
    <col min="9" max="9" width="9.7109375" customWidth="1"/>
    <col min="10" max="10" width="10.5703125" style="3" customWidth="1"/>
    <col min="11" max="11" width="9.140625" customWidth="1"/>
    <col min="12" max="12" width="9.140625" hidden="1" customWidth="1"/>
    <col min="13" max="14" width="4.28515625" hidden="1" customWidth="1"/>
    <col min="15" max="15" width="10.28515625" hidden="1" customWidth="1"/>
    <col min="16" max="16" width="6.42578125" hidden="1" customWidth="1"/>
    <col min="17" max="17" width="8.28515625" hidden="1" customWidth="1"/>
    <col min="18" max="18" width="9.5703125" hidden="1" customWidth="1"/>
    <col min="19" max="19" width="9.28515625" hidden="1" customWidth="1"/>
    <col min="20" max="20" width="9.5703125" hidden="1" customWidth="1"/>
    <col min="21" max="23" width="14.28515625" hidden="1" customWidth="1"/>
    <col min="24" max="24" width="11.85546875" hidden="1" customWidth="1"/>
    <col min="25" max="25" width="14.42578125" hidden="1" customWidth="1"/>
    <col min="26" max="26" width="18.28515625" hidden="1" customWidth="1"/>
    <col min="27" max="27" width="5" style="3" hidden="1" customWidth="1"/>
    <col min="28" max="28" width="16" style="3" hidden="1" customWidth="1"/>
    <col min="29" max="29" width="16" style="6" bestFit="1" customWidth="1"/>
    <col min="30" max="30" width="14.28515625" style="2" customWidth="1"/>
    <col min="31" max="32" width="14.28515625" style="3" customWidth="1"/>
    <col min="33" max="33" width="11.85546875" style="3" customWidth="1"/>
    <col min="34" max="34" width="14.42578125" style="3" customWidth="1"/>
    <col min="35" max="35" width="5" customWidth="1"/>
    <col min="36" max="36" width="16" customWidth="1"/>
    <col min="37" max="37" width="16" bestFit="1" customWidth="1"/>
    <col min="38" max="39" width="9.140625" customWidth="1"/>
  </cols>
  <sheetData>
    <row r="1" spans="1:34" x14ac:dyDescent="0.25">
      <c r="B1" s="25" t="s">
        <v>40</v>
      </c>
      <c r="C1" s="18"/>
      <c r="D1" s="18"/>
      <c r="E1" s="18"/>
      <c r="F1" s="18"/>
      <c r="G1" s="18"/>
      <c r="H1" s="27" t="s">
        <v>44</v>
      </c>
      <c r="I1" s="26"/>
      <c r="J1" s="26"/>
      <c r="K1" s="26"/>
      <c r="L1" s="29" t="s">
        <v>45</v>
      </c>
      <c r="M1" s="28"/>
      <c r="N1" s="28"/>
      <c r="O1" s="28"/>
      <c r="P1" s="28"/>
      <c r="Q1" s="28"/>
      <c r="R1" s="24" t="s">
        <v>43</v>
      </c>
      <c r="S1" s="21"/>
      <c r="T1" s="22"/>
      <c r="U1" s="23"/>
      <c r="V1" s="21"/>
      <c r="W1" s="21"/>
      <c r="X1" s="21"/>
      <c r="Y1" s="21"/>
      <c r="Z1" s="21"/>
      <c r="AA1" s="30" t="s">
        <v>41</v>
      </c>
      <c r="AB1" s="20"/>
      <c r="AC1" s="31" t="s">
        <v>42</v>
      </c>
      <c r="AD1"/>
      <c r="AE1"/>
      <c r="AF1"/>
      <c r="AG1"/>
      <c r="AH1"/>
    </row>
    <row r="2" spans="1:34" ht="30" customHeight="1" x14ac:dyDescent="0.25">
      <c r="A2" s="11" t="s">
        <v>5</v>
      </c>
      <c r="B2" s="8" t="s">
        <v>2</v>
      </c>
      <c r="C2" s="8" t="s">
        <v>8</v>
      </c>
      <c r="D2" s="9" t="s">
        <v>46</v>
      </c>
      <c r="E2" s="10" t="s">
        <v>4</v>
      </c>
      <c r="F2" s="8" t="s">
        <v>49</v>
      </c>
      <c r="G2" s="8" t="s">
        <v>11</v>
      </c>
      <c r="H2" s="8" t="s">
        <v>47</v>
      </c>
      <c r="I2" s="8" t="s">
        <v>48</v>
      </c>
      <c r="J2" s="8" t="s">
        <v>78</v>
      </c>
      <c r="K2" s="8" t="s">
        <v>10</v>
      </c>
      <c r="L2" s="8" t="s">
        <v>27</v>
      </c>
      <c r="M2" s="8" t="s">
        <v>15</v>
      </c>
      <c r="N2" s="8" t="s">
        <v>16</v>
      </c>
      <c r="O2" s="8" t="s">
        <v>13</v>
      </c>
      <c r="P2" s="8" t="s">
        <v>28</v>
      </c>
      <c r="Q2" s="8" t="s">
        <v>29</v>
      </c>
      <c r="R2" s="13" t="s">
        <v>32</v>
      </c>
      <c r="S2" s="13" t="s">
        <v>33</v>
      </c>
      <c r="T2" s="13" t="s">
        <v>34</v>
      </c>
      <c r="U2" s="13" t="s">
        <v>35</v>
      </c>
      <c r="V2" s="13" t="s">
        <v>36</v>
      </c>
      <c r="W2" s="13" t="s">
        <v>37</v>
      </c>
      <c r="X2" s="13" t="s">
        <v>137</v>
      </c>
      <c r="Y2" s="13" t="s">
        <v>38</v>
      </c>
      <c r="Z2" s="13" t="s">
        <v>170</v>
      </c>
      <c r="AA2" s="11" t="s">
        <v>12</v>
      </c>
      <c r="AB2" s="11" t="s">
        <v>39</v>
      </c>
      <c r="AC2" s="8" t="s">
        <v>26</v>
      </c>
      <c r="AD2" s="3"/>
      <c r="AF2"/>
      <c r="AG2"/>
      <c r="AH2"/>
    </row>
    <row r="3" spans="1:34" ht="15" customHeight="1" x14ac:dyDescent="0.25">
      <c r="A3" s="50" t="s">
        <v>174</v>
      </c>
      <c r="B3" s="54"/>
      <c r="C3" s="54"/>
      <c r="D3" s="55"/>
      <c r="E3" s="56"/>
      <c r="F3" s="54"/>
      <c r="G3" s="54"/>
      <c r="H3" s="58" t="s">
        <v>206</v>
      </c>
      <c r="I3" s="57"/>
      <c r="J3" s="57"/>
      <c r="K3" s="58"/>
      <c r="L3" s="60"/>
      <c r="M3" s="61">
        <v>4492.16162109375</v>
      </c>
      <c r="N3" s="61">
        <v>7922.359375</v>
      </c>
      <c r="O3" s="59"/>
      <c r="P3" s="62"/>
      <c r="Q3" s="62"/>
      <c r="R3" s="51"/>
      <c r="S3" s="51"/>
      <c r="T3" s="51"/>
      <c r="U3" s="51"/>
      <c r="V3" s="52"/>
      <c r="W3" s="52"/>
      <c r="X3" s="53"/>
      <c r="Y3" s="52"/>
      <c r="Z3" s="52"/>
      <c r="AA3" s="63">
        <v>3</v>
      </c>
      <c r="AB3" s="63" t="b">
        <f xml:space="preserve"> IF(AND(OR(NOT(ISNUMBER(Vertices[X])), Vertices[X] &gt;= Misc!$O$2), OR(NOT(ISNUMBER(Vertices[X])), Vertices[X] &lt;= Misc!$P$2),OR(NOT(ISNUMBER(Vertices[Y])), Vertices[Y] &gt;= Misc!$O$3), OR(NOT(ISNUMBER(Vertices[Y])), Vertices[Y] &lt;= Misc!$P$3),TRUE), TRUE, FALSE)</f>
        <v>1</v>
      </c>
      <c r="AC3" s="64"/>
      <c r="AD3" s="3"/>
      <c r="AF3"/>
      <c r="AG3"/>
      <c r="AH3"/>
    </row>
    <row r="4" spans="1:34" x14ac:dyDescent="0.25">
      <c r="A4" s="79" t="s">
        <v>175</v>
      </c>
      <c r="B4" s="80"/>
      <c r="C4" s="80"/>
      <c r="D4" s="81"/>
      <c r="E4" s="82"/>
      <c r="F4" s="80"/>
      <c r="G4" s="80"/>
      <c r="H4" s="83" t="s">
        <v>207</v>
      </c>
      <c r="I4" s="84"/>
      <c r="J4" s="84"/>
      <c r="K4" s="83"/>
      <c r="L4" s="85"/>
      <c r="M4" s="86">
        <v>9095.0244140625</v>
      </c>
      <c r="N4" s="86">
        <v>2105.649169921875</v>
      </c>
      <c r="O4" s="87"/>
      <c r="P4" s="88"/>
      <c r="Q4" s="88"/>
      <c r="R4" s="89"/>
      <c r="S4" s="89"/>
      <c r="T4" s="89"/>
      <c r="U4" s="89"/>
      <c r="V4" s="90"/>
      <c r="W4" s="90"/>
      <c r="X4" s="90"/>
      <c r="Y4" s="90"/>
      <c r="Z4" s="91"/>
      <c r="AA4" s="92">
        <v>4</v>
      </c>
      <c r="AB4" s="92" t="b">
        <f xml:space="preserve"> IF(AND(OR(NOT(ISNUMBER(Vertices[X])), Vertices[X] &gt;= Misc!$O$2), OR(NOT(ISNUMBER(Vertices[X])), Vertices[X] &lt;= Misc!$P$2),OR(NOT(ISNUMBER(Vertices[Y])), Vertices[Y] &gt;= Misc!$O$3), OR(NOT(ISNUMBER(Vertices[Y])), Vertices[Y] &lt;= Misc!$P$3),TRUE), TRUE, FALSE)</f>
        <v>1</v>
      </c>
      <c r="AC4" s="93"/>
    </row>
    <row r="5" spans="1:34" x14ac:dyDescent="0.25">
      <c r="A5" s="79" t="s">
        <v>176</v>
      </c>
      <c r="B5" s="80"/>
      <c r="C5" s="80"/>
      <c r="D5" s="81"/>
      <c r="E5" s="82"/>
      <c r="F5" s="80"/>
      <c r="G5" s="80"/>
      <c r="H5" s="83" t="s">
        <v>208</v>
      </c>
      <c r="I5" s="84"/>
      <c r="J5" s="84"/>
      <c r="K5" s="83"/>
      <c r="L5" s="85"/>
      <c r="M5" s="86">
        <v>1315.2054443359375</v>
      </c>
      <c r="N5" s="86">
        <v>5356.15087890625</v>
      </c>
      <c r="O5" s="87"/>
      <c r="P5" s="88"/>
      <c r="Q5" s="88"/>
      <c r="R5" s="89"/>
      <c r="S5" s="89"/>
      <c r="T5" s="89"/>
      <c r="U5" s="89"/>
      <c r="V5" s="90"/>
      <c r="W5" s="90"/>
      <c r="X5" s="90"/>
      <c r="Y5" s="90"/>
      <c r="Z5" s="91"/>
      <c r="AA5" s="92">
        <v>5</v>
      </c>
      <c r="AB5" s="92" t="b">
        <f xml:space="preserve"> IF(AND(OR(NOT(ISNUMBER(Vertices[X])), Vertices[X] &gt;= Misc!$O$2), OR(NOT(ISNUMBER(Vertices[X])), Vertices[X] &lt;= Misc!$P$2),OR(NOT(ISNUMBER(Vertices[Y])), Vertices[Y] &gt;= Misc!$O$3), OR(NOT(ISNUMBER(Vertices[Y])), Vertices[Y] &lt;= Misc!$P$3),TRUE), TRUE, FALSE)</f>
        <v>1</v>
      </c>
      <c r="AC5" s="93"/>
    </row>
    <row r="6" spans="1:34" x14ac:dyDescent="0.25">
      <c r="A6" s="79" t="s">
        <v>177</v>
      </c>
      <c r="B6" s="80"/>
      <c r="C6" s="80"/>
      <c r="D6" s="81"/>
      <c r="E6" s="82"/>
      <c r="F6" s="80"/>
      <c r="G6" s="80"/>
      <c r="H6" s="83" t="s">
        <v>209</v>
      </c>
      <c r="I6" s="84"/>
      <c r="J6" s="84"/>
      <c r="K6" s="83"/>
      <c r="L6" s="85"/>
      <c r="M6" s="86">
        <v>5119.31298828125</v>
      </c>
      <c r="N6" s="86">
        <v>1597.0604248046875</v>
      </c>
      <c r="O6" s="87"/>
      <c r="P6" s="88"/>
      <c r="Q6" s="88"/>
      <c r="R6" s="89"/>
      <c r="S6" s="89"/>
      <c r="T6" s="89"/>
      <c r="U6" s="89"/>
      <c r="V6" s="90"/>
      <c r="W6" s="90"/>
      <c r="X6" s="90"/>
      <c r="Y6" s="90"/>
      <c r="Z6" s="91"/>
      <c r="AA6" s="92">
        <v>6</v>
      </c>
      <c r="AB6" s="92" t="b">
        <f xml:space="preserve"> IF(AND(OR(NOT(ISNUMBER(Vertices[X])), Vertices[X] &gt;= Misc!$O$2), OR(NOT(ISNUMBER(Vertices[X])), Vertices[X] &lt;= Misc!$P$2),OR(NOT(ISNUMBER(Vertices[Y])), Vertices[Y] &gt;= Misc!$O$3), OR(NOT(ISNUMBER(Vertices[Y])), Vertices[Y] &lt;= Misc!$P$3),TRUE), TRUE, FALSE)</f>
        <v>1</v>
      </c>
      <c r="AC6" s="93"/>
    </row>
    <row r="7" spans="1:34" x14ac:dyDescent="0.25">
      <c r="A7" s="79" t="s">
        <v>178</v>
      </c>
      <c r="B7" s="80"/>
      <c r="C7" s="80"/>
      <c r="D7" s="81"/>
      <c r="E7" s="82"/>
      <c r="F7" s="80"/>
      <c r="G7" s="80"/>
      <c r="H7" s="83" t="s">
        <v>210</v>
      </c>
      <c r="I7" s="84"/>
      <c r="J7" s="84"/>
      <c r="K7" s="83"/>
      <c r="L7" s="85"/>
      <c r="M7" s="86">
        <v>3584.141357421875</v>
      </c>
      <c r="N7" s="86">
        <v>5148.94287109375</v>
      </c>
      <c r="O7" s="87"/>
      <c r="P7" s="88"/>
      <c r="Q7" s="88"/>
      <c r="R7" s="89"/>
      <c r="S7" s="89"/>
      <c r="T7" s="89"/>
      <c r="U7" s="89"/>
      <c r="V7" s="90"/>
      <c r="W7" s="90"/>
      <c r="X7" s="90"/>
      <c r="Y7" s="90"/>
      <c r="Z7" s="91"/>
      <c r="AA7" s="92">
        <v>7</v>
      </c>
      <c r="AB7" s="92" t="b">
        <f xml:space="preserve"> IF(AND(OR(NOT(ISNUMBER(Vertices[X])), Vertices[X] &gt;= Misc!$O$2), OR(NOT(ISNUMBER(Vertices[X])), Vertices[X] &lt;= Misc!$P$2),OR(NOT(ISNUMBER(Vertices[Y])), Vertices[Y] &gt;= Misc!$O$3), OR(NOT(ISNUMBER(Vertices[Y])), Vertices[Y] &lt;= Misc!$P$3),TRUE), TRUE, FALSE)</f>
        <v>1</v>
      </c>
      <c r="AC7" s="93"/>
    </row>
    <row r="8" spans="1:34" x14ac:dyDescent="0.25">
      <c r="A8" s="79" t="s">
        <v>179</v>
      </c>
      <c r="B8" s="80"/>
      <c r="C8" s="80"/>
      <c r="D8" s="81"/>
      <c r="E8" s="82"/>
      <c r="F8" s="80"/>
      <c r="G8" s="80"/>
      <c r="H8" s="83" t="s">
        <v>211</v>
      </c>
      <c r="I8" s="84"/>
      <c r="J8" s="84"/>
      <c r="K8" s="83"/>
      <c r="L8" s="85"/>
      <c r="M8" s="86">
        <v>7168.8896484375</v>
      </c>
      <c r="N8" s="86">
        <v>5235.2080078125</v>
      </c>
      <c r="O8" s="87"/>
      <c r="P8" s="88"/>
      <c r="Q8" s="88"/>
      <c r="R8" s="89"/>
      <c r="S8" s="89"/>
      <c r="T8" s="89"/>
      <c r="U8" s="89"/>
      <c r="V8" s="90"/>
      <c r="W8" s="90"/>
      <c r="X8" s="90"/>
      <c r="Y8" s="90"/>
      <c r="Z8" s="91"/>
      <c r="AA8" s="92">
        <v>8</v>
      </c>
      <c r="AB8" s="92" t="b">
        <f xml:space="preserve"> IF(AND(OR(NOT(ISNUMBER(Vertices[X])), Vertices[X] &gt;= Misc!$O$2), OR(NOT(ISNUMBER(Vertices[X])), Vertices[X] &lt;= Misc!$P$2),OR(NOT(ISNUMBER(Vertices[Y])), Vertices[Y] &gt;= Misc!$O$3), OR(NOT(ISNUMBER(Vertices[Y])), Vertices[Y] &lt;= Misc!$P$3),TRUE), TRUE, FALSE)</f>
        <v>1</v>
      </c>
      <c r="AC8" s="93"/>
    </row>
    <row r="9" spans="1:34" x14ac:dyDescent="0.25">
      <c r="A9" s="79" t="s">
        <v>180</v>
      </c>
      <c r="B9" s="80"/>
      <c r="C9" s="80"/>
      <c r="D9" s="81"/>
      <c r="E9" s="82"/>
      <c r="F9" s="80"/>
      <c r="G9" s="80"/>
      <c r="H9" s="83" t="s">
        <v>212</v>
      </c>
      <c r="I9" s="84"/>
      <c r="J9" s="84"/>
      <c r="K9" s="83"/>
      <c r="L9" s="85"/>
      <c r="M9" s="86">
        <v>2019.48779296875</v>
      </c>
      <c r="N9" s="86">
        <v>6387.171875</v>
      </c>
      <c r="O9" s="87"/>
      <c r="P9" s="88"/>
      <c r="Q9" s="88"/>
      <c r="R9" s="89"/>
      <c r="S9" s="89"/>
      <c r="T9" s="89"/>
      <c r="U9" s="89"/>
      <c r="V9" s="90"/>
      <c r="W9" s="90"/>
      <c r="X9" s="90"/>
      <c r="Y9" s="90"/>
      <c r="Z9" s="91"/>
      <c r="AA9" s="92">
        <v>9</v>
      </c>
      <c r="AB9" s="92" t="b">
        <f xml:space="preserve"> IF(AND(OR(NOT(ISNUMBER(Vertices[X])), Vertices[X] &gt;= Misc!$O$2), OR(NOT(ISNUMBER(Vertices[X])), Vertices[X] &lt;= Misc!$P$2),OR(NOT(ISNUMBER(Vertices[Y])), Vertices[Y] &gt;= Misc!$O$3), OR(NOT(ISNUMBER(Vertices[Y])), Vertices[Y] &lt;= Misc!$P$3),TRUE), TRUE, FALSE)</f>
        <v>1</v>
      </c>
      <c r="AC9" s="93"/>
    </row>
    <row r="10" spans="1:34" x14ac:dyDescent="0.25">
      <c r="A10" s="79" t="s">
        <v>181</v>
      </c>
      <c r="B10" s="80" t="s">
        <v>241</v>
      </c>
      <c r="C10" s="80"/>
      <c r="D10" s="81">
        <v>11</v>
      </c>
      <c r="E10" s="82"/>
      <c r="F10" s="80"/>
      <c r="G10" s="80"/>
      <c r="H10" s="83" t="s">
        <v>213</v>
      </c>
      <c r="I10" s="84"/>
      <c r="J10" s="84"/>
      <c r="K10" s="83"/>
      <c r="L10" s="85"/>
      <c r="M10" s="86">
        <v>214.88922119140625</v>
      </c>
      <c r="N10" s="86">
        <v>6369.90625</v>
      </c>
      <c r="O10" s="87"/>
      <c r="P10" s="88"/>
      <c r="Q10" s="88"/>
      <c r="R10" s="89"/>
      <c r="S10" s="89"/>
      <c r="T10" s="89"/>
      <c r="U10" s="89"/>
      <c r="V10" s="90"/>
      <c r="W10" s="90"/>
      <c r="X10" s="90"/>
      <c r="Y10" s="90"/>
      <c r="Z10" s="91"/>
      <c r="AA10" s="92">
        <v>10</v>
      </c>
      <c r="AB10" s="92" t="b">
        <f xml:space="preserve"> IF(AND(OR(NOT(ISNUMBER(Vertices[X])), Vertices[X] &gt;= Misc!$O$2), OR(NOT(ISNUMBER(Vertices[X])), Vertices[X] &lt;= Misc!$P$2),OR(NOT(ISNUMBER(Vertices[Y])), Vertices[Y] &gt;= Misc!$O$3), OR(NOT(ISNUMBER(Vertices[Y])), Vertices[Y] &lt;= Misc!$P$3),TRUE), TRUE, FALSE)</f>
        <v>1</v>
      </c>
      <c r="AC10" s="93"/>
    </row>
    <row r="11" spans="1:34" x14ac:dyDescent="0.25">
      <c r="A11" s="79" t="s">
        <v>182</v>
      </c>
      <c r="B11" s="80"/>
      <c r="C11" s="80"/>
      <c r="D11" s="81"/>
      <c r="E11" s="82"/>
      <c r="F11" s="80"/>
      <c r="G11" s="80"/>
      <c r="H11" s="83" t="s">
        <v>214</v>
      </c>
      <c r="I11" s="84"/>
      <c r="J11" s="84"/>
      <c r="K11" s="83"/>
      <c r="L11" s="85"/>
      <c r="M11" s="86">
        <v>7108.9873046875</v>
      </c>
      <c r="N11" s="86">
        <v>8241.107421875</v>
      </c>
      <c r="O11" s="87"/>
      <c r="P11" s="88"/>
      <c r="Q11" s="88"/>
      <c r="R11" s="89"/>
      <c r="S11" s="89"/>
      <c r="T11" s="89"/>
      <c r="U11" s="89"/>
      <c r="V11" s="90"/>
      <c r="W11" s="90"/>
      <c r="X11" s="90"/>
      <c r="Y11" s="90"/>
      <c r="Z11" s="91"/>
      <c r="AA11" s="92">
        <v>11</v>
      </c>
      <c r="AB11" s="92" t="b">
        <f xml:space="preserve"> IF(AND(OR(NOT(ISNUMBER(Vertices[X])), Vertices[X] &gt;= Misc!$O$2), OR(NOT(ISNUMBER(Vertices[X])), Vertices[X] &lt;= Misc!$P$2),OR(NOT(ISNUMBER(Vertices[Y])), Vertices[Y] &gt;= Misc!$O$3), OR(NOT(ISNUMBER(Vertices[Y])), Vertices[Y] &lt;= Misc!$P$3),TRUE), TRUE, FALSE)</f>
        <v>1</v>
      </c>
      <c r="AC11" s="93"/>
    </row>
    <row r="12" spans="1:34" x14ac:dyDescent="0.25">
      <c r="A12" s="79" t="s">
        <v>183</v>
      </c>
      <c r="B12" s="80"/>
      <c r="C12" s="80"/>
      <c r="D12" s="81"/>
      <c r="E12" s="82"/>
      <c r="F12" s="80"/>
      <c r="G12" s="80"/>
      <c r="H12" s="83" t="s">
        <v>215</v>
      </c>
      <c r="I12" s="84"/>
      <c r="J12" s="84"/>
      <c r="K12" s="83"/>
      <c r="L12" s="85"/>
      <c r="M12" s="86">
        <v>2480.128173828125</v>
      </c>
      <c r="N12" s="86">
        <v>8408.1015625</v>
      </c>
      <c r="O12" s="87"/>
      <c r="P12" s="88"/>
      <c r="Q12" s="88"/>
      <c r="R12" s="89"/>
      <c r="S12" s="89"/>
      <c r="T12" s="89"/>
      <c r="U12" s="89"/>
      <c r="V12" s="90"/>
      <c r="W12" s="90"/>
      <c r="X12" s="90"/>
      <c r="Y12" s="90"/>
      <c r="Z12" s="91"/>
      <c r="AA12" s="92">
        <v>12</v>
      </c>
      <c r="AB12" s="92" t="b">
        <f xml:space="preserve"> IF(AND(OR(NOT(ISNUMBER(Vertices[X])), Vertices[X] &gt;= Misc!$O$2), OR(NOT(ISNUMBER(Vertices[X])), Vertices[X] &lt;= Misc!$P$2),OR(NOT(ISNUMBER(Vertices[Y])), Vertices[Y] &gt;= Misc!$O$3), OR(NOT(ISNUMBER(Vertices[Y])), Vertices[Y] &lt;= Misc!$P$3),TRUE), TRUE, FALSE)</f>
        <v>1</v>
      </c>
      <c r="AC12" s="93"/>
    </row>
    <row r="13" spans="1:34" x14ac:dyDescent="0.25">
      <c r="A13" s="79" t="s">
        <v>184</v>
      </c>
      <c r="B13" s="80" t="s">
        <v>241</v>
      </c>
      <c r="C13" s="80"/>
      <c r="D13" s="81">
        <v>11</v>
      </c>
      <c r="E13" s="82"/>
      <c r="F13" s="80"/>
      <c r="G13" s="80"/>
      <c r="H13" s="83" t="s">
        <v>216</v>
      </c>
      <c r="I13" s="84"/>
      <c r="J13" s="84"/>
      <c r="K13" s="83"/>
      <c r="L13" s="85"/>
      <c r="M13" s="86">
        <v>6758.767578125</v>
      </c>
      <c r="N13" s="86">
        <v>3590.492431640625</v>
      </c>
      <c r="O13" s="87"/>
      <c r="P13" s="88"/>
      <c r="Q13" s="88"/>
      <c r="R13" s="89"/>
      <c r="S13" s="89"/>
      <c r="T13" s="89"/>
      <c r="U13" s="89"/>
      <c r="V13" s="90"/>
      <c r="W13" s="90"/>
      <c r="X13" s="90"/>
      <c r="Y13" s="90"/>
      <c r="Z13" s="91"/>
      <c r="AA13" s="92">
        <v>13</v>
      </c>
      <c r="AB13" s="92" t="b">
        <f xml:space="preserve"> IF(AND(OR(NOT(ISNUMBER(Vertices[X])), Vertices[X] &gt;= Misc!$O$2), OR(NOT(ISNUMBER(Vertices[X])), Vertices[X] &lt;= Misc!$P$2),OR(NOT(ISNUMBER(Vertices[Y])), Vertices[Y] &gt;= Misc!$O$3), OR(NOT(ISNUMBER(Vertices[Y])), Vertices[Y] &lt;= Misc!$P$3),TRUE), TRUE, FALSE)</f>
        <v>1</v>
      </c>
      <c r="AC13" s="93"/>
    </row>
    <row r="14" spans="1:34" x14ac:dyDescent="0.25">
      <c r="A14" s="79" t="s">
        <v>185</v>
      </c>
      <c r="B14" s="80"/>
      <c r="C14" s="80"/>
      <c r="D14" s="81"/>
      <c r="E14" s="82"/>
      <c r="F14" s="80"/>
      <c r="G14" s="80"/>
      <c r="H14" s="83" t="s">
        <v>217</v>
      </c>
      <c r="I14" s="84"/>
      <c r="J14" s="84"/>
      <c r="K14" s="83"/>
      <c r="L14" s="85"/>
      <c r="M14" s="86">
        <v>7359.3623046875</v>
      </c>
      <c r="N14" s="86">
        <v>6129.74609375</v>
      </c>
      <c r="O14" s="87"/>
      <c r="P14" s="88"/>
      <c r="Q14" s="88"/>
      <c r="R14" s="89"/>
      <c r="S14" s="89"/>
      <c r="T14" s="89"/>
      <c r="U14" s="89"/>
      <c r="V14" s="90"/>
      <c r="W14" s="90"/>
      <c r="X14" s="90"/>
      <c r="Y14" s="90"/>
      <c r="Z14" s="91"/>
      <c r="AA14" s="92">
        <v>14</v>
      </c>
      <c r="AB14" s="92" t="b">
        <f xml:space="preserve"> IF(AND(OR(NOT(ISNUMBER(Vertices[X])), Vertices[X] &gt;= Misc!$O$2), OR(NOT(ISNUMBER(Vertices[X])), Vertices[X] &lt;= Misc!$P$2),OR(NOT(ISNUMBER(Vertices[Y])), Vertices[Y] &gt;= Misc!$O$3), OR(NOT(ISNUMBER(Vertices[Y])), Vertices[Y] &lt;= Misc!$P$3),TRUE), TRUE, FALSE)</f>
        <v>1</v>
      </c>
      <c r="AC14" s="93"/>
    </row>
    <row r="15" spans="1:34" x14ac:dyDescent="0.25">
      <c r="A15" s="79" t="s">
        <v>186</v>
      </c>
      <c r="B15" s="80"/>
      <c r="C15" s="80"/>
      <c r="D15" s="81"/>
      <c r="E15" s="82"/>
      <c r="F15" s="80"/>
      <c r="G15" s="80"/>
      <c r="H15" s="83" t="s">
        <v>218</v>
      </c>
      <c r="I15" s="84"/>
      <c r="J15" s="84"/>
      <c r="K15" s="83"/>
      <c r="L15" s="85"/>
      <c r="M15" s="86">
        <v>4927.587890625</v>
      </c>
      <c r="N15" s="86">
        <v>3727.02880859375</v>
      </c>
      <c r="O15" s="87"/>
      <c r="P15" s="88"/>
      <c r="Q15" s="88"/>
      <c r="R15" s="89"/>
      <c r="S15" s="89"/>
      <c r="T15" s="89"/>
      <c r="U15" s="89"/>
      <c r="V15" s="90"/>
      <c r="W15" s="90"/>
      <c r="X15" s="90"/>
      <c r="Y15" s="90"/>
      <c r="Z15" s="91"/>
      <c r="AA15" s="92">
        <v>15</v>
      </c>
      <c r="AB15" s="92" t="b">
        <f xml:space="preserve"> IF(AND(OR(NOT(ISNUMBER(Vertices[X])), Vertices[X] &gt;= Misc!$O$2), OR(NOT(ISNUMBER(Vertices[X])), Vertices[X] &lt;= Misc!$P$2),OR(NOT(ISNUMBER(Vertices[Y])), Vertices[Y] &gt;= Misc!$O$3), OR(NOT(ISNUMBER(Vertices[Y])), Vertices[Y] &lt;= Misc!$P$3),TRUE), TRUE, FALSE)</f>
        <v>1</v>
      </c>
      <c r="AC15" s="93"/>
    </row>
    <row r="16" spans="1:34" x14ac:dyDescent="0.25">
      <c r="A16" s="79" t="s">
        <v>187</v>
      </c>
      <c r="B16" s="80"/>
      <c r="C16" s="80"/>
      <c r="D16" s="81"/>
      <c r="E16" s="82"/>
      <c r="F16" s="80"/>
      <c r="G16" s="80"/>
      <c r="H16" s="83" t="s">
        <v>219</v>
      </c>
      <c r="I16" s="84"/>
      <c r="J16" s="84"/>
      <c r="K16" s="83"/>
      <c r="L16" s="85"/>
      <c r="M16" s="86">
        <v>9694.6962890625</v>
      </c>
      <c r="N16" s="86">
        <v>3544.0576171875</v>
      </c>
      <c r="O16" s="87"/>
      <c r="P16" s="88"/>
      <c r="Q16" s="88"/>
      <c r="R16" s="89"/>
      <c r="S16" s="89"/>
      <c r="T16" s="89"/>
      <c r="U16" s="89"/>
      <c r="V16" s="90"/>
      <c r="W16" s="90"/>
      <c r="X16" s="90"/>
      <c r="Y16" s="90"/>
      <c r="Z16" s="91"/>
      <c r="AA16" s="92">
        <v>16</v>
      </c>
      <c r="AB16" s="92" t="b">
        <f xml:space="preserve"> IF(AND(OR(NOT(ISNUMBER(Vertices[X])), Vertices[X] &gt;= Misc!$O$2), OR(NOT(ISNUMBER(Vertices[X])), Vertices[X] &lt;= Misc!$P$2),OR(NOT(ISNUMBER(Vertices[Y])), Vertices[Y] &gt;= Misc!$O$3), OR(NOT(ISNUMBER(Vertices[Y])), Vertices[Y] &lt;= Misc!$P$3),TRUE), TRUE, FALSE)</f>
        <v>1</v>
      </c>
      <c r="AC16" s="93"/>
    </row>
    <row r="17" spans="1:29" x14ac:dyDescent="0.25">
      <c r="A17" s="79" t="s">
        <v>188</v>
      </c>
      <c r="B17" s="80"/>
      <c r="C17" s="80"/>
      <c r="D17" s="81"/>
      <c r="E17" s="82"/>
      <c r="F17" s="80"/>
      <c r="G17" s="80"/>
      <c r="H17" s="83" t="s">
        <v>220</v>
      </c>
      <c r="I17" s="84"/>
      <c r="J17" s="84"/>
      <c r="K17" s="83"/>
      <c r="L17" s="85"/>
      <c r="M17" s="86">
        <v>4308.57177734375</v>
      </c>
      <c r="N17" s="86">
        <v>9815.580078125</v>
      </c>
      <c r="O17" s="87"/>
      <c r="P17" s="88"/>
      <c r="Q17" s="88"/>
      <c r="R17" s="89"/>
      <c r="S17" s="89"/>
      <c r="T17" s="89"/>
      <c r="U17" s="89"/>
      <c r="V17" s="90"/>
      <c r="W17" s="90"/>
      <c r="X17" s="90"/>
      <c r="Y17" s="90"/>
      <c r="Z17" s="91"/>
      <c r="AA17" s="92">
        <v>17</v>
      </c>
      <c r="AB17" s="92" t="b">
        <f xml:space="preserve"> IF(AND(OR(NOT(ISNUMBER(Vertices[X])), Vertices[X] &gt;= Misc!$O$2), OR(NOT(ISNUMBER(Vertices[X])), Vertices[X] &lt;= Misc!$P$2),OR(NOT(ISNUMBER(Vertices[Y])), Vertices[Y] &gt;= Misc!$O$3), OR(NOT(ISNUMBER(Vertices[Y])), Vertices[Y] &lt;= Misc!$P$3),TRUE), TRUE, FALSE)</f>
        <v>1</v>
      </c>
      <c r="AC17" s="93"/>
    </row>
    <row r="18" spans="1:29" x14ac:dyDescent="0.25">
      <c r="A18" s="79" t="s">
        <v>189</v>
      </c>
      <c r="B18" s="80"/>
      <c r="C18" s="80"/>
      <c r="D18" s="81"/>
      <c r="E18" s="82"/>
      <c r="F18" s="80"/>
      <c r="G18" s="80"/>
      <c r="H18" s="83" t="s">
        <v>221</v>
      </c>
      <c r="I18" s="84"/>
      <c r="J18" s="84"/>
      <c r="K18" s="83"/>
      <c r="L18" s="85"/>
      <c r="M18" s="86">
        <v>6410.24267578125</v>
      </c>
      <c r="N18" s="86">
        <v>9012.2646484375</v>
      </c>
      <c r="O18" s="87"/>
      <c r="P18" s="88"/>
      <c r="Q18" s="88"/>
      <c r="R18" s="89"/>
      <c r="S18" s="89"/>
      <c r="T18" s="89"/>
      <c r="U18" s="89"/>
      <c r="V18" s="90"/>
      <c r="W18" s="90"/>
      <c r="X18" s="90"/>
      <c r="Y18" s="90"/>
      <c r="Z18" s="91"/>
      <c r="AA18" s="92">
        <v>18</v>
      </c>
      <c r="AB18" s="92" t="b">
        <f xml:space="preserve"> IF(AND(OR(NOT(ISNUMBER(Vertices[X])), Vertices[X] &gt;= Misc!$O$2), OR(NOT(ISNUMBER(Vertices[X])), Vertices[X] &lt;= Misc!$P$2),OR(NOT(ISNUMBER(Vertices[Y])), Vertices[Y] &gt;= Misc!$O$3), OR(NOT(ISNUMBER(Vertices[Y])), Vertices[Y] &lt;= Misc!$P$3),TRUE), TRUE, FALSE)</f>
        <v>1</v>
      </c>
      <c r="AC18" s="93"/>
    </row>
    <row r="19" spans="1:29" x14ac:dyDescent="0.25">
      <c r="A19" s="79" t="s">
        <v>190</v>
      </c>
      <c r="B19" s="80"/>
      <c r="C19" s="80"/>
      <c r="D19" s="81"/>
      <c r="E19" s="82"/>
      <c r="F19" s="80"/>
      <c r="G19" s="80"/>
      <c r="H19" s="83" t="s">
        <v>222</v>
      </c>
      <c r="I19" s="84"/>
      <c r="J19" s="84"/>
      <c r="K19" s="83"/>
      <c r="L19" s="85"/>
      <c r="M19" s="86">
        <v>136.25497436523437</v>
      </c>
      <c r="N19" s="86">
        <v>828.8597412109375</v>
      </c>
      <c r="O19" s="87"/>
      <c r="P19" s="88"/>
      <c r="Q19" s="88"/>
      <c r="R19" s="89"/>
      <c r="S19" s="89"/>
      <c r="T19" s="89"/>
      <c r="U19" s="89"/>
      <c r="V19" s="90"/>
      <c r="W19" s="90"/>
      <c r="X19" s="90"/>
      <c r="Y19" s="90"/>
      <c r="Z19" s="91"/>
      <c r="AA19" s="92">
        <v>19</v>
      </c>
      <c r="AB19" s="92" t="b">
        <f xml:space="preserve"> IF(AND(OR(NOT(ISNUMBER(Vertices[X])), Vertices[X] &gt;= Misc!$O$2), OR(NOT(ISNUMBER(Vertices[X])), Vertices[X] &lt;= Misc!$P$2),OR(NOT(ISNUMBER(Vertices[Y])), Vertices[Y] &gt;= Misc!$O$3), OR(NOT(ISNUMBER(Vertices[Y])), Vertices[Y] &lt;= Misc!$P$3),TRUE), TRUE, FALSE)</f>
        <v>1</v>
      </c>
      <c r="AC19" s="93"/>
    </row>
    <row r="20" spans="1:29" x14ac:dyDescent="0.25">
      <c r="A20" s="79" t="s">
        <v>191</v>
      </c>
      <c r="B20" s="80"/>
      <c r="C20" s="80"/>
      <c r="D20" s="81"/>
      <c r="E20" s="82"/>
      <c r="F20" s="80"/>
      <c r="G20" s="80"/>
      <c r="H20" s="83" t="s">
        <v>223</v>
      </c>
      <c r="I20" s="84"/>
      <c r="J20" s="84"/>
      <c r="K20" s="83"/>
      <c r="L20" s="85"/>
      <c r="M20" s="86">
        <v>7104.8134765625</v>
      </c>
      <c r="N20" s="86">
        <v>183.42010498046875</v>
      </c>
      <c r="O20" s="87"/>
      <c r="P20" s="88"/>
      <c r="Q20" s="88"/>
      <c r="R20" s="89"/>
      <c r="S20" s="89"/>
      <c r="T20" s="89"/>
      <c r="U20" s="89"/>
      <c r="V20" s="90"/>
      <c r="W20" s="90"/>
      <c r="X20" s="90"/>
      <c r="Y20" s="90"/>
      <c r="Z20" s="91"/>
      <c r="AA20" s="92">
        <v>20</v>
      </c>
      <c r="AB20" s="92" t="b">
        <f xml:space="preserve"> IF(AND(OR(NOT(ISNUMBER(Vertices[X])), Vertices[X] &gt;= Misc!$O$2), OR(NOT(ISNUMBER(Vertices[X])), Vertices[X] &lt;= Misc!$P$2),OR(NOT(ISNUMBER(Vertices[Y])), Vertices[Y] &gt;= Misc!$O$3), OR(NOT(ISNUMBER(Vertices[Y])), Vertices[Y] &lt;= Misc!$P$3),TRUE), TRUE, FALSE)</f>
        <v>1</v>
      </c>
      <c r="AC20" s="93"/>
    </row>
    <row r="21" spans="1:29" x14ac:dyDescent="0.25">
      <c r="A21" s="79" t="s">
        <v>192</v>
      </c>
      <c r="B21" s="80"/>
      <c r="C21" s="80"/>
      <c r="D21" s="81"/>
      <c r="E21" s="82"/>
      <c r="F21" s="80"/>
      <c r="G21" s="80"/>
      <c r="H21" s="83" t="s">
        <v>224</v>
      </c>
      <c r="I21" s="84"/>
      <c r="J21" s="84"/>
      <c r="K21" s="83"/>
      <c r="L21" s="85"/>
      <c r="M21" s="86">
        <v>4615.54541015625</v>
      </c>
      <c r="N21" s="86">
        <v>5862.37890625</v>
      </c>
      <c r="O21" s="87"/>
      <c r="P21" s="88"/>
      <c r="Q21" s="88"/>
      <c r="R21" s="89"/>
      <c r="S21" s="89"/>
      <c r="T21" s="89"/>
      <c r="U21" s="89"/>
      <c r="V21" s="90"/>
      <c r="W21" s="90"/>
      <c r="X21" s="90"/>
      <c r="Y21" s="90"/>
      <c r="Z21" s="91"/>
      <c r="AA21" s="92">
        <v>21</v>
      </c>
      <c r="AB21" s="92" t="b">
        <f xml:space="preserve"> IF(AND(OR(NOT(ISNUMBER(Vertices[X])), Vertices[X] &gt;= Misc!$O$2), OR(NOT(ISNUMBER(Vertices[X])), Vertices[X] &lt;= Misc!$P$2),OR(NOT(ISNUMBER(Vertices[Y])), Vertices[Y] &gt;= Misc!$O$3), OR(NOT(ISNUMBER(Vertices[Y])), Vertices[Y] &lt;= Misc!$P$3),TRUE), TRUE, FALSE)</f>
        <v>1</v>
      </c>
      <c r="AC21" s="93"/>
    </row>
    <row r="22" spans="1:29" x14ac:dyDescent="0.25">
      <c r="A22" s="79" t="s">
        <v>193</v>
      </c>
      <c r="B22" s="80"/>
      <c r="C22" s="80"/>
      <c r="D22" s="81"/>
      <c r="E22" s="82"/>
      <c r="F22" s="80"/>
      <c r="G22" s="80"/>
      <c r="H22" s="83" t="s">
        <v>225</v>
      </c>
      <c r="I22" s="84"/>
      <c r="J22" s="84"/>
      <c r="K22" s="83"/>
      <c r="L22" s="85"/>
      <c r="M22" s="86">
        <v>3032.895751953125</v>
      </c>
      <c r="N22" s="86">
        <v>3083.085693359375</v>
      </c>
      <c r="O22" s="87"/>
      <c r="P22" s="88"/>
      <c r="Q22" s="88"/>
      <c r="R22" s="89"/>
      <c r="S22" s="89"/>
      <c r="T22" s="89"/>
      <c r="U22" s="89"/>
      <c r="V22" s="90"/>
      <c r="W22" s="90"/>
      <c r="X22" s="90"/>
      <c r="Y22" s="90"/>
      <c r="Z22" s="91"/>
      <c r="AA22" s="92">
        <v>22</v>
      </c>
      <c r="AB22" s="92" t="b">
        <f xml:space="preserve"> IF(AND(OR(NOT(ISNUMBER(Vertices[X])), Vertices[X] &gt;= Misc!$O$2), OR(NOT(ISNUMBER(Vertices[X])), Vertices[X] &lt;= Misc!$P$2),OR(NOT(ISNUMBER(Vertices[Y])), Vertices[Y] &gt;= Misc!$O$3), OR(NOT(ISNUMBER(Vertices[Y])), Vertices[Y] &lt;= Misc!$P$3),TRUE), TRUE, FALSE)</f>
        <v>1</v>
      </c>
      <c r="AC22" s="93"/>
    </row>
    <row r="23" spans="1:29" x14ac:dyDescent="0.25">
      <c r="A23" s="79" t="s">
        <v>194</v>
      </c>
      <c r="B23" s="80"/>
      <c r="C23" s="80"/>
      <c r="D23" s="81"/>
      <c r="E23" s="82"/>
      <c r="F23" s="80"/>
      <c r="G23" s="80"/>
      <c r="H23" s="83" t="s">
        <v>226</v>
      </c>
      <c r="I23" s="84"/>
      <c r="J23" s="84"/>
      <c r="K23" s="83"/>
      <c r="L23" s="85"/>
      <c r="M23" s="86">
        <v>3880.136962890625</v>
      </c>
      <c r="N23" s="86">
        <v>2186.533935546875</v>
      </c>
      <c r="O23" s="87"/>
      <c r="P23" s="88"/>
      <c r="Q23" s="88"/>
      <c r="R23" s="89"/>
      <c r="S23" s="89"/>
      <c r="T23" s="89"/>
      <c r="U23" s="89"/>
      <c r="V23" s="90"/>
      <c r="W23" s="90"/>
      <c r="X23" s="90"/>
      <c r="Y23" s="90"/>
      <c r="Z23" s="91"/>
      <c r="AA23" s="92">
        <v>23</v>
      </c>
      <c r="AB23" s="92" t="b">
        <f xml:space="preserve"> IF(AND(OR(NOT(ISNUMBER(Vertices[X])), Vertices[X] &gt;= Misc!$O$2), OR(NOT(ISNUMBER(Vertices[X])), Vertices[X] &lt;= Misc!$P$2),OR(NOT(ISNUMBER(Vertices[Y])), Vertices[Y] &gt;= Misc!$O$3), OR(NOT(ISNUMBER(Vertices[Y])), Vertices[Y] &lt;= Misc!$P$3),TRUE), TRUE, FALSE)</f>
        <v>1</v>
      </c>
      <c r="AC23" s="93"/>
    </row>
    <row r="24" spans="1:29" x14ac:dyDescent="0.25">
      <c r="A24" s="79" t="s">
        <v>195</v>
      </c>
      <c r="B24" s="80"/>
      <c r="C24" s="80"/>
      <c r="D24" s="81"/>
      <c r="E24" s="82"/>
      <c r="F24" s="80"/>
      <c r="G24" s="80"/>
      <c r="H24" s="83" t="s">
        <v>227</v>
      </c>
      <c r="I24" s="84"/>
      <c r="J24" s="84"/>
      <c r="K24" s="83"/>
      <c r="L24" s="85"/>
      <c r="M24" s="86">
        <v>6462.306640625</v>
      </c>
      <c r="N24" s="86">
        <v>4450.75341796875</v>
      </c>
      <c r="O24" s="87"/>
      <c r="P24" s="88"/>
      <c r="Q24" s="88"/>
      <c r="R24" s="89"/>
      <c r="S24" s="89"/>
      <c r="T24" s="89"/>
      <c r="U24" s="89"/>
      <c r="V24" s="90"/>
      <c r="W24" s="90"/>
      <c r="X24" s="90"/>
      <c r="Y24" s="90"/>
      <c r="Z24" s="91"/>
      <c r="AA24" s="92">
        <v>24</v>
      </c>
      <c r="AB24" s="92" t="b">
        <f xml:space="preserve"> IF(AND(OR(NOT(ISNUMBER(Vertices[X])), Vertices[X] &gt;= Misc!$O$2), OR(NOT(ISNUMBER(Vertices[X])), Vertices[X] &lt;= Misc!$P$2),OR(NOT(ISNUMBER(Vertices[Y])), Vertices[Y] &gt;= Misc!$O$3), OR(NOT(ISNUMBER(Vertices[Y])), Vertices[Y] &lt;= Misc!$P$3),TRUE), TRUE, FALSE)</f>
        <v>1</v>
      </c>
      <c r="AC24" s="93"/>
    </row>
    <row r="25" spans="1:29" x14ac:dyDescent="0.25">
      <c r="A25" s="79" t="s">
        <v>196</v>
      </c>
      <c r="B25" s="80"/>
      <c r="C25" s="80"/>
      <c r="D25" s="81"/>
      <c r="E25" s="82"/>
      <c r="F25" s="80"/>
      <c r="G25" s="80"/>
      <c r="H25" s="83" t="s">
        <v>228</v>
      </c>
      <c r="I25" s="84"/>
      <c r="J25" s="84"/>
      <c r="K25" s="83"/>
      <c r="L25" s="85"/>
      <c r="M25" s="86">
        <v>2478.2412109375</v>
      </c>
      <c r="N25" s="86">
        <v>4304.79150390625</v>
      </c>
      <c r="O25" s="87"/>
      <c r="P25" s="88"/>
      <c r="Q25" s="88"/>
      <c r="R25" s="89"/>
      <c r="S25" s="89"/>
      <c r="T25" s="89"/>
      <c r="U25" s="89"/>
      <c r="V25" s="90"/>
      <c r="W25" s="90"/>
      <c r="X25" s="90"/>
      <c r="Y25" s="90"/>
      <c r="Z25" s="91"/>
      <c r="AA25" s="92">
        <v>25</v>
      </c>
      <c r="AB25" s="92" t="b">
        <f xml:space="preserve"> IF(AND(OR(NOT(ISNUMBER(Vertices[X])), Vertices[X] &gt;= Misc!$O$2), OR(NOT(ISNUMBER(Vertices[X])), Vertices[X] &lt;= Misc!$P$2),OR(NOT(ISNUMBER(Vertices[Y])), Vertices[Y] &gt;= Misc!$O$3), OR(NOT(ISNUMBER(Vertices[Y])), Vertices[Y] &lt;= Misc!$P$3),TRUE), TRUE, FALSE)</f>
        <v>1</v>
      </c>
      <c r="AC25" s="93"/>
    </row>
    <row r="26" spans="1:29" x14ac:dyDescent="0.25">
      <c r="A26" s="79" t="s">
        <v>197</v>
      </c>
      <c r="B26" s="80"/>
      <c r="C26" s="80"/>
      <c r="D26" s="81"/>
      <c r="E26" s="82"/>
      <c r="F26" s="80"/>
      <c r="G26" s="80"/>
      <c r="H26" s="83" t="s">
        <v>229</v>
      </c>
      <c r="I26" s="84"/>
      <c r="J26" s="84"/>
      <c r="K26" s="83"/>
      <c r="L26" s="85"/>
      <c r="M26" s="86">
        <v>213.75090026855469</v>
      </c>
      <c r="N26" s="86">
        <v>3507.6767578125</v>
      </c>
      <c r="O26" s="87"/>
      <c r="P26" s="88"/>
      <c r="Q26" s="88"/>
      <c r="R26" s="89"/>
      <c r="S26" s="89"/>
      <c r="T26" s="89"/>
      <c r="U26" s="89"/>
      <c r="V26" s="90"/>
      <c r="W26" s="90"/>
      <c r="X26" s="90"/>
      <c r="Y26" s="90"/>
      <c r="Z26" s="91"/>
      <c r="AA26" s="92">
        <v>26</v>
      </c>
      <c r="AB26" s="92" t="b">
        <f xml:space="preserve"> IF(AND(OR(NOT(ISNUMBER(Vertices[X])), Vertices[X] &gt;= Misc!$O$2), OR(NOT(ISNUMBER(Vertices[X])), Vertices[X] &lt;= Misc!$P$2),OR(NOT(ISNUMBER(Vertices[Y])), Vertices[Y] &gt;= Misc!$O$3), OR(NOT(ISNUMBER(Vertices[Y])), Vertices[Y] &lt;= Misc!$P$3),TRUE), TRUE, FALSE)</f>
        <v>1</v>
      </c>
      <c r="AC26" s="93"/>
    </row>
    <row r="27" spans="1:29" x14ac:dyDescent="0.25">
      <c r="A27" s="79" t="s">
        <v>198</v>
      </c>
      <c r="B27" s="80"/>
      <c r="C27" s="80"/>
      <c r="D27" s="81"/>
      <c r="E27" s="82"/>
      <c r="F27" s="80"/>
      <c r="G27" s="80"/>
      <c r="H27" s="83" t="s">
        <v>230</v>
      </c>
      <c r="I27" s="84"/>
      <c r="J27" s="84"/>
      <c r="K27" s="83"/>
      <c r="L27" s="85"/>
      <c r="M27" s="86">
        <v>3396.288330078125</v>
      </c>
      <c r="N27" s="86">
        <v>8578.076171875</v>
      </c>
      <c r="O27" s="87"/>
      <c r="P27" s="88"/>
      <c r="Q27" s="88"/>
      <c r="R27" s="89"/>
      <c r="S27" s="89"/>
      <c r="T27" s="89"/>
      <c r="U27" s="89"/>
      <c r="V27" s="90"/>
      <c r="W27" s="90"/>
      <c r="X27" s="90"/>
      <c r="Y27" s="90"/>
      <c r="Z27" s="91"/>
      <c r="AA27" s="92">
        <v>27</v>
      </c>
      <c r="AB27" s="92" t="b">
        <f xml:space="preserve"> IF(AND(OR(NOT(ISNUMBER(Vertices[X])), Vertices[X] &gt;= Misc!$O$2), OR(NOT(ISNUMBER(Vertices[X])), Vertices[X] &lt;= Misc!$P$2),OR(NOT(ISNUMBER(Vertices[Y])), Vertices[Y] &gt;= Misc!$O$3), OR(NOT(ISNUMBER(Vertices[Y])), Vertices[Y] &lt;= Misc!$P$3),TRUE), TRUE, FALSE)</f>
        <v>1</v>
      </c>
      <c r="AC27" s="93"/>
    </row>
    <row r="28" spans="1:29" x14ac:dyDescent="0.25">
      <c r="A28" s="79" t="s">
        <v>199</v>
      </c>
      <c r="B28" s="80"/>
      <c r="C28" s="80"/>
      <c r="D28" s="81"/>
      <c r="E28" s="82"/>
      <c r="F28" s="80"/>
      <c r="G28" s="80"/>
      <c r="H28" s="83" t="s">
        <v>231</v>
      </c>
      <c r="I28" s="84"/>
      <c r="J28" s="84"/>
      <c r="K28" s="83"/>
      <c r="L28" s="85"/>
      <c r="M28" s="86">
        <v>3367.776611328125</v>
      </c>
      <c r="N28" s="86">
        <v>7028.9853515625</v>
      </c>
      <c r="O28" s="87"/>
      <c r="P28" s="88"/>
      <c r="Q28" s="88"/>
      <c r="R28" s="89"/>
      <c r="S28" s="89"/>
      <c r="T28" s="89"/>
      <c r="U28" s="89"/>
      <c r="V28" s="90"/>
      <c r="W28" s="90"/>
      <c r="X28" s="90"/>
      <c r="Y28" s="90"/>
      <c r="Z28" s="91"/>
      <c r="AA28" s="92">
        <v>28</v>
      </c>
      <c r="AB28" s="92" t="b">
        <f xml:space="preserve"> IF(AND(OR(NOT(ISNUMBER(Vertices[X])), Vertices[X] &gt;= Misc!$O$2), OR(NOT(ISNUMBER(Vertices[X])), Vertices[X] &lt;= Misc!$P$2),OR(NOT(ISNUMBER(Vertices[Y])), Vertices[Y] &gt;= Misc!$O$3), OR(NOT(ISNUMBER(Vertices[Y])), Vertices[Y] &lt;= Misc!$P$3),TRUE), TRUE, FALSE)</f>
        <v>1</v>
      </c>
      <c r="AC28" s="93"/>
    </row>
    <row r="29" spans="1:29" x14ac:dyDescent="0.25">
      <c r="A29" s="79" t="s">
        <v>200</v>
      </c>
      <c r="B29" s="80"/>
      <c r="C29" s="80"/>
      <c r="D29" s="81"/>
      <c r="E29" s="82"/>
      <c r="F29" s="80"/>
      <c r="G29" s="80"/>
      <c r="H29" s="83" t="s">
        <v>232</v>
      </c>
      <c r="I29" s="84"/>
      <c r="J29" s="84"/>
      <c r="K29" s="83"/>
      <c r="L29" s="85"/>
      <c r="M29" s="86">
        <v>5389.01904296875</v>
      </c>
      <c r="N29" s="86">
        <v>6988.7607421875</v>
      </c>
      <c r="O29" s="87"/>
      <c r="P29" s="88"/>
      <c r="Q29" s="88"/>
      <c r="R29" s="89"/>
      <c r="S29" s="89"/>
      <c r="T29" s="89"/>
      <c r="U29" s="89"/>
      <c r="V29" s="90"/>
      <c r="W29" s="90"/>
      <c r="X29" s="90"/>
      <c r="Y29" s="90"/>
      <c r="Z29" s="91"/>
      <c r="AA29" s="92">
        <v>29</v>
      </c>
      <c r="AB29" s="92" t="b">
        <f xml:space="preserve"> IF(AND(OR(NOT(ISNUMBER(Vertices[X])), Vertices[X] &gt;= Misc!$O$2), OR(NOT(ISNUMBER(Vertices[X])), Vertices[X] &lt;= Misc!$P$2),OR(NOT(ISNUMBER(Vertices[Y])), Vertices[Y] &gt;= Misc!$O$3), OR(NOT(ISNUMBER(Vertices[Y])), Vertices[Y] &lt;= Misc!$P$3),TRUE), TRUE, FALSE)</f>
        <v>1</v>
      </c>
      <c r="AC29" s="93"/>
    </row>
    <row r="30" spans="1:29" x14ac:dyDescent="0.25">
      <c r="A30" s="79" t="s">
        <v>201</v>
      </c>
      <c r="B30" s="80"/>
      <c r="C30" s="80"/>
      <c r="D30" s="81"/>
      <c r="E30" s="82"/>
      <c r="F30" s="80"/>
      <c r="G30" s="80"/>
      <c r="H30" s="83" t="s">
        <v>233</v>
      </c>
      <c r="I30" s="84"/>
      <c r="J30" s="84"/>
      <c r="K30" s="83"/>
      <c r="L30" s="85"/>
      <c r="M30" s="86">
        <v>1702.7315673828125</v>
      </c>
      <c r="N30" s="86">
        <v>7432.2294921875</v>
      </c>
      <c r="O30" s="87"/>
      <c r="P30" s="88"/>
      <c r="Q30" s="88"/>
      <c r="R30" s="89"/>
      <c r="S30" s="89"/>
      <c r="T30" s="89"/>
      <c r="U30" s="89"/>
      <c r="V30" s="90"/>
      <c r="W30" s="90"/>
      <c r="X30" s="90"/>
      <c r="Y30" s="90"/>
      <c r="Z30" s="91"/>
      <c r="AA30" s="92">
        <v>30</v>
      </c>
      <c r="AB30" s="92" t="b">
        <f xml:space="preserve"> IF(AND(OR(NOT(ISNUMBER(Vertices[X])), Vertices[X] &gt;= Misc!$O$2), OR(NOT(ISNUMBER(Vertices[X])), Vertices[X] &lt;= Misc!$P$2),OR(NOT(ISNUMBER(Vertices[Y])), Vertices[Y] &gt;= Misc!$O$3), OR(NOT(ISNUMBER(Vertices[Y])), Vertices[Y] &lt;= Misc!$P$3),TRUE), TRUE, FALSE)</f>
        <v>1</v>
      </c>
      <c r="AC30" s="93"/>
    </row>
    <row r="31" spans="1:29" x14ac:dyDescent="0.25">
      <c r="A31" s="79" t="s">
        <v>202</v>
      </c>
      <c r="B31" s="80"/>
      <c r="C31" s="80"/>
      <c r="D31" s="81"/>
      <c r="E31" s="82"/>
      <c r="F31" s="80"/>
      <c r="G31" s="80"/>
      <c r="H31" s="83" t="s">
        <v>234</v>
      </c>
      <c r="I31" s="84"/>
      <c r="J31" s="84"/>
      <c r="K31" s="83"/>
      <c r="L31" s="85"/>
      <c r="M31" s="86">
        <v>5503.755859375</v>
      </c>
      <c r="N31" s="86">
        <v>9594.34375</v>
      </c>
      <c r="O31" s="87"/>
      <c r="P31" s="88"/>
      <c r="Q31" s="88"/>
      <c r="R31" s="89"/>
      <c r="S31" s="89"/>
      <c r="T31" s="89"/>
      <c r="U31" s="89"/>
      <c r="V31" s="90"/>
      <c r="W31" s="90"/>
      <c r="X31" s="90"/>
      <c r="Y31" s="90"/>
      <c r="Z31" s="91"/>
      <c r="AA31" s="92">
        <v>31</v>
      </c>
      <c r="AB31" s="92" t="b">
        <f xml:space="preserve"> IF(AND(OR(NOT(ISNUMBER(Vertices[X])), Vertices[X] &gt;= Misc!$O$2), OR(NOT(ISNUMBER(Vertices[X])), Vertices[X] &lt;= Misc!$P$2),OR(NOT(ISNUMBER(Vertices[Y])), Vertices[Y] &gt;= Misc!$O$3), OR(NOT(ISNUMBER(Vertices[Y])), Vertices[Y] &lt;= Misc!$P$3),TRUE), TRUE, FALSE)</f>
        <v>1</v>
      </c>
      <c r="AC31" s="93"/>
    </row>
    <row r="32" spans="1:29" x14ac:dyDescent="0.25">
      <c r="A32" s="79" t="s">
        <v>203</v>
      </c>
      <c r="B32" s="80"/>
      <c r="C32" s="80"/>
      <c r="D32" s="81"/>
      <c r="E32" s="82"/>
      <c r="F32" s="80"/>
      <c r="G32" s="80"/>
      <c r="H32" s="83" t="s">
        <v>235</v>
      </c>
      <c r="I32" s="84"/>
      <c r="J32" s="84"/>
      <c r="K32" s="83"/>
      <c r="L32" s="85"/>
      <c r="M32" s="86">
        <v>8231.7353515625</v>
      </c>
      <c r="N32" s="86">
        <v>987.0584716796875</v>
      </c>
      <c r="O32" s="87"/>
      <c r="P32" s="88"/>
      <c r="Q32" s="88"/>
      <c r="R32" s="89"/>
      <c r="S32" s="89"/>
      <c r="T32" s="89"/>
      <c r="U32" s="89"/>
      <c r="V32" s="90"/>
      <c r="W32" s="90"/>
      <c r="X32" s="90"/>
      <c r="Y32" s="90"/>
      <c r="Z32" s="91"/>
      <c r="AA32" s="92">
        <v>32</v>
      </c>
      <c r="AB32" s="92" t="b">
        <f xml:space="preserve"> IF(AND(OR(NOT(ISNUMBER(Vertices[X])), Vertices[X] &gt;= Misc!$O$2), OR(NOT(ISNUMBER(Vertices[X])), Vertices[X] &lt;= Misc!$P$2),OR(NOT(ISNUMBER(Vertices[Y])), Vertices[Y] &gt;= Misc!$O$3), OR(NOT(ISNUMBER(Vertices[Y])), Vertices[Y] &lt;= Misc!$P$3),TRUE), TRUE, FALSE)</f>
        <v>1</v>
      </c>
      <c r="AC32" s="93"/>
    </row>
    <row r="33" spans="1:29" x14ac:dyDescent="0.25">
      <c r="A33" s="79" t="s">
        <v>204</v>
      </c>
      <c r="B33" s="80"/>
      <c r="C33" s="80"/>
      <c r="D33" s="81"/>
      <c r="E33" s="82"/>
      <c r="F33" s="80"/>
      <c r="G33" s="80"/>
      <c r="H33" s="83" t="s">
        <v>236</v>
      </c>
      <c r="I33" s="84"/>
      <c r="J33" s="84"/>
      <c r="K33" s="83"/>
      <c r="L33" s="85"/>
      <c r="M33" s="86">
        <v>9862.744140625</v>
      </c>
      <c r="N33" s="86">
        <v>5195.01220703125</v>
      </c>
      <c r="O33" s="87"/>
      <c r="P33" s="88"/>
      <c r="Q33" s="88"/>
      <c r="R33" s="89"/>
      <c r="S33" s="89"/>
      <c r="T33" s="89"/>
      <c r="U33" s="89"/>
      <c r="V33" s="90"/>
      <c r="W33" s="90"/>
      <c r="X33" s="90"/>
      <c r="Y33" s="90"/>
      <c r="Z33" s="91"/>
      <c r="AA33" s="92">
        <v>33</v>
      </c>
      <c r="AB33" s="92" t="b">
        <f xml:space="preserve"> IF(AND(OR(NOT(ISNUMBER(Vertices[X])), Vertices[X] &gt;= Misc!$O$2), OR(NOT(ISNUMBER(Vertices[X])), Vertices[X] &lt;= Misc!$P$2),OR(NOT(ISNUMBER(Vertices[Y])), Vertices[Y] &gt;= Misc!$O$3), OR(NOT(ISNUMBER(Vertices[Y])), Vertices[Y] &lt;= Misc!$P$3),TRUE), TRUE, FALSE)</f>
        <v>1</v>
      </c>
      <c r="AC33" s="93"/>
    </row>
    <row r="34" spans="1:29" x14ac:dyDescent="0.25">
      <c r="A34" s="79" t="s">
        <v>205</v>
      </c>
      <c r="B34" s="80"/>
      <c r="C34" s="80"/>
      <c r="D34" s="81"/>
      <c r="E34" s="82"/>
      <c r="F34" s="80"/>
      <c r="G34" s="80"/>
      <c r="H34" s="83" t="s">
        <v>237</v>
      </c>
      <c r="I34" s="84"/>
      <c r="J34" s="84"/>
      <c r="K34" s="83"/>
      <c r="L34" s="85"/>
      <c r="M34" s="86">
        <v>2090.6279296875</v>
      </c>
      <c r="N34" s="86">
        <v>3396.32373046875</v>
      </c>
      <c r="O34" s="87"/>
      <c r="P34" s="88"/>
      <c r="Q34" s="88"/>
      <c r="R34" s="89"/>
      <c r="S34" s="89"/>
      <c r="T34" s="89"/>
      <c r="U34" s="89"/>
      <c r="V34" s="90"/>
      <c r="W34" s="90"/>
      <c r="X34" s="90"/>
      <c r="Y34" s="90"/>
      <c r="Z34" s="91"/>
      <c r="AA34" s="92">
        <v>34</v>
      </c>
      <c r="AB34" s="92" t="b">
        <f xml:space="preserve"> IF(AND(OR(NOT(ISNUMBER(Vertices[X])), Vertices[X] &gt;= Misc!$O$2), OR(NOT(ISNUMBER(Vertices[X])), Vertices[X] &lt;= Misc!$P$2),OR(NOT(ISNUMBER(Vertices[Y])), Vertices[Y] &gt;= Misc!$O$3), OR(NOT(ISNUMBER(Vertices[Y])), Vertices[Y] &lt;= Misc!$P$3),TRUE), TRUE, FALSE)</f>
        <v>1</v>
      </c>
      <c r="AC34" s="93"/>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34"/>
    <dataValidation allowBlank="1" errorTitle="Invalid Vertex Visibility" error="You have entered an unrecognized vertex visibility.  Try selecting from the drop-down list instead." sqref="AD3"/>
    <dataValidation allowBlank="1" showErrorMessage="1" sqref="AD2"/>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34">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34"/>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34"/>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34"/>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34"/>
    <dataValidation allowBlank="1" showInputMessage="1" errorTitle="Invalid Vertex Image Key" promptTitle="Vertex Tooltip" prompt="Enter optional text that will pop up when the mouse is hovered over the vertex." sqref="K3:K34"/>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34"/>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34">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34"/>
    <dataValidation allowBlank="1" showInputMessage="1" promptTitle="Vertex Label Fill Color" prompt="To select an optional fill color for the Label shape, right-click and select Select Color on the right-click menu." sqref="I3:I34"/>
    <dataValidation allowBlank="1" showInputMessage="1" errorTitle="Invalid Vertex Image Key" promptTitle="Vertex Image File" prompt="Enter the path to an image file.  Hover over the column header for examples." sqref="F3:F34"/>
    <dataValidation allowBlank="1" showInputMessage="1" promptTitle="Vertex Color" prompt="To select an optional vertex color, right-click and select Select Color on the right-click menu." sqref="B3:B34"/>
    <dataValidation allowBlank="1" showInputMessage="1" errorTitle="Invalid Vertex Opacity" error="The optional vertex opacity must be a whole number between 0 and 10." promptTitle="Vertex Opacity" prompt="Enter an optional vertex opacity between 0 (transparent) and 100 (opaque)." sqref="E3:E34"/>
    <dataValidation type="list" allowBlank="1" showInputMessage="1" showErrorMessage="1" errorTitle="Invalid Vertex Shape" error="You have entered an invalid vertex shape.  Try selecting from the drop-down list instead." promptTitle="Vertex Shape" prompt="Select an optional vertex shape." sqref="C3:C34">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34"/>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34">
      <formula1>ValidVertexLabelPositions</formula1>
    </dataValidation>
    <dataValidation allowBlank="1" showInputMessage="1" showErrorMessage="1" promptTitle="Vertex Name" prompt="Enter the name of the vertex." sqref="A3:A34"/>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defaultRowHeight="15" x14ac:dyDescent="0.25"/>
  <cols>
    <col min="1" max="1" width="10.85546875" style="3" bestFit="1" customWidth="1"/>
    <col min="2" max="2" width="16.85546875" style="3" bestFit="1" customWidth="1"/>
    <col min="4" max="5" width="9.140625" customWidth="1"/>
  </cols>
  <sheetData>
    <row r="1" spans="1:1" x14ac:dyDescent="0.25">
      <c r="A1" s="3" t="s">
        <v>50</v>
      </c>
    </row>
    <row r="2" spans="1:1" ht="15" customHeight="1" x14ac:dyDescent="0.25"/>
    <row r="3" spans="1:1" ht="15" customHeight="1" x14ac:dyDescent="0.25">
      <c r="A3" s="32" t="s">
        <v>51</v>
      </c>
    </row>
    <row r="21" spans="4:4" x14ac:dyDescent="0.25">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X10"/>
  <sheetViews>
    <sheetView workbookViewId="0">
      <pane ySplit="2" topLeftCell="A3" activePane="bottomLeft" state="frozen"/>
      <selection pane="bottomLeft" activeCell="C12" sqref="C12"/>
    </sheetView>
  </sheetViews>
  <sheetFormatPr defaultRowHeight="15" x14ac:dyDescent="0.25"/>
  <cols>
    <col min="1" max="1" width="9.42578125" style="1" bestFit="1" customWidth="1"/>
    <col min="2" max="2" width="14.28515625" bestFit="1" customWidth="1"/>
    <col min="3" max="3" width="15" bestFit="1" customWidth="1"/>
    <col min="4" max="4" width="11.140625" bestFit="1" customWidth="1"/>
    <col min="5" max="5" width="13" bestFit="1" customWidth="1"/>
    <col min="6" max="6" width="8" bestFit="1" customWidth="1"/>
    <col min="7" max="8" width="13.5703125" hidden="1" customWidth="1"/>
    <col min="9" max="9" width="11" hidden="1" customWidth="1"/>
    <col min="10" max="10" width="12.5703125" hidden="1" customWidth="1"/>
    <col min="11" max="11" width="11" hidden="1" customWidth="1"/>
    <col min="12" max="12" width="9.7109375" hidden="1" customWidth="1"/>
    <col min="13" max="13" width="13.140625" hidden="1" customWidth="1"/>
    <col min="14" max="15" width="8.42578125" hidden="1" customWidth="1"/>
    <col min="16" max="16" width="18.28515625" hidden="1" customWidth="1"/>
    <col min="17" max="17" width="14.85546875" hidden="1" customWidth="1"/>
    <col min="18" max="18" width="14.5703125" hidden="1" customWidth="1"/>
    <col min="19" max="21" width="24.140625" hidden="1" customWidth="1"/>
    <col min="22" max="22" width="21.28515625" hidden="1" customWidth="1"/>
    <col min="23" max="23" width="19.28515625" hidden="1" customWidth="1"/>
    <col min="24" max="24" width="10" hidden="1" customWidth="1"/>
    <col min="25" max="25" width="13" customWidth="1"/>
  </cols>
  <sheetData>
    <row r="1" spans="1:24" x14ac:dyDescent="0.25">
      <c r="B1" s="69" t="s">
        <v>40</v>
      </c>
      <c r="C1" s="70"/>
      <c r="D1" s="70"/>
      <c r="E1" s="71"/>
      <c r="F1" s="67" t="s">
        <v>44</v>
      </c>
      <c r="G1" s="72" t="s">
        <v>45</v>
      </c>
      <c r="H1" s="73"/>
      <c r="I1" s="74" t="s">
        <v>41</v>
      </c>
      <c r="J1" s="75"/>
      <c r="K1" s="76" t="s">
        <v>43</v>
      </c>
      <c r="L1" s="77"/>
      <c r="M1" s="77"/>
      <c r="N1" s="77"/>
      <c r="O1" s="77"/>
      <c r="P1" s="77"/>
      <c r="Q1" s="77"/>
      <c r="R1" s="77"/>
      <c r="S1" s="77"/>
      <c r="T1" s="77"/>
      <c r="U1" s="77"/>
      <c r="V1" s="77"/>
      <c r="W1" s="77"/>
      <c r="X1" s="77"/>
    </row>
    <row r="2" spans="1:24" s="13" customFormat="1" ht="30" customHeight="1" x14ac:dyDescent="0.25">
      <c r="A2" s="11" t="s">
        <v>144</v>
      </c>
      <c r="B2" s="13" t="s">
        <v>21</v>
      </c>
      <c r="C2" s="13" t="s">
        <v>20</v>
      </c>
      <c r="D2" s="13" t="s">
        <v>11</v>
      </c>
      <c r="E2" s="13" t="s">
        <v>145</v>
      </c>
      <c r="F2" s="13" t="s">
        <v>47</v>
      </c>
      <c r="G2" s="13" t="s">
        <v>167</v>
      </c>
      <c r="H2" s="13" t="s">
        <v>168</v>
      </c>
      <c r="I2" s="13" t="s">
        <v>12</v>
      </c>
      <c r="J2" s="13" t="s">
        <v>166</v>
      </c>
      <c r="K2" s="13" t="s">
        <v>146</v>
      </c>
      <c r="L2" s="13" t="s">
        <v>148</v>
      </c>
      <c r="M2" s="13" t="s">
        <v>149</v>
      </c>
      <c r="N2" s="13" t="s">
        <v>150</v>
      </c>
      <c r="O2" s="13" t="s">
        <v>151</v>
      </c>
      <c r="P2" s="13" t="s">
        <v>170</v>
      </c>
      <c r="Q2" s="13" t="s">
        <v>171</v>
      </c>
      <c r="R2" s="13" t="s">
        <v>152</v>
      </c>
      <c r="S2" s="13" t="s">
        <v>153</v>
      </c>
      <c r="T2" s="13" t="s">
        <v>154</v>
      </c>
      <c r="U2" s="13" t="s">
        <v>155</v>
      </c>
      <c r="V2" s="13" t="s">
        <v>156</v>
      </c>
      <c r="W2" s="13" t="s">
        <v>157</v>
      </c>
      <c r="X2" s="13" t="s">
        <v>158</v>
      </c>
    </row>
    <row r="3" spans="1:24" x14ac:dyDescent="0.25">
      <c r="A3" s="14"/>
      <c r="B3" s="15"/>
      <c r="C3" s="15"/>
      <c r="D3" s="15"/>
      <c r="E3" s="15"/>
      <c r="F3" s="16"/>
      <c r="G3" s="78"/>
      <c r="H3" s="78"/>
      <c r="I3" s="65"/>
      <c r="J3" s="65"/>
      <c r="K3" s="48"/>
      <c r="L3" s="48"/>
      <c r="M3" s="48"/>
      <c r="N3" s="48"/>
      <c r="O3" s="48"/>
      <c r="P3" s="48"/>
      <c r="Q3" s="48"/>
      <c r="R3" s="48"/>
      <c r="S3" s="48"/>
      <c r="T3" s="48"/>
      <c r="U3" s="48"/>
      <c r="V3" s="48"/>
      <c r="W3" s="49"/>
      <c r="X3" s="49"/>
    </row>
    <row r="10" spans="1:24" ht="14.25" customHeight="1" x14ac:dyDescent="0.25"/>
  </sheetData>
  <dataConsolidate/>
  <dataValidations count="8">
    <dataValidation allowBlank="1" showInputMessage="1" promptTitle="Group Vertex Color" prompt="To select a color to use for all vertices in the group, right-click and select Select Color on the right-click menu." sqref="B3"/>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formula1>ValidGroupShapes</formula1>
    </dataValidation>
    <dataValidation allowBlank="1" showInputMessage="1" showErrorMessage="1" promptTitle="Group Name" prompt="Enter the name of the group." sqref="A3"/>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formula1>ValidBooleansDefaultFalse</formula1>
    </dataValidation>
    <dataValidation allowBlank="1" sqref="K3"/>
    <dataValidation allowBlank="1" showInputMessage="1" showErrorMessage="1" errorTitle="Invalid Group Collapsed" error="You have entered an unrecognized &quot;group collapsed.&quot;  Try selecting from the drop-down list instead." promptTitle="Group Label" prompt="Enter an optional group label." sqref="F3"/>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3"/>
  <sheetViews>
    <sheetView workbookViewId="0">
      <selection activeCell="H12" sqref="H12"/>
    </sheetView>
  </sheetViews>
  <sheetFormatPr defaultRowHeight="15" x14ac:dyDescent="0.25"/>
  <cols>
    <col min="1" max="1" width="9.42578125" style="1" bestFit="1" customWidth="1"/>
    <col min="2" max="2" width="9.140625" style="1"/>
    <col min="3" max="3" width="11.5703125" bestFit="1" customWidth="1"/>
    <col min="4" max="4" width="9.140625" customWidth="1"/>
  </cols>
  <sheetData>
    <row r="1" spans="1:3" x14ac:dyDescent="0.25">
      <c r="A1" s="1" t="s">
        <v>144</v>
      </c>
      <c r="B1" s="1" t="s">
        <v>5</v>
      </c>
      <c r="C1" s="1" t="s">
        <v>147</v>
      </c>
    </row>
    <row r="2" spans="1:3" x14ac:dyDescent="0.25">
      <c r="C2" s="3"/>
    </row>
    <row r="3" spans="1:3" x14ac:dyDescent="0.25">
      <c r="C3" s="3"/>
    </row>
  </sheetData>
  <dataConsolidate/>
  <dataValidations xWindow="58" yWindow="226" count="3">
    <dataValidation allowBlank="1" showInputMessage="1" showErrorMessage="1" promptTitle="Group Name" prompt="Enter the name of the group.  The group name must also be entered on the Groups worksheet." sqref="A2:A3"/>
    <dataValidation allowBlank="1" showInputMessage="1" showErrorMessage="1" promptTitle="Vertex Name" prompt="Enter the name of a vertex to include in the group." sqref="B2:B3"/>
    <dataValidation allowBlank="1" showInputMessage="1" promptTitle="Vertex ID" prompt="This is the value of the hidden ID cell in the Vertices worksheet.  It gets filled in by the items on the NodeXL, Analysis, Groups menu." sqref="C2:C3"/>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44"/>
  <sheetViews>
    <sheetView workbookViewId="0">
      <selection activeCell="B1" sqref="B1"/>
    </sheetView>
  </sheetViews>
  <sheetFormatPr defaultRowHeight="15" x14ac:dyDescent="0.25"/>
  <cols>
    <col min="1" max="1" width="43.140625" customWidth="1"/>
    <col min="2" max="2" width="13.85546875" customWidth="1"/>
    <col min="3" max="3" width="9.140625" customWidth="1"/>
    <col min="4" max="4" width="12.85546875" hidden="1" customWidth="1"/>
    <col min="5" max="5" width="19.7109375" hidden="1" customWidth="1"/>
    <col min="6" max="6" width="15.5703125" hidden="1" customWidth="1"/>
    <col min="7" max="7" width="22.140625" hidden="1" customWidth="1"/>
    <col min="8" max="8" width="17.140625" hidden="1" customWidth="1"/>
    <col min="9" max="9" width="23.85546875" hidden="1" customWidth="1"/>
    <col min="10" max="10" width="28.28515625" hidden="1" customWidth="1"/>
    <col min="11" max="11" width="34.85546875" hidden="1" customWidth="1"/>
    <col min="12" max="12" width="25" hidden="1" customWidth="1"/>
    <col min="13" max="13" width="31.5703125" hidden="1" customWidth="1"/>
    <col min="14" max="14" width="26.5703125" hidden="1" customWidth="1"/>
    <col min="15" max="17" width="33.28515625" hidden="1" customWidth="1"/>
    <col min="18" max="18" width="26.5703125" hidden="1" customWidth="1"/>
    <col min="19" max="19" width="33" hidden="1" customWidth="1"/>
    <col min="20" max="20" width="19.5703125" hidden="1" customWidth="1"/>
    <col min="21" max="21" width="26.140625" hidden="1" customWidth="1"/>
    <col min="22" max="22" width="9.140625" hidden="1" customWidth="1"/>
    <col min="23" max="23" width="34.140625" hidden="1" customWidth="1"/>
    <col min="24" max="24" width="25.140625" hidden="1" customWidth="1"/>
  </cols>
  <sheetData>
    <row r="1" spans="1:24" ht="15" customHeight="1" thickBot="1" x14ac:dyDescent="0.3">
      <c r="A1" s="13" t="s">
        <v>162</v>
      </c>
      <c r="B1" s="13" t="s">
        <v>17</v>
      </c>
      <c r="D1" t="s">
        <v>80</v>
      </c>
      <c r="E1" t="s">
        <v>81</v>
      </c>
      <c r="F1" s="37" t="s">
        <v>87</v>
      </c>
      <c r="G1" s="38" t="s">
        <v>88</v>
      </c>
      <c r="H1" s="37" t="s">
        <v>93</v>
      </c>
      <c r="I1" s="38" t="s">
        <v>94</v>
      </c>
      <c r="J1" s="37" t="s">
        <v>99</v>
      </c>
      <c r="K1" s="38" t="s">
        <v>100</v>
      </c>
      <c r="L1" s="37" t="s">
        <v>105</v>
      </c>
      <c r="M1" s="38" t="s">
        <v>106</v>
      </c>
      <c r="N1" s="37" t="s">
        <v>111</v>
      </c>
      <c r="O1" s="38" t="s">
        <v>112</v>
      </c>
      <c r="P1" s="38" t="s">
        <v>138</v>
      </c>
      <c r="Q1" s="38" t="s">
        <v>139</v>
      </c>
      <c r="R1" s="37" t="s">
        <v>117</v>
      </c>
      <c r="S1" s="37" t="s">
        <v>118</v>
      </c>
      <c r="T1" s="37" t="s">
        <v>123</v>
      </c>
      <c r="U1" s="38" t="s">
        <v>124</v>
      </c>
      <c r="W1" t="s">
        <v>128</v>
      </c>
      <c r="X1" t="s">
        <v>17</v>
      </c>
    </row>
    <row r="2" spans="1:24" ht="15.75" thickTop="1" x14ac:dyDescent="0.25">
      <c r="A2" s="36"/>
      <c r="B2" s="36"/>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f ca="1">MIN(INDIRECT(DynamicFilterSourceColumnRange))</f>
        <v>183.42010498046875</v>
      </c>
      <c r="U2" s="40">
        <f t="shared" ref="U2:U45" ca="1" si="0">COUNTIF(INDIRECT(DynamicFilterSourceColumnRange), "&gt;= " &amp; T2) - COUNTIF(INDIRECT(DynamicFilterSourceColumnRange), "&gt;=" &amp; T3)</f>
        <v>1</v>
      </c>
      <c r="W2" t="s">
        <v>125</v>
      </c>
      <c r="X2">
        <f>ROWS(HistogramBins[Degree Bin]) - 1</f>
        <v>43</v>
      </c>
    </row>
    <row r="3" spans="1:24" x14ac:dyDescent="0.25">
      <c r="A3" s="36"/>
      <c r="B3" s="36"/>
      <c r="D3" s="34">
        <f t="shared" ref="D3:D44" si="1">D2+($D$45-$D$2)/BinDivisor</f>
        <v>0</v>
      </c>
      <c r="E3" s="3">
        <f>COUNTIF(Vertices[Degree], "&gt;= " &amp; D3) - COUNTIF(Vertices[Degree], "&gt;=" &amp; D4)</f>
        <v>0</v>
      </c>
      <c r="F3" s="41">
        <f t="shared" ref="F3:F44" si="2">F2+($F$45-$F$2)/BinDivisor</f>
        <v>0</v>
      </c>
      <c r="G3" s="42">
        <f>COUNTIF(Vertices[In-Degree], "&gt;= " &amp; F3) - COUNTIF(Vertices[In-Degree], "&gt;=" &amp; F4)</f>
        <v>0</v>
      </c>
      <c r="H3" s="41">
        <f t="shared" ref="H3:H44" si="3">H2+($H$45-$H$2)/BinDivisor</f>
        <v>0</v>
      </c>
      <c r="I3" s="42">
        <f>COUNTIF(Vertices[Out-Degree], "&gt;= " &amp; H3) - COUNTIF(Vertices[Out-Degree], "&gt;=" &amp; H4)</f>
        <v>0</v>
      </c>
      <c r="J3" s="41">
        <f t="shared" ref="J3:J44" si="4">J2+($J$45-$J$2)/BinDivisor</f>
        <v>0</v>
      </c>
      <c r="K3" s="42">
        <f>COUNTIF(Vertices[Betweenness Centrality], "&gt;= " &amp; J3) - COUNTIF(Vertices[Betweenness Centrality], "&gt;=" &amp; J4)</f>
        <v>0</v>
      </c>
      <c r="L3" s="41">
        <f t="shared" ref="L3:L44" si="5">L2+($L$45-$L$2)/BinDivisor</f>
        <v>0</v>
      </c>
      <c r="M3" s="42">
        <f>COUNTIF(Vertices[Closeness Centrality], "&gt;= " &amp; L3) - COUNTIF(Vertices[Closeness Centrality], "&gt;=" &amp; L4)</f>
        <v>0</v>
      </c>
      <c r="N3" s="41">
        <f t="shared" ref="N3:N44" si="6">N2+($N$45-$N$2)/BinDivisor</f>
        <v>0</v>
      </c>
      <c r="O3" s="42">
        <f>COUNTIF(Vertices[Eigenvector Centrality], "&gt;= " &amp; N3) - COUNTIF(Vertices[Eigenvector Centrality], "&gt;=" &amp; N4)</f>
        <v>0</v>
      </c>
      <c r="P3" s="41">
        <f t="shared" ref="P3:P44" si="7">P2+($P$45-$P$2)/BinDivisor</f>
        <v>0</v>
      </c>
      <c r="Q3" s="42">
        <f>COUNTIF(Vertices[PageRank], "&gt;= " &amp; P3) - COUNTIF(Vertices[PageRank], "&gt;=" &amp; P4)</f>
        <v>0</v>
      </c>
      <c r="R3" s="41">
        <f t="shared" ref="R3:R44" si="8">R2+($R$45-$R$2)/BinDivisor</f>
        <v>0</v>
      </c>
      <c r="S3" s="46">
        <f>COUNTIF(Vertices[Clustering Coefficient], "&gt;= " &amp; R3) - COUNTIF(Vertices[Clustering Coefficient], "&gt;=" &amp; R4)</f>
        <v>0</v>
      </c>
      <c r="T3" s="41">
        <f t="shared" ref="T3:T44" ca="1" si="9">T2+($T$45-$T$2)/BinDivisor</f>
        <v>407.42382528615553</v>
      </c>
      <c r="U3" s="42">
        <f t="shared" ca="1" si="0"/>
        <v>0</v>
      </c>
      <c r="W3" t="s">
        <v>126</v>
      </c>
      <c r="X3" t="s">
        <v>86</v>
      </c>
    </row>
    <row r="4" spans="1:24" x14ac:dyDescent="0.25">
      <c r="A4" s="36"/>
      <c r="B4" s="36"/>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f t="shared" ca="1" si="9"/>
        <v>631.42754559184232</v>
      </c>
      <c r="U4" s="40">
        <f t="shared" ca="1" si="0"/>
        <v>1</v>
      </c>
      <c r="W4" s="12" t="s">
        <v>127</v>
      </c>
      <c r="X4" s="12" t="s">
        <v>239</v>
      </c>
    </row>
    <row r="5" spans="1:24" x14ac:dyDescent="0.25">
      <c r="A5" s="36"/>
      <c r="B5" s="36"/>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f t="shared" ca="1" si="9"/>
        <v>855.4312658975291</v>
      </c>
      <c r="U5" s="42">
        <f t="shared" ca="1" si="0"/>
        <v>1</v>
      </c>
    </row>
    <row r="6" spans="1:24" x14ac:dyDescent="0.25">
      <c r="A6" s="36"/>
      <c r="B6" s="36"/>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f t="shared" ca="1" si="9"/>
        <v>1079.4349862032159</v>
      </c>
      <c r="U6" s="40">
        <f t="shared" ca="1" si="0"/>
        <v>0</v>
      </c>
    </row>
    <row r="7" spans="1:24" x14ac:dyDescent="0.25">
      <c r="A7" s="36"/>
      <c r="B7" s="36"/>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f t="shared" ca="1" si="9"/>
        <v>1303.4387065089027</v>
      </c>
      <c r="U7" s="42">
        <f t="shared" ca="1" si="0"/>
        <v>0</v>
      </c>
    </row>
    <row r="8" spans="1:24" x14ac:dyDescent="0.25">
      <c r="A8" s="36"/>
      <c r="B8" s="36"/>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f t="shared" ca="1" si="9"/>
        <v>1527.4424268145895</v>
      </c>
      <c r="U8" s="40">
        <f t="shared" ca="1" si="0"/>
        <v>1</v>
      </c>
    </row>
    <row r="9" spans="1:24" x14ac:dyDescent="0.25">
      <c r="A9" s="36"/>
      <c r="B9" s="36"/>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f t="shared" ca="1" si="9"/>
        <v>1751.4461471202762</v>
      </c>
      <c r="U9" s="42">
        <f t="shared" ca="1" si="0"/>
        <v>0</v>
      </c>
    </row>
    <row r="10" spans="1:24" x14ac:dyDescent="0.25">
      <c r="A10" s="36"/>
      <c r="B10" s="36"/>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f t="shared" ca="1" si="9"/>
        <v>1975.449867425963</v>
      </c>
      <c r="U10" s="40">
        <f t="shared" ca="1" si="0"/>
        <v>2</v>
      </c>
    </row>
    <row r="11" spans="1:24" x14ac:dyDescent="0.25">
      <c r="A11" s="36"/>
      <c r="B11" s="36"/>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f t="shared" ca="1" si="9"/>
        <v>2199.4535877316498</v>
      </c>
      <c r="U11" s="42">
        <f t="shared" ca="1" si="0"/>
        <v>0</v>
      </c>
    </row>
    <row r="12" spans="1:24" x14ac:dyDescent="0.25">
      <c r="A12" s="36"/>
      <c r="B12" s="36"/>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f t="shared" ca="1" si="9"/>
        <v>2423.4573080373366</v>
      </c>
      <c r="U12" s="40">
        <f t="shared" ca="1" si="0"/>
        <v>0</v>
      </c>
    </row>
    <row r="13" spans="1:24" x14ac:dyDescent="0.25">
      <c r="A13" s="36"/>
      <c r="B13" s="36"/>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f t="shared" ca="1" si="9"/>
        <v>2647.4610283430234</v>
      </c>
      <c r="U13" s="42">
        <f t="shared" ca="1" si="0"/>
        <v>0</v>
      </c>
    </row>
    <row r="14" spans="1:24" x14ac:dyDescent="0.25">
      <c r="A14" s="36"/>
      <c r="B14" s="36"/>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f t="shared" ca="1" si="9"/>
        <v>2871.4647486487102</v>
      </c>
      <c r="U14" s="40">
        <f t="shared" ca="1" si="0"/>
        <v>1</v>
      </c>
    </row>
    <row r="15" spans="1:24" x14ac:dyDescent="0.25">
      <c r="A15" s="36"/>
      <c r="B15" s="36"/>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f t="shared" ca="1" si="9"/>
        <v>3095.4684689543969</v>
      </c>
      <c r="U15" s="42">
        <f t="shared" ca="1" si="0"/>
        <v>0</v>
      </c>
    </row>
    <row r="16" spans="1:24" x14ac:dyDescent="0.25">
      <c r="A16" s="36"/>
      <c r="B16" s="36"/>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f t="shared" ca="1" si="9"/>
        <v>3319.4721892600837</v>
      </c>
      <c r="U16" s="40">
        <f t="shared" ca="1" si="0"/>
        <v>2</v>
      </c>
    </row>
    <row r="17" spans="1:21" x14ac:dyDescent="0.25">
      <c r="A17" s="36"/>
      <c r="B17" s="36"/>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f t="shared" ca="1" si="9"/>
        <v>3543.4759095657705</v>
      </c>
      <c r="U17" s="42">
        <f t="shared" ca="1" si="0"/>
        <v>3</v>
      </c>
    </row>
    <row r="18" spans="1:21" x14ac:dyDescent="0.25">
      <c r="A18" s="36"/>
      <c r="B18" s="36"/>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f t="shared" ca="1" si="9"/>
        <v>3767.4796298714573</v>
      </c>
      <c r="U18" s="40">
        <f t="shared" ca="1" si="0"/>
        <v>0</v>
      </c>
    </row>
    <row r="19" spans="1:21" x14ac:dyDescent="0.25">
      <c r="A19" s="36"/>
      <c r="B19" s="36"/>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f t="shared" ca="1" si="9"/>
        <v>3991.4833501771441</v>
      </c>
      <c r="U19" s="42">
        <f t="shared" ca="1" si="0"/>
        <v>0</v>
      </c>
    </row>
    <row r="20" spans="1:21" x14ac:dyDescent="0.25">
      <c r="A20" s="36"/>
      <c r="B20" s="36"/>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f t="shared" ca="1" si="9"/>
        <v>4215.4870704828309</v>
      </c>
      <c r="U20" s="40">
        <f t="shared" ca="1" si="0"/>
        <v>1</v>
      </c>
    </row>
    <row r="21" spans="1:21" x14ac:dyDescent="0.25">
      <c r="A21" s="36"/>
      <c r="B21" s="36"/>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f t="shared" ca="1" si="9"/>
        <v>4439.4907907885172</v>
      </c>
      <c r="U21" s="42">
        <f t="shared" ca="1" si="0"/>
        <v>1</v>
      </c>
    </row>
    <row r="22" spans="1:21" x14ac:dyDescent="0.25">
      <c r="A22" s="36"/>
      <c r="B22" s="36"/>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f t="shared" ca="1" si="9"/>
        <v>4663.4945110942044</v>
      </c>
      <c r="U22" s="40">
        <f t="shared" ca="1" si="0"/>
        <v>0</v>
      </c>
    </row>
    <row r="23" spans="1:21" x14ac:dyDescent="0.25">
      <c r="A23" s="36"/>
      <c r="B23" s="36"/>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f t="shared" ca="1" si="9"/>
        <v>4887.4982313998917</v>
      </c>
      <c r="U23" s="42">
        <f t="shared" ca="1" si="0"/>
        <v>0</v>
      </c>
    </row>
    <row r="24" spans="1:21" x14ac:dyDescent="0.25">
      <c r="A24" s="36"/>
      <c r="B24" s="36"/>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f t="shared" ca="1" si="9"/>
        <v>5111.5019517055789</v>
      </c>
      <c r="U24" s="40">
        <f t="shared" ca="1" si="0"/>
        <v>3</v>
      </c>
    </row>
    <row r="25" spans="1:21" x14ac:dyDescent="0.25">
      <c r="A25" s="36"/>
      <c r="B25" s="36"/>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f t="shared" ca="1" si="9"/>
        <v>5335.5056720112661</v>
      </c>
      <c r="U25" s="42">
        <f t="shared" ca="1" si="0"/>
        <v>1</v>
      </c>
    </row>
    <row r="26" spans="1:21" x14ac:dyDescent="0.25">
      <c r="A26" s="36"/>
      <c r="B26" s="36"/>
      <c r="D26" s="34">
        <f t="shared" si="1"/>
        <v>0</v>
      </c>
      <c r="E26" s="3">
        <f>COUNTIF(Vertices[Degree], "&gt;= " &amp; D26) - COUNTIF(Vertices[Degree], "&gt;=" &amp; D27)</f>
        <v>0</v>
      </c>
      <c r="F26" s="39">
        <f t="shared" si="2"/>
        <v>0</v>
      </c>
      <c r="G26" s="40">
        <f>COUNTIF(Vertices[In-Degree], "&gt;= " &amp; F26) - COUNTIF(Vertices[In-Degree], "&gt;=" &amp; F27)</f>
        <v>0</v>
      </c>
      <c r="H26" s="39">
        <f t="shared" si="3"/>
        <v>0</v>
      </c>
      <c r="I26" s="40">
        <f>COUNTIF(Vertices[Out-Degree], "&gt;= " &amp; H26) - COUNTIF(Vertices[Out-Degree], "&gt;=" &amp; H27)</f>
        <v>0</v>
      </c>
      <c r="J26" s="39">
        <f t="shared" si="4"/>
        <v>0</v>
      </c>
      <c r="K26" s="40">
        <f>COUNTIF(Vertices[Betweenness Centrality], "&gt;= " &amp; J26) - COUNTIF(Vertices[Betweenness Centrality], "&gt;=" &amp; J27)</f>
        <v>0</v>
      </c>
      <c r="L26" s="39">
        <f t="shared" si="5"/>
        <v>0</v>
      </c>
      <c r="M26" s="40">
        <f>COUNTIF(Vertices[Closeness Centrality], "&gt;= " &amp; L26) - COUNTIF(Vertices[Closeness Centrality], "&gt;=" &amp; L27)</f>
        <v>0</v>
      </c>
      <c r="N26" s="39">
        <f t="shared" si="6"/>
        <v>0</v>
      </c>
      <c r="O26" s="40">
        <f>COUNTIF(Vertices[Eigenvector Centrality], "&gt;= " &amp; N26) - COUNTIF(Vertices[Eigenvector Centrality], "&gt;=" &amp; N27)</f>
        <v>0</v>
      </c>
      <c r="P26" s="39">
        <f t="shared" si="7"/>
        <v>0</v>
      </c>
      <c r="Q26" s="40">
        <f>COUNTIF(Vertices[PageRank], "&gt;= " &amp; P26) - COUNTIF(Vertices[PageRank], "&gt;=" &amp; P27)</f>
        <v>0</v>
      </c>
      <c r="R26" s="39">
        <f t="shared" si="8"/>
        <v>0</v>
      </c>
      <c r="S26" s="45">
        <f>COUNTIF(Vertices[Clustering Coefficient], "&gt;= " &amp; R26) - COUNTIF(Vertices[Clustering Coefficient], "&gt;=" &amp; R27)</f>
        <v>0</v>
      </c>
      <c r="T26" s="39">
        <f t="shared" ca="1" si="9"/>
        <v>5559.5093923169534</v>
      </c>
      <c r="U26" s="40">
        <f t="shared" ca="1" si="0"/>
        <v>0</v>
      </c>
    </row>
    <row r="27" spans="1:21" x14ac:dyDescent="0.25">
      <c r="D27" s="34">
        <f t="shared" si="1"/>
        <v>0</v>
      </c>
      <c r="E27" s="3">
        <f>COUNTIF(Vertices[Degree], "&gt;= " &amp; D27) - COUNTIF(Vertices[Degree], "&gt;=" &amp; D28)</f>
        <v>0</v>
      </c>
      <c r="F27" s="41">
        <f t="shared" si="2"/>
        <v>0</v>
      </c>
      <c r="G27" s="42">
        <f>COUNTIF(Vertices[In-Degree], "&gt;= " &amp; F27) - COUNTIF(Vertices[In-Degree], "&gt;=" &amp; F28)</f>
        <v>0</v>
      </c>
      <c r="H27" s="41">
        <f t="shared" si="3"/>
        <v>0</v>
      </c>
      <c r="I27" s="42">
        <f>COUNTIF(Vertices[Out-Degree], "&gt;= " &amp; H27) - COUNTIF(Vertices[Out-Degree], "&gt;=" &amp; H28)</f>
        <v>0</v>
      </c>
      <c r="J27" s="41">
        <f t="shared" si="4"/>
        <v>0</v>
      </c>
      <c r="K27" s="42">
        <f>COUNTIF(Vertices[Betweenness Centrality], "&gt;= " &amp; J27) - COUNTIF(Vertices[Betweenness Centrality], "&gt;=" &amp; J28)</f>
        <v>0</v>
      </c>
      <c r="L27" s="41">
        <f t="shared" si="5"/>
        <v>0</v>
      </c>
      <c r="M27" s="42">
        <f>COUNTIF(Vertices[Closeness Centrality], "&gt;= " &amp; L27) - COUNTIF(Vertices[Closeness Centrality], "&gt;=" &amp; L28)</f>
        <v>0</v>
      </c>
      <c r="N27" s="41">
        <f t="shared" si="6"/>
        <v>0</v>
      </c>
      <c r="O27" s="42">
        <f>COUNTIF(Vertices[Eigenvector Centrality], "&gt;= " &amp; N27) - COUNTIF(Vertices[Eigenvector Centrality], "&gt;=" &amp; N28)</f>
        <v>0</v>
      </c>
      <c r="P27" s="41">
        <f t="shared" si="7"/>
        <v>0</v>
      </c>
      <c r="Q27" s="42">
        <f>COUNTIF(Vertices[PageRank], "&gt;= " &amp; P27) - COUNTIF(Vertices[PageRank], "&gt;=" &amp; P28)</f>
        <v>0</v>
      </c>
      <c r="R27" s="41">
        <f t="shared" si="8"/>
        <v>0</v>
      </c>
      <c r="S27" s="46">
        <f>COUNTIF(Vertices[Clustering Coefficient], "&gt;= " &amp; R27) - COUNTIF(Vertices[Clustering Coefficient], "&gt;=" &amp; R28)</f>
        <v>0</v>
      </c>
      <c r="T27" s="41">
        <f t="shared" ca="1" si="9"/>
        <v>5783.5131126226406</v>
      </c>
      <c r="U27" s="42">
        <f t="shared" ca="1" si="0"/>
        <v>1</v>
      </c>
    </row>
    <row r="28" spans="1:21" x14ac:dyDescent="0.25">
      <c r="D28" s="34">
        <f t="shared" si="1"/>
        <v>0</v>
      </c>
      <c r="E28" s="3">
        <f>COUNTIF(Vertices[Degree], "&gt;= " &amp; D28) - COUNTIF(Vertices[Degree], "&gt;=" &amp; D29)</f>
        <v>0</v>
      </c>
      <c r="F28" s="39">
        <f t="shared" si="2"/>
        <v>0</v>
      </c>
      <c r="G28" s="40">
        <f>COUNTIF(Vertices[In-Degree], "&gt;= " &amp; F28) - COUNTIF(Vertices[In-Degree], "&gt;=" &amp; F29)</f>
        <v>0</v>
      </c>
      <c r="H28" s="39">
        <f t="shared" si="3"/>
        <v>0</v>
      </c>
      <c r="I28" s="40">
        <f>COUNTIF(Vertices[Out-Degree], "&gt;= " &amp; H28) - COUNTIF(Vertices[Out-Degree], "&gt;=" &amp; H29)</f>
        <v>0</v>
      </c>
      <c r="J28" s="39">
        <f t="shared" si="4"/>
        <v>0</v>
      </c>
      <c r="K28" s="40">
        <f>COUNTIF(Vertices[Betweenness Centrality], "&gt;= " &amp; J28) - COUNTIF(Vertices[Betweenness Centrality], "&gt;=" &amp; J29)</f>
        <v>0</v>
      </c>
      <c r="L28" s="39">
        <f t="shared" si="5"/>
        <v>0</v>
      </c>
      <c r="M28" s="40">
        <f>COUNTIF(Vertices[Closeness Centrality], "&gt;= " &amp; L28) - COUNTIF(Vertices[Closeness Centrality], "&gt;=" &amp; L29)</f>
        <v>0</v>
      </c>
      <c r="N28" s="39">
        <f t="shared" si="6"/>
        <v>0</v>
      </c>
      <c r="O28" s="40">
        <f>COUNTIF(Vertices[Eigenvector Centrality], "&gt;= " &amp; N28) - COUNTIF(Vertices[Eigenvector Centrality], "&gt;=" &amp; N29)</f>
        <v>0</v>
      </c>
      <c r="P28" s="39">
        <f t="shared" si="7"/>
        <v>0</v>
      </c>
      <c r="Q28" s="40">
        <f>COUNTIF(Vertices[PageRank], "&gt;= " &amp; P28) - COUNTIF(Vertices[PageRank], "&gt;=" &amp; P29)</f>
        <v>0</v>
      </c>
      <c r="R28" s="39">
        <f t="shared" si="8"/>
        <v>0</v>
      </c>
      <c r="S28" s="45">
        <f>COUNTIF(Vertices[Clustering Coefficient], "&gt;= " &amp; R28) - COUNTIF(Vertices[Clustering Coefficient], "&gt;=" &amp; R29)</f>
        <v>0</v>
      </c>
      <c r="T28" s="39">
        <f t="shared" ca="1" si="9"/>
        <v>6007.5168329283279</v>
      </c>
      <c r="U28" s="40">
        <f t="shared" ca="1" si="0"/>
        <v>1</v>
      </c>
    </row>
    <row r="29" spans="1:21" x14ac:dyDescent="0.25">
      <c r="A29" t="s">
        <v>163</v>
      </c>
      <c r="B29" t="s">
        <v>17</v>
      </c>
      <c r="D29" s="34">
        <f t="shared" si="1"/>
        <v>0</v>
      </c>
      <c r="E29" s="3">
        <f>COUNTIF(Vertices[Degree], "&gt;= " &amp; D29) - COUNTIF(Vertices[Degree], "&gt;=" &amp; D30)</f>
        <v>0</v>
      </c>
      <c r="F29" s="41">
        <f t="shared" si="2"/>
        <v>0</v>
      </c>
      <c r="G29" s="42">
        <f>COUNTIF(Vertices[In-Degree], "&gt;= " &amp; F29) - COUNTIF(Vertices[In-Degree], "&gt;=" &amp; F30)</f>
        <v>0</v>
      </c>
      <c r="H29" s="41">
        <f t="shared" si="3"/>
        <v>0</v>
      </c>
      <c r="I29" s="42">
        <f>COUNTIF(Vertices[Out-Degree], "&gt;= " &amp; H29) - COUNTIF(Vertices[Out-Degree], "&gt;=" &amp; H30)</f>
        <v>0</v>
      </c>
      <c r="J29" s="41">
        <f t="shared" si="4"/>
        <v>0</v>
      </c>
      <c r="K29" s="42">
        <f>COUNTIF(Vertices[Betweenness Centrality], "&gt;= " &amp; J29) - COUNTIF(Vertices[Betweenness Centrality], "&gt;=" &amp; J30)</f>
        <v>0</v>
      </c>
      <c r="L29" s="41">
        <f t="shared" si="5"/>
        <v>0</v>
      </c>
      <c r="M29" s="42">
        <f>COUNTIF(Vertices[Closeness Centrality], "&gt;= " &amp; L29) - COUNTIF(Vertices[Closeness Centrality], "&gt;=" &amp; L30)</f>
        <v>0</v>
      </c>
      <c r="N29" s="41">
        <f t="shared" si="6"/>
        <v>0</v>
      </c>
      <c r="O29" s="42">
        <f>COUNTIF(Vertices[Eigenvector Centrality], "&gt;= " &amp; N29) - COUNTIF(Vertices[Eigenvector Centrality], "&gt;=" &amp; N30)</f>
        <v>0</v>
      </c>
      <c r="P29" s="41">
        <f t="shared" si="7"/>
        <v>0</v>
      </c>
      <c r="Q29" s="42">
        <f>COUNTIF(Vertices[PageRank], "&gt;= " &amp; P29) - COUNTIF(Vertices[PageRank], "&gt;=" &amp; P30)</f>
        <v>0</v>
      </c>
      <c r="R29" s="41">
        <f t="shared" si="8"/>
        <v>0</v>
      </c>
      <c r="S29" s="46">
        <f>COUNTIF(Vertices[Clustering Coefficient], "&gt;= " &amp; R29) - COUNTIF(Vertices[Clustering Coefficient], "&gt;=" &amp; R30)</f>
        <v>0</v>
      </c>
      <c r="T29" s="41">
        <f t="shared" ca="1" si="9"/>
        <v>6231.5205532340151</v>
      </c>
      <c r="U29" s="42">
        <f t="shared" ca="1" si="0"/>
        <v>2</v>
      </c>
    </row>
    <row r="30" spans="1:21" x14ac:dyDescent="0.25">
      <c r="A30" s="35"/>
      <c r="B30" s="35"/>
      <c r="D30" s="34">
        <f t="shared" si="1"/>
        <v>0</v>
      </c>
      <c r="E30" s="3">
        <f>COUNTIF(Vertices[Degree], "&gt;= " &amp; D30) - COUNTIF(Vertices[Degree], "&gt;=" &amp; D31)</f>
        <v>0</v>
      </c>
      <c r="F30" s="39">
        <f t="shared" si="2"/>
        <v>0</v>
      </c>
      <c r="G30" s="40">
        <f>COUNTIF(Vertices[In-Degree], "&gt;= " &amp; F30) - COUNTIF(Vertices[In-Degree], "&gt;=" &amp; F31)</f>
        <v>0</v>
      </c>
      <c r="H30" s="39">
        <f t="shared" si="3"/>
        <v>0</v>
      </c>
      <c r="I30" s="40">
        <f>COUNTIF(Vertices[Out-Degree], "&gt;= " &amp; H30) - COUNTIF(Vertices[Out-Degree], "&gt;=" &amp; H31)</f>
        <v>0</v>
      </c>
      <c r="J30" s="39">
        <f t="shared" si="4"/>
        <v>0</v>
      </c>
      <c r="K30" s="40">
        <f>COUNTIF(Vertices[Betweenness Centrality], "&gt;= " &amp; J30) - COUNTIF(Vertices[Betweenness Centrality], "&gt;=" &amp; J31)</f>
        <v>0</v>
      </c>
      <c r="L30" s="39">
        <f t="shared" si="5"/>
        <v>0</v>
      </c>
      <c r="M30" s="40">
        <f>COUNTIF(Vertices[Closeness Centrality], "&gt;= " &amp; L30) - COUNTIF(Vertices[Closeness Centrality], "&gt;=" &amp; L31)</f>
        <v>0</v>
      </c>
      <c r="N30" s="39">
        <f t="shared" si="6"/>
        <v>0</v>
      </c>
      <c r="O30" s="40">
        <f>COUNTIF(Vertices[Eigenvector Centrality], "&gt;= " &amp; N30) - COUNTIF(Vertices[Eigenvector Centrality], "&gt;=" &amp; N31)</f>
        <v>0</v>
      </c>
      <c r="P30" s="39">
        <f t="shared" si="7"/>
        <v>0</v>
      </c>
      <c r="Q30" s="40">
        <f>COUNTIF(Vertices[PageRank], "&gt;= " &amp; P30) - COUNTIF(Vertices[PageRank], "&gt;=" &amp; P31)</f>
        <v>0</v>
      </c>
      <c r="R30" s="39">
        <f t="shared" si="8"/>
        <v>0</v>
      </c>
      <c r="S30" s="45">
        <f>COUNTIF(Vertices[Clustering Coefficient], "&gt;= " &amp; R30) - COUNTIF(Vertices[Clustering Coefficient], "&gt;=" &amp; R31)</f>
        <v>0</v>
      </c>
      <c r="T30" s="39">
        <f t="shared" ca="1" si="9"/>
        <v>6455.5242735397023</v>
      </c>
      <c r="U30" s="40">
        <f t="shared" ca="1" si="0"/>
        <v>0</v>
      </c>
    </row>
    <row r="31" spans="1:21" x14ac:dyDescent="0.25">
      <c r="A31" s="35"/>
      <c r="B31" s="35"/>
      <c r="D31" s="34">
        <f t="shared" si="1"/>
        <v>0</v>
      </c>
      <c r="E31" s="3">
        <f>COUNTIF(Vertices[Degree], "&gt;= " &amp; D31) - COUNTIF(Vertices[Degree], "&gt;=" &amp; D32)</f>
        <v>0</v>
      </c>
      <c r="F31" s="41">
        <f t="shared" si="2"/>
        <v>0</v>
      </c>
      <c r="G31" s="42">
        <f>COUNTIF(Vertices[In-Degree], "&gt;= " &amp; F31) - COUNTIF(Vertices[In-Degree], "&gt;=" &amp; F32)</f>
        <v>0</v>
      </c>
      <c r="H31" s="41">
        <f t="shared" si="3"/>
        <v>0</v>
      </c>
      <c r="I31" s="42">
        <f>COUNTIF(Vertices[Out-Degree], "&gt;= " &amp; H31) - COUNTIF(Vertices[Out-Degree], "&gt;=" &amp; H32)</f>
        <v>0</v>
      </c>
      <c r="J31" s="41">
        <f t="shared" si="4"/>
        <v>0</v>
      </c>
      <c r="K31" s="42">
        <f>COUNTIF(Vertices[Betweenness Centrality], "&gt;= " &amp; J31) - COUNTIF(Vertices[Betweenness Centrality], "&gt;=" &amp; J32)</f>
        <v>0</v>
      </c>
      <c r="L31" s="41">
        <f t="shared" si="5"/>
        <v>0</v>
      </c>
      <c r="M31" s="42">
        <f>COUNTIF(Vertices[Closeness Centrality], "&gt;= " &amp; L31) - COUNTIF(Vertices[Closeness Centrality], "&gt;=" &amp; L32)</f>
        <v>0</v>
      </c>
      <c r="N31" s="41">
        <f t="shared" si="6"/>
        <v>0</v>
      </c>
      <c r="O31" s="42">
        <f>COUNTIF(Vertices[Eigenvector Centrality], "&gt;= " &amp; N31) - COUNTIF(Vertices[Eigenvector Centrality], "&gt;=" &amp; N32)</f>
        <v>0</v>
      </c>
      <c r="P31" s="41">
        <f t="shared" si="7"/>
        <v>0</v>
      </c>
      <c r="Q31" s="42">
        <f>COUNTIF(Vertices[PageRank], "&gt;= " &amp; P31) - COUNTIF(Vertices[PageRank], "&gt;=" &amp; P32)</f>
        <v>0</v>
      </c>
      <c r="R31" s="41">
        <f t="shared" si="8"/>
        <v>0</v>
      </c>
      <c r="S31" s="46">
        <f>COUNTIF(Vertices[Clustering Coefficient], "&gt;= " &amp; R31) - COUNTIF(Vertices[Clustering Coefficient], "&gt;=" &amp; R32)</f>
        <v>0</v>
      </c>
      <c r="T31" s="41">
        <f t="shared" ca="1" si="9"/>
        <v>6679.5279938453896</v>
      </c>
      <c r="U31" s="42">
        <f t="shared" ca="1" si="0"/>
        <v>0</v>
      </c>
    </row>
    <row r="32" spans="1:21" x14ac:dyDescent="0.25">
      <c r="A32" s="35"/>
      <c r="B32" s="35"/>
      <c r="D32" s="34">
        <f t="shared" si="1"/>
        <v>0</v>
      </c>
      <c r="E32" s="3">
        <f>COUNTIF(Vertices[Degree], "&gt;= " &amp; D32) - COUNTIF(Vertices[Degree], "&gt;=" &amp; D33)</f>
        <v>0</v>
      </c>
      <c r="F32" s="39">
        <f t="shared" si="2"/>
        <v>0</v>
      </c>
      <c r="G32" s="40">
        <f>COUNTIF(Vertices[In-Degree], "&gt;= " &amp; F32) - COUNTIF(Vertices[In-Degree], "&gt;=" &amp; F33)</f>
        <v>0</v>
      </c>
      <c r="H32" s="39">
        <f t="shared" si="3"/>
        <v>0</v>
      </c>
      <c r="I32" s="40">
        <f>COUNTIF(Vertices[Out-Degree], "&gt;= " &amp; H32) - COUNTIF(Vertices[Out-Degree], "&gt;=" &amp; H33)</f>
        <v>0</v>
      </c>
      <c r="J32" s="39">
        <f t="shared" si="4"/>
        <v>0</v>
      </c>
      <c r="K32" s="40">
        <f>COUNTIF(Vertices[Betweenness Centrality], "&gt;= " &amp; J32) - COUNTIF(Vertices[Betweenness Centrality], "&gt;=" &amp; J33)</f>
        <v>0</v>
      </c>
      <c r="L32" s="39">
        <f t="shared" si="5"/>
        <v>0</v>
      </c>
      <c r="M32" s="40">
        <f>COUNTIF(Vertices[Closeness Centrality], "&gt;= " &amp; L32) - COUNTIF(Vertices[Closeness Centrality], "&gt;=" &amp; L33)</f>
        <v>0</v>
      </c>
      <c r="N32" s="39">
        <f t="shared" si="6"/>
        <v>0</v>
      </c>
      <c r="O32" s="40">
        <f>COUNTIF(Vertices[Eigenvector Centrality], "&gt;= " &amp; N32) - COUNTIF(Vertices[Eigenvector Centrality], "&gt;=" &amp; N33)</f>
        <v>0</v>
      </c>
      <c r="P32" s="39">
        <f t="shared" si="7"/>
        <v>0</v>
      </c>
      <c r="Q32" s="40">
        <f>COUNTIF(Vertices[PageRank], "&gt;= " &amp; P32) - COUNTIF(Vertices[PageRank], "&gt;=" &amp; P33)</f>
        <v>0</v>
      </c>
      <c r="R32" s="39">
        <f t="shared" si="8"/>
        <v>0</v>
      </c>
      <c r="S32" s="45">
        <f>COUNTIF(Vertices[Clustering Coefficient], "&gt;= " &amp; R32) - COUNTIF(Vertices[Clustering Coefficient], "&gt;=" &amp; R33)</f>
        <v>0</v>
      </c>
      <c r="T32" s="39">
        <f t="shared" ca="1" si="9"/>
        <v>6903.5317141510768</v>
      </c>
      <c r="U32" s="40">
        <f t="shared" ca="1" si="0"/>
        <v>2</v>
      </c>
    </row>
    <row r="33" spans="1:21" x14ac:dyDescent="0.25">
      <c r="D33" s="34">
        <f t="shared" si="1"/>
        <v>0</v>
      </c>
      <c r="E33" s="3">
        <f>COUNTIF(Vertices[Degree], "&gt;= " &amp; D33) - COUNTIF(Vertices[Degree], "&gt;=" &amp; D34)</f>
        <v>0</v>
      </c>
      <c r="F33" s="41">
        <f t="shared" si="2"/>
        <v>0</v>
      </c>
      <c r="G33" s="42">
        <f>COUNTIF(Vertices[In-Degree], "&gt;= " &amp; F33) - COUNTIF(Vertices[In-Degree], "&gt;=" &amp; F34)</f>
        <v>0</v>
      </c>
      <c r="H33" s="41">
        <f t="shared" si="3"/>
        <v>0</v>
      </c>
      <c r="I33" s="42">
        <f>COUNTIF(Vertices[Out-Degree], "&gt;= " &amp; H33) - COUNTIF(Vertices[Out-Degree], "&gt;=" &amp; H34)</f>
        <v>0</v>
      </c>
      <c r="J33" s="41">
        <f t="shared" si="4"/>
        <v>0</v>
      </c>
      <c r="K33" s="42">
        <f>COUNTIF(Vertices[Betweenness Centrality], "&gt;= " &amp; J33) - COUNTIF(Vertices[Betweenness Centrality], "&gt;=" &amp; J34)</f>
        <v>0</v>
      </c>
      <c r="L33" s="41">
        <f t="shared" si="5"/>
        <v>0</v>
      </c>
      <c r="M33" s="42">
        <f>COUNTIF(Vertices[Closeness Centrality], "&gt;= " &amp; L33) - COUNTIF(Vertices[Closeness Centrality], "&gt;=" &amp; L34)</f>
        <v>0</v>
      </c>
      <c r="N33" s="41">
        <f t="shared" si="6"/>
        <v>0</v>
      </c>
      <c r="O33" s="42">
        <f>COUNTIF(Vertices[Eigenvector Centrality], "&gt;= " &amp; N33) - COUNTIF(Vertices[Eigenvector Centrality], "&gt;=" &amp; N34)</f>
        <v>0</v>
      </c>
      <c r="P33" s="41">
        <f t="shared" si="7"/>
        <v>0</v>
      </c>
      <c r="Q33" s="42">
        <f>COUNTIF(Vertices[PageRank], "&gt;= " &amp; P33) - COUNTIF(Vertices[PageRank], "&gt;=" &amp; P34)</f>
        <v>0</v>
      </c>
      <c r="R33" s="41">
        <f t="shared" si="8"/>
        <v>0</v>
      </c>
      <c r="S33" s="46">
        <f>COUNTIF(Vertices[Clustering Coefficient], "&gt;= " &amp; R33) - COUNTIF(Vertices[Clustering Coefficient], "&gt;=" &amp; R34)</f>
        <v>0</v>
      </c>
      <c r="T33" s="41">
        <f t="shared" ca="1" si="9"/>
        <v>7127.5354344567641</v>
      </c>
      <c r="U33" s="42">
        <f t="shared" ca="1" si="0"/>
        <v>0</v>
      </c>
    </row>
    <row r="34" spans="1:21" x14ac:dyDescent="0.25">
      <c r="D34" s="34">
        <f t="shared" si="1"/>
        <v>0</v>
      </c>
      <c r="E34" s="3">
        <f>COUNTIF(Vertices[Degree], "&gt;= " &amp; D34) - COUNTIF(Vertices[Degree], "&gt;=" &amp; D35)</f>
        <v>0</v>
      </c>
      <c r="F34" s="39">
        <f t="shared" si="2"/>
        <v>0</v>
      </c>
      <c r="G34" s="40">
        <f>COUNTIF(Vertices[In-Degree], "&gt;= " &amp; F34) - COUNTIF(Vertices[In-Degree], "&gt;=" &amp; F35)</f>
        <v>0</v>
      </c>
      <c r="H34" s="39">
        <f t="shared" si="3"/>
        <v>0</v>
      </c>
      <c r="I34" s="40">
        <f>COUNTIF(Vertices[Out-Degree], "&gt;= " &amp; H34) - COUNTIF(Vertices[Out-Degree], "&gt;=" &amp; H35)</f>
        <v>0</v>
      </c>
      <c r="J34" s="39">
        <f t="shared" si="4"/>
        <v>0</v>
      </c>
      <c r="K34" s="40">
        <f>COUNTIF(Vertices[Betweenness Centrality], "&gt;= " &amp; J34) - COUNTIF(Vertices[Betweenness Centrality], "&gt;=" &amp; J35)</f>
        <v>0</v>
      </c>
      <c r="L34" s="39">
        <f t="shared" si="5"/>
        <v>0</v>
      </c>
      <c r="M34" s="40">
        <f>COUNTIF(Vertices[Closeness Centrality], "&gt;= " &amp; L34) - COUNTIF(Vertices[Closeness Centrality], "&gt;=" &amp; L35)</f>
        <v>0</v>
      </c>
      <c r="N34" s="39">
        <f t="shared" si="6"/>
        <v>0</v>
      </c>
      <c r="O34" s="40">
        <f>COUNTIF(Vertices[Eigenvector Centrality], "&gt;= " &amp; N34) - COUNTIF(Vertices[Eigenvector Centrality], "&gt;=" &amp; N35)</f>
        <v>0</v>
      </c>
      <c r="P34" s="39">
        <f t="shared" si="7"/>
        <v>0</v>
      </c>
      <c r="Q34" s="40">
        <f>COUNTIF(Vertices[PageRank], "&gt;= " &amp; P34) - COUNTIF(Vertices[PageRank], "&gt;=" &amp; P35)</f>
        <v>0</v>
      </c>
      <c r="R34" s="39">
        <f t="shared" si="8"/>
        <v>0</v>
      </c>
      <c r="S34" s="45">
        <f>COUNTIF(Vertices[Clustering Coefficient], "&gt;= " &amp; R34) - COUNTIF(Vertices[Clustering Coefficient], "&gt;=" &amp; R35)</f>
        <v>0</v>
      </c>
      <c r="T34" s="39">
        <f t="shared" ca="1" si="9"/>
        <v>7351.5391547624513</v>
      </c>
      <c r="U34" s="40">
        <f t="shared" ca="1" si="0"/>
        <v>1</v>
      </c>
    </row>
    <row r="35" spans="1:21" x14ac:dyDescent="0.25">
      <c r="D35" s="34">
        <f t="shared" si="1"/>
        <v>0</v>
      </c>
      <c r="E35" s="3">
        <f>COUNTIF(Vertices[Degree], "&gt;= " &amp; D35) - COUNTIF(Vertices[Degree], "&gt;=" &amp; D36)</f>
        <v>0</v>
      </c>
      <c r="F35" s="41">
        <f t="shared" si="2"/>
        <v>0</v>
      </c>
      <c r="G35" s="42">
        <f>COUNTIF(Vertices[In-Degree], "&gt;= " &amp; F35) - COUNTIF(Vertices[In-Degree], "&gt;=" &amp; F36)</f>
        <v>0</v>
      </c>
      <c r="H35" s="41">
        <f t="shared" si="3"/>
        <v>0</v>
      </c>
      <c r="I35" s="42">
        <f>COUNTIF(Vertices[Out-Degree], "&gt;= " &amp; H35) - COUNTIF(Vertices[Out-Degree], "&gt;=" &amp; H36)</f>
        <v>0</v>
      </c>
      <c r="J35" s="41">
        <f t="shared" si="4"/>
        <v>0</v>
      </c>
      <c r="K35" s="42">
        <f>COUNTIF(Vertices[Betweenness Centrality], "&gt;= " &amp; J35) - COUNTIF(Vertices[Betweenness Centrality], "&gt;=" &amp; J36)</f>
        <v>0</v>
      </c>
      <c r="L35" s="41">
        <f t="shared" si="5"/>
        <v>0</v>
      </c>
      <c r="M35" s="42">
        <f>COUNTIF(Vertices[Closeness Centrality], "&gt;= " &amp; L35) - COUNTIF(Vertices[Closeness Centrality], "&gt;=" &amp; L36)</f>
        <v>0</v>
      </c>
      <c r="N35" s="41">
        <f t="shared" si="6"/>
        <v>0</v>
      </c>
      <c r="O35" s="42">
        <f>COUNTIF(Vertices[Eigenvector Centrality], "&gt;= " &amp; N35) - COUNTIF(Vertices[Eigenvector Centrality], "&gt;=" &amp; N36)</f>
        <v>0</v>
      </c>
      <c r="P35" s="41">
        <f t="shared" si="7"/>
        <v>0</v>
      </c>
      <c r="Q35" s="42">
        <f>COUNTIF(Vertices[PageRank], "&gt;= " &amp; P35) - COUNTIF(Vertices[PageRank], "&gt;=" &amp; P36)</f>
        <v>0</v>
      </c>
      <c r="R35" s="41">
        <f t="shared" si="8"/>
        <v>0</v>
      </c>
      <c r="S35" s="46">
        <f>COUNTIF(Vertices[Clustering Coefficient], "&gt;= " &amp; R35) - COUNTIF(Vertices[Clustering Coefficient], "&gt;=" &amp; R36)</f>
        <v>0</v>
      </c>
      <c r="T35" s="41">
        <f t="shared" ca="1" si="9"/>
        <v>7575.5428750681385</v>
      </c>
      <c r="U35" s="42">
        <f t="shared" ca="1" si="0"/>
        <v>0</v>
      </c>
    </row>
    <row r="36" spans="1:21" x14ac:dyDescent="0.25">
      <c r="D36" s="34">
        <f t="shared" si="1"/>
        <v>0</v>
      </c>
      <c r="E36" s="3">
        <f>COUNTIF(Vertices[Degree], "&gt;= " &amp; D36) - COUNTIF(Vertices[Degree], "&gt;=" &amp; D37)</f>
        <v>0</v>
      </c>
      <c r="F36" s="39">
        <f t="shared" si="2"/>
        <v>0</v>
      </c>
      <c r="G36" s="40">
        <f>COUNTIF(Vertices[In-Degree], "&gt;= " &amp; F36) - COUNTIF(Vertices[In-Degree], "&gt;=" &amp; F37)</f>
        <v>0</v>
      </c>
      <c r="H36" s="39">
        <f t="shared" si="3"/>
        <v>0</v>
      </c>
      <c r="I36" s="40">
        <f>COUNTIF(Vertices[Out-Degree], "&gt;= " &amp; H36) - COUNTIF(Vertices[Out-Degree], "&gt;=" &amp; H37)</f>
        <v>0</v>
      </c>
      <c r="J36" s="39">
        <f t="shared" si="4"/>
        <v>0</v>
      </c>
      <c r="K36" s="40">
        <f>COUNTIF(Vertices[Betweenness Centrality], "&gt;= " &amp; J36) - COUNTIF(Vertices[Betweenness Centrality], "&gt;=" &amp; J37)</f>
        <v>0</v>
      </c>
      <c r="L36" s="39">
        <f t="shared" si="5"/>
        <v>0</v>
      </c>
      <c r="M36" s="40">
        <f>COUNTIF(Vertices[Closeness Centrality], "&gt;= " &amp; L36) - COUNTIF(Vertices[Closeness Centrality], "&gt;=" &amp; L37)</f>
        <v>0</v>
      </c>
      <c r="N36" s="39">
        <f t="shared" si="6"/>
        <v>0</v>
      </c>
      <c r="O36" s="40">
        <f>COUNTIF(Vertices[Eigenvector Centrality], "&gt;= " &amp; N36) - COUNTIF(Vertices[Eigenvector Centrality], "&gt;=" &amp; N37)</f>
        <v>0</v>
      </c>
      <c r="P36" s="39">
        <f t="shared" si="7"/>
        <v>0</v>
      </c>
      <c r="Q36" s="40">
        <f>COUNTIF(Vertices[PageRank], "&gt;= " &amp; P36) - COUNTIF(Vertices[PageRank], "&gt;=" &amp; P37)</f>
        <v>0</v>
      </c>
      <c r="R36" s="39">
        <f t="shared" si="8"/>
        <v>0</v>
      </c>
      <c r="S36" s="45">
        <f>COUNTIF(Vertices[Clustering Coefficient], "&gt;= " &amp; R36) - COUNTIF(Vertices[Clustering Coefficient], "&gt;=" &amp; R37)</f>
        <v>0</v>
      </c>
      <c r="T36" s="39">
        <f t="shared" ca="1" si="9"/>
        <v>7799.5465953738258</v>
      </c>
      <c r="U36" s="40">
        <f t="shared" ca="1" si="0"/>
        <v>1</v>
      </c>
    </row>
    <row r="37" spans="1:21" x14ac:dyDescent="0.25">
      <c r="D37" s="34">
        <f t="shared" si="1"/>
        <v>0</v>
      </c>
      <c r="E37" s="3">
        <f>COUNTIF(Vertices[Degree], "&gt;= " &amp; D37) - COUNTIF(Vertices[Degree], "&gt;=" &amp; D38)</f>
        <v>0</v>
      </c>
      <c r="F37" s="41">
        <f t="shared" si="2"/>
        <v>0</v>
      </c>
      <c r="G37" s="42">
        <f>COUNTIF(Vertices[In-Degree], "&gt;= " &amp; F37) - COUNTIF(Vertices[In-Degree], "&gt;=" &amp; F38)</f>
        <v>0</v>
      </c>
      <c r="H37" s="41">
        <f t="shared" si="3"/>
        <v>0</v>
      </c>
      <c r="I37" s="42">
        <f>COUNTIF(Vertices[Out-Degree], "&gt;= " &amp; H37) - COUNTIF(Vertices[Out-Degree], "&gt;=" &amp; H38)</f>
        <v>0</v>
      </c>
      <c r="J37" s="41">
        <f t="shared" si="4"/>
        <v>0</v>
      </c>
      <c r="K37" s="42">
        <f>COUNTIF(Vertices[Betweenness Centrality], "&gt;= " &amp; J37) - COUNTIF(Vertices[Betweenness Centrality], "&gt;=" &amp; J38)</f>
        <v>0</v>
      </c>
      <c r="L37" s="41">
        <f t="shared" si="5"/>
        <v>0</v>
      </c>
      <c r="M37" s="42">
        <f>COUNTIF(Vertices[Closeness Centrality], "&gt;= " &amp; L37) - COUNTIF(Vertices[Closeness Centrality], "&gt;=" &amp; L38)</f>
        <v>0</v>
      </c>
      <c r="N37" s="41">
        <f t="shared" si="6"/>
        <v>0</v>
      </c>
      <c r="O37" s="42">
        <f>COUNTIF(Vertices[Eigenvector Centrality], "&gt;= " &amp; N37) - COUNTIF(Vertices[Eigenvector Centrality], "&gt;=" &amp; N38)</f>
        <v>0</v>
      </c>
      <c r="P37" s="41">
        <f t="shared" si="7"/>
        <v>0</v>
      </c>
      <c r="Q37" s="42">
        <f>COUNTIF(Vertices[PageRank], "&gt;= " &amp; P37) - COUNTIF(Vertices[PageRank], "&gt;=" &amp; P38)</f>
        <v>0</v>
      </c>
      <c r="R37" s="41">
        <f t="shared" si="8"/>
        <v>0</v>
      </c>
      <c r="S37" s="46">
        <f>COUNTIF(Vertices[Clustering Coefficient], "&gt;= " &amp; R37) - COUNTIF(Vertices[Clustering Coefficient], "&gt;=" &amp; R38)</f>
        <v>0</v>
      </c>
      <c r="T37" s="41">
        <f t="shared" ca="1" si="9"/>
        <v>8023.550315679513</v>
      </c>
      <c r="U37" s="42">
        <f t="shared" ca="1" si="0"/>
        <v>1</v>
      </c>
    </row>
    <row r="38" spans="1:21" x14ac:dyDescent="0.25">
      <c r="D38" s="34">
        <f t="shared" si="1"/>
        <v>0</v>
      </c>
      <c r="E38" s="3">
        <f>COUNTIF(Vertices[Degree], "&gt;= " &amp; D38) - COUNTIF(Vertices[Degree], "&gt;=" &amp; D39)</f>
        <v>0</v>
      </c>
      <c r="F38" s="39">
        <f t="shared" si="2"/>
        <v>0</v>
      </c>
      <c r="G38" s="40">
        <f>COUNTIF(Vertices[In-Degree], "&gt;= " &amp; F38) - COUNTIF(Vertices[In-Degree], "&gt;=" &amp; F39)</f>
        <v>0</v>
      </c>
      <c r="H38" s="39">
        <f t="shared" si="3"/>
        <v>0</v>
      </c>
      <c r="I38" s="40">
        <f>COUNTIF(Vertices[Out-Degree], "&gt;= " &amp; H38) - COUNTIF(Vertices[Out-Degree], "&gt;=" &amp; H39)</f>
        <v>0</v>
      </c>
      <c r="J38" s="39">
        <f t="shared" si="4"/>
        <v>0</v>
      </c>
      <c r="K38" s="40">
        <f>COUNTIF(Vertices[Betweenness Centrality], "&gt;= " &amp; J38) - COUNTIF(Vertices[Betweenness Centrality], "&gt;=" &amp; J39)</f>
        <v>0</v>
      </c>
      <c r="L38" s="39">
        <f t="shared" si="5"/>
        <v>0</v>
      </c>
      <c r="M38" s="40">
        <f>COUNTIF(Vertices[Closeness Centrality], "&gt;= " &amp; L38) - COUNTIF(Vertices[Closeness Centrality], "&gt;=" &amp; L39)</f>
        <v>0</v>
      </c>
      <c r="N38" s="39">
        <f t="shared" si="6"/>
        <v>0</v>
      </c>
      <c r="O38" s="40">
        <f>COUNTIF(Vertices[Eigenvector Centrality], "&gt;= " &amp; N38) - COUNTIF(Vertices[Eigenvector Centrality], "&gt;=" &amp; N39)</f>
        <v>0</v>
      </c>
      <c r="P38" s="39">
        <f t="shared" si="7"/>
        <v>0</v>
      </c>
      <c r="Q38" s="40">
        <f>COUNTIF(Vertices[PageRank], "&gt;= " &amp; P38) - COUNTIF(Vertices[PageRank], "&gt;=" &amp; P39)</f>
        <v>0</v>
      </c>
      <c r="R38" s="39">
        <f t="shared" si="8"/>
        <v>0</v>
      </c>
      <c r="S38" s="45">
        <f>COUNTIF(Vertices[Clustering Coefficient], "&gt;= " &amp; R38) - COUNTIF(Vertices[Clustering Coefficient], "&gt;=" &amp; R39)</f>
        <v>0</v>
      </c>
      <c r="T38" s="39">
        <f t="shared" ca="1" si="9"/>
        <v>8247.5540359852002</v>
      </c>
      <c r="U38" s="40">
        <f t="shared" ca="1" si="0"/>
        <v>1</v>
      </c>
    </row>
    <row r="39" spans="1:21" x14ac:dyDescent="0.25">
      <c r="D39" s="34">
        <f t="shared" si="1"/>
        <v>0</v>
      </c>
      <c r="E39" s="3">
        <f>COUNTIF(Vertices[Degree], "&gt;= " &amp; D39) - COUNTIF(Vertices[Degree], "&gt;=" &amp; D40)</f>
        <v>0</v>
      </c>
      <c r="F39" s="41">
        <f t="shared" si="2"/>
        <v>0</v>
      </c>
      <c r="G39" s="42">
        <f>COUNTIF(Vertices[In-Degree], "&gt;= " &amp; F39) - COUNTIF(Vertices[In-Degree], "&gt;=" &amp; F40)</f>
        <v>0</v>
      </c>
      <c r="H39" s="41">
        <f t="shared" si="3"/>
        <v>0</v>
      </c>
      <c r="I39" s="42">
        <f>COUNTIF(Vertices[Out-Degree], "&gt;= " &amp; H39) - COUNTIF(Vertices[Out-Degree], "&gt;=" &amp; H40)</f>
        <v>0</v>
      </c>
      <c r="J39" s="41">
        <f t="shared" si="4"/>
        <v>0</v>
      </c>
      <c r="K39" s="42">
        <f>COUNTIF(Vertices[Betweenness Centrality], "&gt;= " &amp; J39) - COUNTIF(Vertices[Betweenness Centrality], "&gt;=" &amp; J40)</f>
        <v>0</v>
      </c>
      <c r="L39" s="41">
        <f t="shared" si="5"/>
        <v>0</v>
      </c>
      <c r="M39" s="42">
        <f>COUNTIF(Vertices[Closeness Centrality], "&gt;= " &amp; L39) - COUNTIF(Vertices[Closeness Centrality], "&gt;=" &amp; L40)</f>
        <v>0</v>
      </c>
      <c r="N39" s="41">
        <f t="shared" si="6"/>
        <v>0</v>
      </c>
      <c r="O39" s="42">
        <f>COUNTIF(Vertices[Eigenvector Centrality], "&gt;= " &amp; N39) - COUNTIF(Vertices[Eigenvector Centrality], "&gt;=" &amp; N40)</f>
        <v>0</v>
      </c>
      <c r="P39" s="41">
        <f t="shared" si="7"/>
        <v>0</v>
      </c>
      <c r="Q39" s="42">
        <f>COUNTIF(Vertices[PageRank], "&gt;= " &amp; P39) - COUNTIF(Vertices[PageRank], "&gt;=" &amp; P40)</f>
        <v>0</v>
      </c>
      <c r="R39" s="41">
        <f t="shared" si="8"/>
        <v>0</v>
      </c>
      <c r="S39" s="46">
        <f>COUNTIF(Vertices[Clustering Coefficient], "&gt;= " &amp; R39) - COUNTIF(Vertices[Clustering Coefficient], "&gt;=" &amp; R40)</f>
        <v>0</v>
      </c>
      <c r="T39" s="41">
        <f t="shared" ca="1" si="9"/>
        <v>8471.5577562908875</v>
      </c>
      <c r="U39" s="42">
        <f t="shared" ca="1" si="0"/>
        <v>1</v>
      </c>
    </row>
    <row r="40" spans="1:21" x14ac:dyDescent="0.25">
      <c r="D40" s="34">
        <f t="shared" si="1"/>
        <v>0</v>
      </c>
      <c r="E40" s="3">
        <f>COUNTIF(Vertices[Degree], "&gt;= " &amp; D40) - COUNTIF(Vertices[Degree], "&gt;=" &amp; D41)</f>
        <v>0</v>
      </c>
      <c r="F40" s="39">
        <f t="shared" si="2"/>
        <v>0</v>
      </c>
      <c r="G40" s="40">
        <f>COUNTIF(Vertices[In-Degree], "&gt;= " &amp; F40) - COUNTIF(Vertices[In-Degree], "&gt;=" &amp; F41)</f>
        <v>0</v>
      </c>
      <c r="H40" s="39">
        <f t="shared" si="3"/>
        <v>0</v>
      </c>
      <c r="I40" s="40">
        <f>COUNTIF(Vertices[Out-Degree], "&gt;= " &amp; H40) - COUNTIF(Vertices[Out-Degree], "&gt;=" &amp; H41)</f>
        <v>0</v>
      </c>
      <c r="J40" s="39">
        <f t="shared" si="4"/>
        <v>0</v>
      </c>
      <c r="K40" s="40">
        <f>COUNTIF(Vertices[Betweenness Centrality], "&gt;= " &amp; J40) - COUNTIF(Vertices[Betweenness Centrality], "&gt;=" &amp; J41)</f>
        <v>0</v>
      </c>
      <c r="L40" s="39">
        <f t="shared" si="5"/>
        <v>0</v>
      </c>
      <c r="M40" s="40">
        <f>COUNTIF(Vertices[Closeness Centrality], "&gt;= " &amp; L40) - COUNTIF(Vertices[Closeness Centrality], "&gt;=" &amp; L41)</f>
        <v>0</v>
      </c>
      <c r="N40" s="39">
        <f t="shared" si="6"/>
        <v>0</v>
      </c>
      <c r="O40" s="40">
        <f>COUNTIF(Vertices[Eigenvector Centrality], "&gt;= " &amp; N40) - COUNTIF(Vertices[Eigenvector Centrality], "&gt;=" &amp; N41)</f>
        <v>0</v>
      </c>
      <c r="P40" s="39">
        <f t="shared" si="7"/>
        <v>0</v>
      </c>
      <c r="Q40" s="40">
        <f>COUNTIF(Vertices[PageRank], "&gt;= " &amp; P40) - COUNTIF(Vertices[PageRank], "&gt;=" &amp; P41)</f>
        <v>0</v>
      </c>
      <c r="R40" s="39">
        <f t="shared" si="8"/>
        <v>0</v>
      </c>
      <c r="S40" s="45">
        <f>COUNTIF(Vertices[Clustering Coefficient], "&gt;= " &amp; R40) - COUNTIF(Vertices[Clustering Coefficient], "&gt;=" &amp; R41)</f>
        <v>0</v>
      </c>
      <c r="T40" s="39">
        <f t="shared" ca="1" si="9"/>
        <v>8695.5614765965747</v>
      </c>
      <c r="U40" s="40">
        <f t="shared" ca="1" si="0"/>
        <v>0</v>
      </c>
    </row>
    <row r="41" spans="1:21" x14ac:dyDescent="0.25">
      <c r="D41" s="34">
        <f t="shared" si="1"/>
        <v>0</v>
      </c>
      <c r="E41" s="3">
        <f>COUNTIF(Vertices[Degree], "&gt;= " &amp; D41) - COUNTIF(Vertices[Degree], "&gt;=" &amp; D42)</f>
        <v>0</v>
      </c>
      <c r="F41" s="41">
        <f t="shared" si="2"/>
        <v>0</v>
      </c>
      <c r="G41" s="42">
        <f>COUNTIF(Vertices[In-Degree], "&gt;= " &amp; F41) - COUNTIF(Vertices[In-Degree], "&gt;=" &amp; F42)</f>
        <v>0</v>
      </c>
      <c r="H41" s="41">
        <f t="shared" si="3"/>
        <v>0</v>
      </c>
      <c r="I41" s="42">
        <f>COUNTIF(Vertices[Out-Degree], "&gt;= " &amp; H41) - COUNTIF(Vertices[Out-Degree], "&gt;=" &amp; H42)</f>
        <v>0</v>
      </c>
      <c r="J41" s="41">
        <f t="shared" si="4"/>
        <v>0</v>
      </c>
      <c r="K41" s="42">
        <f>COUNTIF(Vertices[Betweenness Centrality], "&gt;= " &amp; J41) - COUNTIF(Vertices[Betweenness Centrality], "&gt;=" &amp; J42)</f>
        <v>0</v>
      </c>
      <c r="L41" s="41">
        <f t="shared" si="5"/>
        <v>0</v>
      </c>
      <c r="M41" s="42">
        <f>COUNTIF(Vertices[Closeness Centrality], "&gt;= " &amp; L41) - COUNTIF(Vertices[Closeness Centrality], "&gt;=" &amp; L42)</f>
        <v>0</v>
      </c>
      <c r="N41" s="41">
        <f t="shared" si="6"/>
        <v>0</v>
      </c>
      <c r="O41" s="42">
        <f>COUNTIF(Vertices[Eigenvector Centrality], "&gt;= " &amp; N41) - COUNTIF(Vertices[Eigenvector Centrality], "&gt;=" &amp; N42)</f>
        <v>0</v>
      </c>
      <c r="P41" s="41">
        <f t="shared" si="7"/>
        <v>0</v>
      </c>
      <c r="Q41" s="42">
        <f>COUNTIF(Vertices[PageRank], "&gt;= " &amp; P41) - COUNTIF(Vertices[PageRank], "&gt;=" &amp; P42)</f>
        <v>0</v>
      </c>
      <c r="R41" s="41">
        <f t="shared" si="8"/>
        <v>0</v>
      </c>
      <c r="S41" s="46">
        <f>COUNTIF(Vertices[Clustering Coefficient], "&gt;= " &amp; R41) - COUNTIF(Vertices[Clustering Coefficient], "&gt;=" &amp; R42)</f>
        <v>0</v>
      </c>
      <c r="T41" s="41">
        <f t="shared" ca="1" si="9"/>
        <v>8919.565196902262</v>
      </c>
      <c r="U41" s="42">
        <f t="shared" ca="1" si="0"/>
        <v>1</v>
      </c>
    </row>
    <row r="42" spans="1:21" x14ac:dyDescent="0.25">
      <c r="D42" s="34">
        <f t="shared" si="1"/>
        <v>0</v>
      </c>
      <c r="E42" s="3">
        <f>COUNTIF(Vertices[Degree], "&gt;= " &amp; D42) - COUNTIF(Vertices[Degree], "&gt;=" &amp; D43)</f>
        <v>0</v>
      </c>
      <c r="F42" s="39">
        <f t="shared" si="2"/>
        <v>0</v>
      </c>
      <c r="G42" s="40">
        <f>COUNTIF(Vertices[In-Degree], "&gt;= " &amp; F42) - COUNTIF(Vertices[In-Degree], "&gt;=" &amp; F43)</f>
        <v>0</v>
      </c>
      <c r="H42" s="39">
        <f t="shared" si="3"/>
        <v>0</v>
      </c>
      <c r="I42" s="40">
        <f>COUNTIF(Vertices[Out-Degree], "&gt;= " &amp; H42) - COUNTIF(Vertices[Out-Degree], "&gt;=" &amp; H43)</f>
        <v>0</v>
      </c>
      <c r="J42" s="39">
        <f t="shared" si="4"/>
        <v>0</v>
      </c>
      <c r="K42" s="40">
        <f>COUNTIF(Vertices[Betweenness Centrality], "&gt;= " &amp; J42) - COUNTIF(Vertices[Betweenness Centrality], "&gt;=" &amp; J43)</f>
        <v>0</v>
      </c>
      <c r="L42" s="39">
        <f t="shared" si="5"/>
        <v>0</v>
      </c>
      <c r="M42" s="40">
        <f>COUNTIF(Vertices[Closeness Centrality], "&gt;= " &amp; L42) - COUNTIF(Vertices[Closeness Centrality], "&gt;=" &amp; L43)</f>
        <v>0</v>
      </c>
      <c r="N42" s="39">
        <f t="shared" si="6"/>
        <v>0</v>
      </c>
      <c r="O42" s="40">
        <f>COUNTIF(Vertices[Eigenvector Centrality], "&gt;= " &amp; N42) - COUNTIF(Vertices[Eigenvector Centrality], "&gt;=" &amp; N43)</f>
        <v>0</v>
      </c>
      <c r="P42" s="39">
        <f t="shared" si="7"/>
        <v>0</v>
      </c>
      <c r="Q42" s="40">
        <f>COUNTIF(Vertices[PageRank], "&gt;= " &amp; P42) - COUNTIF(Vertices[PageRank], "&gt;=" &amp; P43)</f>
        <v>0</v>
      </c>
      <c r="R42" s="39">
        <f t="shared" si="8"/>
        <v>0</v>
      </c>
      <c r="S42" s="45">
        <f>COUNTIF(Vertices[Clustering Coefficient], "&gt;= " &amp; R42) - COUNTIF(Vertices[Clustering Coefficient], "&gt;=" &amp; R43)</f>
        <v>0</v>
      </c>
      <c r="T42" s="39">
        <f t="shared" ca="1" si="9"/>
        <v>9143.5689172079492</v>
      </c>
      <c r="U42" s="40">
        <f t="shared" ca="1" si="0"/>
        <v>0</v>
      </c>
    </row>
    <row r="43" spans="1:21" x14ac:dyDescent="0.25">
      <c r="A43" s="35" t="s">
        <v>82</v>
      </c>
      <c r="B43" s="48" t="str">
        <f>IF(COUNT(Vertices[Degree])&gt;0, D2, NoMetricMessage)</f>
        <v>Not Available</v>
      </c>
      <c r="D43" s="34">
        <f t="shared" si="1"/>
        <v>0</v>
      </c>
      <c r="E43" s="3">
        <f>COUNTIF(Vertices[Degree], "&gt;= " &amp; D43) - COUNTIF(Vertices[Degree], "&gt;=" &amp; D44)</f>
        <v>0</v>
      </c>
      <c r="F43" s="41">
        <f t="shared" si="2"/>
        <v>0</v>
      </c>
      <c r="G43" s="42">
        <f>COUNTIF(Vertices[In-Degree], "&gt;= " &amp; F43) - COUNTIF(Vertices[In-Degree], "&gt;=" &amp; F44)</f>
        <v>0</v>
      </c>
      <c r="H43" s="41">
        <f t="shared" si="3"/>
        <v>0</v>
      </c>
      <c r="I43" s="42">
        <f>COUNTIF(Vertices[Out-Degree], "&gt;= " &amp; H43) - COUNTIF(Vertices[Out-Degree], "&gt;=" &amp; H44)</f>
        <v>0</v>
      </c>
      <c r="J43" s="41">
        <f t="shared" si="4"/>
        <v>0</v>
      </c>
      <c r="K43" s="42">
        <f>COUNTIF(Vertices[Betweenness Centrality], "&gt;= " &amp; J43) - COUNTIF(Vertices[Betweenness Centrality], "&gt;=" &amp; J44)</f>
        <v>0</v>
      </c>
      <c r="L43" s="41">
        <f t="shared" si="5"/>
        <v>0</v>
      </c>
      <c r="M43" s="42">
        <f>COUNTIF(Vertices[Closeness Centrality], "&gt;= " &amp; L43) - COUNTIF(Vertices[Closeness Centrality], "&gt;=" &amp; L44)</f>
        <v>0</v>
      </c>
      <c r="N43" s="41">
        <f t="shared" si="6"/>
        <v>0</v>
      </c>
      <c r="O43" s="42">
        <f>COUNTIF(Vertices[Eigenvector Centrality], "&gt;= " &amp; N43) - COUNTIF(Vertices[Eigenvector Centrality], "&gt;=" &amp; N44)</f>
        <v>0</v>
      </c>
      <c r="P43" s="41">
        <f t="shared" si="7"/>
        <v>0</v>
      </c>
      <c r="Q43" s="42">
        <f>COUNTIF(Vertices[PageRank], "&gt;= " &amp; P43) - COUNTIF(Vertices[PageRank], "&gt;=" &amp; P44)</f>
        <v>0</v>
      </c>
      <c r="R43" s="41">
        <f t="shared" si="8"/>
        <v>0</v>
      </c>
      <c r="S43" s="46">
        <f>COUNTIF(Vertices[Clustering Coefficient], "&gt;= " &amp; R43) - COUNTIF(Vertices[Clustering Coefficient], "&gt;=" &amp; R44)</f>
        <v>0</v>
      </c>
      <c r="T43" s="41">
        <f t="shared" ca="1" si="9"/>
        <v>9367.5726375136364</v>
      </c>
      <c r="U43" s="42">
        <f t="shared" ca="1" si="0"/>
        <v>0</v>
      </c>
    </row>
    <row r="44" spans="1:21" x14ac:dyDescent="0.25">
      <c r="A44" s="35" t="s">
        <v>83</v>
      </c>
      <c r="B44" s="48" t="str">
        <f>IF(COUNT(Vertices[Degree])&gt;0, D45, NoMetricMessage)</f>
        <v>Not Available</v>
      </c>
      <c r="D44" s="34">
        <f t="shared" si="1"/>
        <v>0</v>
      </c>
      <c r="E44" s="3">
        <f>COUNTIF(Vertices[Degree], "&gt;= " &amp; D44) - COUNTIF(Vertices[Degree], "&gt;=" &amp; D45)</f>
        <v>0</v>
      </c>
      <c r="F44" s="39">
        <f t="shared" si="2"/>
        <v>0</v>
      </c>
      <c r="G44" s="40">
        <f>COUNTIF(Vertices[In-Degree], "&gt;= " &amp; F44) - COUNTIF(Vertices[In-Degree], "&gt;=" &amp; F45)</f>
        <v>0</v>
      </c>
      <c r="H44" s="39">
        <f t="shared" si="3"/>
        <v>0</v>
      </c>
      <c r="I44" s="40">
        <f>COUNTIF(Vertices[Out-Degree], "&gt;= " &amp; H44) - COUNTIF(Vertices[Out-Degree], "&gt;=" &amp; H45)</f>
        <v>0</v>
      </c>
      <c r="J44" s="39">
        <f t="shared" si="4"/>
        <v>0</v>
      </c>
      <c r="K44" s="40">
        <f>COUNTIF(Vertices[Betweenness Centrality], "&gt;= " &amp; J44) - COUNTIF(Vertices[Betweenness Centrality], "&gt;=" &amp; J45)</f>
        <v>0</v>
      </c>
      <c r="L44" s="39">
        <f t="shared" si="5"/>
        <v>0</v>
      </c>
      <c r="M44" s="40">
        <f>COUNTIF(Vertices[Closeness Centrality], "&gt;= " &amp; L44) - COUNTIF(Vertices[Closeness Centrality], "&gt;=" &amp; L45)</f>
        <v>0</v>
      </c>
      <c r="N44" s="39">
        <f t="shared" si="6"/>
        <v>0</v>
      </c>
      <c r="O44" s="40">
        <f>COUNTIF(Vertices[Eigenvector Centrality], "&gt;= " &amp; N44) - COUNTIF(Vertices[Eigenvector Centrality], "&gt;=" &amp; N45)</f>
        <v>0</v>
      </c>
      <c r="P44" s="39">
        <f t="shared" si="7"/>
        <v>0</v>
      </c>
      <c r="Q44" s="40">
        <f>COUNTIF(Vertices[PageRank], "&gt;= " &amp; P44) - COUNTIF(Vertices[PageRank], "&gt;=" &amp; P45)</f>
        <v>0</v>
      </c>
      <c r="R44" s="39">
        <f t="shared" si="8"/>
        <v>0</v>
      </c>
      <c r="S44" s="45">
        <f>COUNTIF(Vertices[Clustering Coefficient], "&gt;= " &amp; R44) - COUNTIF(Vertices[Clustering Coefficient], "&gt;=" &amp; R45)</f>
        <v>0</v>
      </c>
      <c r="T44" s="39">
        <f t="shared" ca="1" si="9"/>
        <v>9591.5763578193237</v>
      </c>
      <c r="U44" s="40">
        <f t="shared" ca="1" si="0"/>
        <v>1</v>
      </c>
    </row>
    <row r="45" spans="1:21" x14ac:dyDescent="0.25">
      <c r="A45" s="35" t="s">
        <v>84</v>
      </c>
      <c r="B45" s="49" t="str">
        <f>IFERROR(AVERAGE(Vertices[Degree]),NoMetricMessage)</f>
        <v>Not Available</v>
      </c>
      <c r="D45" s="34">
        <f>MAX(Vertices[Degree])</f>
        <v>0</v>
      </c>
      <c r="E45" s="3">
        <f>COUNTIF(Vertices[Degree], "&gt;= " &amp; D45) - COUNTIF(Vertices[Degree], "&gt;=" &amp; D46)</f>
        <v>0</v>
      </c>
      <c r="F45" s="43">
        <f>MAX(Vertices[In-Degree])</f>
        <v>0</v>
      </c>
      <c r="G45" s="44">
        <f>COUNTIF(Vertices[In-Degree], "&gt;= " &amp; F45) - COUNTIF(Vertices[In-Degree], "&gt;=" &amp; F46)</f>
        <v>0</v>
      </c>
      <c r="H45" s="43">
        <f>MAX(Vertices[Out-Degree])</f>
        <v>0</v>
      </c>
      <c r="I45" s="44">
        <f>COUNTIF(Vertices[Out-Degree], "&gt;= " &amp; H45) - COUNTIF(Vertices[Out-Degree], "&gt;=" &amp; H46)</f>
        <v>0</v>
      </c>
      <c r="J45" s="43">
        <f>MAX(Vertices[Betweenness Centrality])</f>
        <v>0</v>
      </c>
      <c r="K45" s="44">
        <f>COUNTIF(Vertices[Betweenness Centrality], "&gt;= " &amp; J45) - COUNTIF(Vertices[Betweenness Centrality], "&gt;=" &amp; J46)</f>
        <v>0</v>
      </c>
      <c r="L45" s="43">
        <f>MAX(Vertices[Closeness Centrality])</f>
        <v>0</v>
      </c>
      <c r="M45" s="44">
        <f>COUNTIF(Vertices[Closeness Centrality], "&gt;= " &amp; L45) - COUNTIF(Vertices[Closeness Centrality], "&gt;=" &amp; L46)</f>
        <v>0</v>
      </c>
      <c r="N45" s="43">
        <f>MAX(Vertices[Eigenvector Centrality])</f>
        <v>0</v>
      </c>
      <c r="O45" s="44">
        <f>COUNTIF(Vertices[Eigenvector Centrality], "&gt;= " &amp; N45) - COUNTIF(Vertices[Eigenvector Centrality], "&gt;=" &amp; N46)</f>
        <v>0</v>
      </c>
      <c r="P45" s="43">
        <f>MAX(Vertices[PageRank])</f>
        <v>0</v>
      </c>
      <c r="Q45" s="44">
        <f>COUNTIF(Vertices[PageRank], "&gt;= " &amp; P45) - COUNTIF(Vertices[PageRank], "&gt;=" &amp; P46)</f>
        <v>0</v>
      </c>
      <c r="R45" s="43">
        <f>MAX(Vertices[Clustering Coefficient])</f>
        <v>0</v>
      </c>
      <c r="S45" s="47">
        <f>COUNTIF(Vertices[Clustering Coefficient], "&gt;= " &amp; R45) - COUNTIF(Vertices[Clustering Coefficient], "&gt;=" &amp; R46)</f>
        <v>0</v>
      </c>
      <c r="T45" s="43">
        <f ca="1">MAX(INDIRECT(DynamicFilterSourceColumnRange))</f>
        <v>9815.580078125</v>
      </c>
      <c r="U45" s="44">
        <f t="shared" ca="1" si="0"/>
        <v>1</v>
      </c>
    </row>
    <row r="46" spans="1:21" x14ac:dyDescent="0.25">
      <c r="A46" s="35" t="s">
        <v>85</v>
      </c>
      <c r="B46" s="49" t="str">
        <f>IFERROR(MEDIAN(Vertices[Degree]),NoMetricMessage)</f>
        <v>Not Available</v>
      </c>
    </row>
    <row r="57" spans="1:2" x14ac:dyDescent="0.25">
      <c r="A57" s="35" t="s">
        <v>89</v>
      </c>
      <c r="B57" s="48" t="str">
        <f>IF(COUNT(Vertices[In-Degree])&gt;0, F2, NoMetricMessage)</f>
        <v>Not Available</v>
      </c>
    </row>
    <row r="58" spans="1:2" x14ac:dyDescent="0.25">
      <c r="A58" s="35" t="s">
        <v>90</v>
      </c>
      <c r="B58" s="48" t="str">
        <f>IF(COUNT(Vertices[In-Degree])&gt;0, F45, NoMetricMessage)</f>
        <v>Not Available</v>
      </c>
    </row>
    <row r="59" spans="1:2" x14ac:dyDescent="0.25">
      <c r="A59" s="35" t="s">
        <v>91</v>
      </c>
      <c r="B59" s="49" t="str">
        <f>IFERROR(AVERAGE(Vertices[In-Degree]),NoMetricMessage)</f>
        <v>Not Available</v>
      </c>
    </row>
    <row r="60" spans="1:2" x14ac:dyDescent="0.25">
      <c r="A60" s="35" t="s">
        <v>92</v>
      </c>
      <c r="B60" s="49" t="str">
        <f>IFERROR(MEDIAN(Vertices[In-Degree]),NoMetricMessage)</f>
        <v>Not Available</v>
      </c>
    </row>
    <row r="71" spans="1:2" x14ac:dyDescent="0.25">
      <c r="A71" s="35" t="s">
        <v>95</v>
      </c>
      <c r="B71" s="48" t="str">
        <f>IF(COUNT(Vertices[Out-Degree])&gt;0, H2, NoMetricMessage)</f>
        <v>Not Available</v>
      </c>
    </row>
    <row r="72" spans="1:2" x14ac:dyDescent="0.25">
      <c r="A72" s="35" t="s">
        <v>96</v>
      </c>
      <c r="B72" s="48" t="str">
        <f>IF(COUNT(Vertices[Out-Degree])&gt;0, H45, NoMetricMessage)</f>
        <v>Not Available</v>
      </c>
    </row>
    <row r="73" spans="1:2" x14ac:dyDescent="0.25">
      <c r="A73" s="35" t="s">
        <v>97</v>
      </c>
      <c r="B73" s="49" t="str">
        <f>IFERROR(AVERAGE(Vertices[Out-Degree]),NoMetricMessage)</f>
        <v>Not Available</v>
      </c>
    </row>
    <row r="74" spans="1:2" x14ac:dyDescent="0.25">
      <c r="A74" s="35" t="s">
        <v>98</v>
      </c>
      <c r="B74" s="49" t="str">
        <f>IFERROR(MEDIAN(Vertices[Out-Degree]),NoMetricMessage)</f>
        <v>Not Available</v>
      </c>
    </row>
    <row r="85" spans="1:2" x14ac:dyDescent="0.25">
      <c r="A85" s="35" t="s">
        <v>101</v>
      </c>
      <c r="B85" s="49" t="str">
        <f>IF(COUNT(Vertices[Betweenness Centrality])&gt;0, J2, NoMetricMessage)</f>
        <v>Not Available</v>
      </c>
    </row>
    <row r="86" spans="1:2" x14ac:dyDescent="0.25">
      <c r="A86" s="35" t="s">
        <v>102</v>
      </c>
      <c r="B86" s="49" t="str">
        <f>IF(COUNT(Vertices[Betweenness Centrality])&gt;0, J45, NoMetricMessage)</f>
        <v>Not Available</v>
      </c>
    </row>
    <row r="87" spans="1:2" x14ac:dyDescent="0.25">
      <c r="A87" s="35" t="s">
        <v>103</v>
      </c>
      <c r="B87" s="49" t="str">
        <f>IFERROR(AVERAGE(Vertices[Betweenness Centrality]),NoMetricMessage)</f>
        <v>Not Available</v>
      </c>
    </row>
    <row r="88" spans="1:2" x14ac:dyDescent="0.25">
      <c r="A88" s="35" t="s">
        <v>104</v>
      </c>
      <c r="B88" s="49" t="str">
        <f>IFERROR(MEDIAN(Vertices[Betweenness Centrality]),NoMetricMessage)</f>
        <v>Not Available</v>
      </c>
    </row>
    <row r="99" spans="1:2" x14ac:dyDescent="0.25">
      <c r="A99" s="35" t="s">
        <v>107</v>
      </c>
      <c r="B99" s="49" t="str">
        <f>IF(COUNT(Vertices[Closeness Centrality])&gt;0, L2, NoMetricMessage)</f>
        <v>Not Available</v>
      </c>
    </row>
    <row r="100" spans="1:2" x14ac:dyDescent="0.25">
      <c r="A100" s="35" t="s">
        <v>108</v>
      </c>
      <c r="B100" s="49" t="str">
        <f>IF(COUNT(Vertices[Closeness Centrality])&gt;0, L45, NoMetricMessage)</f>
        <v>Not Available</v>
      </c>
    </row>
    <row r="101" spans="1:2" x14ac:dyDescent="0.25">
      <c r="A101" s="35" t="s">
        <v>109</v>
      </c>
      <c r="B101" s="49" t="str">
        <f>IFERROR(AVERAGE(Vertices[Closeness Centrality]),NoMetricMessage)</f>
        <v>Not Available</v>
      </c>
    </row>
    <row r="102" spans="1:2" x14ac:dyDescent="0.25">
      <c r="A102" s="35" t="s">
        <v>110</v>
      </c>
      <c r="B102" s="49" t="str">
        <f>IFERROR(MEDIAN(Vertices[Closeness Centrality]),NoMetricMessage)</f>
        <v>Not Available</v>
      </c>
    </row>
    <row r="113" spans="1:2" x14ac:dyDescent="0.25">
      <c r="A113" s="35" t="s">
        <v>113</v>
      </c>
      <c r="B113" s="49" t="str">
        <f>IF(COUNT(Vertices[Eigenvector Centrality])&gt;0, N2, NoMetricMessage)</f>
        <v>Not Available</v>
      </c>
    </row>
    <row r="114" spans="1:2" x14ac:dyDescent="0.25">
      <c r="A114" s="35" t="s">
        <v>114</v>
      </c>
      <c r="B114" s="49" t="str">
        <f>IF(COUNT(Vertices[Eigenvector Centrality])&gt;0, N45, NoMetricMessage)</f>
        <v>Not Available</v>
      </c>
    </row>
    <row r="115" spans="1:2" x14ac:dyDescent="0.25">
      <c r="A115" s="35" t="s">
        <v>115</v>
      </c>
      <c r="B115" s="49" t="str">
        <f>IFERROR(AVERAGE(Vertices[Eigenvector Centrality]),NoMetricMessage)</f>
        <v>Not Available</v>
      </c>
    </row>
    <row r="116" spans="1:2" x14ac:dyDescent="0.25">
      <c r="A116" s="35" t="s">
        <v>116</v>
      </c>
      <c r="B116" s="49" t="str">
        <f>IFERROR(MEDIAN(Vertices[Eigenvector Centrality]),NoMetricMessage)</f>
        <v>Not Available</v>
      </c>
    </row>
    <row r="127" spans="1:2" x14ac:dyDescent="0.25">
      <c r="A127" s="35" t="s">
        <v>140</v>
      </c>
      <c r="B127" s="49" t="str">
        <f>IF(COUNT(Vertices[PageRank])&gt;0, P2, NoMetricMessage)</f>
        <v>Not Available</v>
      </c>
    </row>
    <row r="128" spans="1:2" x14ac:dyDescent="0.25">
      <c r="A128" s="35" t="s">
        <v>141</v>
      </c>
      <c r="B128" s="49" t="str">
        <f>IF(COUNT(Vertices[PageRank])&gt;0, P45, NoMetricMessage)</f>
        <v>Not Available</v>
      </c>
    </row>
    <row r="129" spans="1:2" x14ac:dyDescent="0.25">
      <c r="A129" s="35" t="s">
        <v>142</v>
      </c>
      <c r="B129" s="49" t="str">
        <f>IFERROR(AVERAGE(Vertices[PageRank]),NoMetricMessage)</f>
        <v>Not Available</v>
      </c>
    </row>
    <row r="130" spans="1:2" x14ac:dyDescent="0.25">
      <c r="A130" s="35" t="s">
        <v>143</v>
      </c>
      <c r="B130" s="49" t="str">
        <f>IFERROR(MEDIAN(Vertices[PageRank]),NoMetricMessage)</f>
        <v>Not Available</v>
      </c>
    </row>
    <row r="141" spans="1:2" x14ac:dyDescent="0.25">
      <c r="A141" s="35" t="s">
        <v>119</v>
      </c>
      <c r="B141" s="49" t="str">
        <f>IF(COUNT(Vertices[Clustering Coefficient])&gt;0, R2, NoMetricMessage)</f>
        <v>Not Available</v>
      </c>
    </row>
    <row r="142" spans="1:2" x14ac:dyDescent="0.25">
      <c r="A142" s="35" t="s">
        <v>120</v>
      </c>
      <c r="B142" s="49" t="str">
        <f>IF(COUNT(Vertices[Clustering Coefficient])&gt;0, R45, NoMetricMessage)</f>
        <v>Not Available</v>
      </c>
    </row>
    <row r="143" spans="1:2" x14ac:dyDescent="0.25">
      <c r="A143" s="35" t="s">
        <v>121</v>
      </c>
      <c r="B143" s="49" t="str">
        <f>IFERROR(AVERAGE(Vertices[Clustering Coefficient]),NoMetricMessage)</f>
        <v>Not Available</v>
      </c>
    </row>
    <row r="144" spans="1:2" x14ac:dyDescent="0.25">
      <c r="A144" s="35" t="s">
        <v>122</v>
      </c>
      <c r="B144" s="49" t="str">
        <f>IFERROR(MEDIAN(Vertices[Clustering Coefficient]),NoMetricMessage)</f>
        <v>Not Available</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defaultRowHeight="15" x14ac:dyDescent="0.25"/>
  <cols>
    <col min="1" max="1" width="10.42578125" style="1" bestFit="1" customWidth="1"/>
    <col min="2" max="2" width="12.42578125" style="1" bestFit="1" customWidth="1"/>
    <col min="3" max="3" width="22.85546875" bestFit="1" customWidth="1"/>
    <col min="4" max="4" width="16.85546875" bestFit="1" customWidth="1"/>
    <col min="5" max="6" width="16.85546875" customWidth="1"/>
    <col min="7" max="7" width="14.28515625" bestFit="1" customWidth="1"/>
    <col min="8" max="8" width="14.28515625" customWidth="1"/>
    <col min="10" max="10" width="39.140625" bestFit="1" customWidth="1"/>
    <col min="11" max="11" width="10.85546875" bestFit="1" customWidth="1"/>
    <col min="13" max="13" width="8.42578125" bestFit="1" customWidth="1"/>
    <col min="14" max="14" width="10" bestFit="1" customWidth="1"/>
    <col min="15" max="15" width="11.85546875" bestFit="1" customWidth="1"/>
    <col min="16" max="16" width="12.140625" bestFit="1" customWidth="1"/>
  </cols>
  <sheetData>
    <row r="1" spans="1:18" s="4" customFormat="1" ht="36" customHeight="1" x14ac:dyDescent="0.25">
      <c r="A1" s="5" t="s">
        <v>6</v>
      </c>
      <c r="B1" s="5" t="s">
        <v>131</v>
      </c>
      <c r="C1" s="4" t="s">
        <v>7</v>
      </c>
      <c r="D1" s="4" t="s">
        <v>9</v>
      </c>
      <c r="E1" s="4" t="s">
        <v>164</v>
      </c>
      <c r="F1" s="5" t="s">
        <v>169</v>
      </c>
      <c r="G1" s="4" t="s">
        <v>14</v>
      </c>
      <c r="H1" s="4" t="s">
        <v>68</v>
      </c>
      <c r="J1" s="4" t="s">
        <v>18</v>
      </c>
      <c r="K1" s="4" t="s">
        <v>17</v>
      </c>
      <c r="M1" s="4" t="s">
        <v>22</v>
      </c>
      <c r="N1" s="4" t="s">
        <v>23</v>
      </c>
      <c r="O1" s="4" t="s">
        <v>24</v>
      </c>
      <c r="P1" s="4" t="s">
        <v>25</v>
      </c>
    </row>
    <row r="2" spans="1:18" x14ac:dyDescent="0.25">
      <c r="A2" s="1" t="s">
        <v>52</v>
      </c>
      <c r="B2" s="1" t="s">
        <v>132</v>
      </c>
      <c r="C2" t="s">
        <v>55</v>
      </c>
      <c r="D2" t="s">
        <v>56</v>
      </c>
      <c r="E2" t="s">
        <v>56</v>
      </c>
      <c r="F2" s="1" t="s">
        <v>52</v>
      </c>
      <c r="G2" t="s">
        <v>66</v>
      </c>
      <c r="H2" t="s">
        <v>159</v>
      </c>
      <c r="J2" t="s">
        <v>19</v>
      </c>
      <c r="K2">
        <v>108</v>
      </c>
      <c r="M2" t="s">
        <v>146</v>
      </c>
      <c r="N2" t="s">
        <v>15</v>
      </c>
      <c r="O2">
        <v>136.25497436523401</v>
      </c>
      <c r="P2">
        <v>9862.744140625</v>
      </c>
    </row>
    <row r="3" spans="1:18" x14ac:dyDescent="0.25">
      <c r="A3" s="1" t="s">
        <v>53</v>
      </c>
      <c r="B3" s="1" t="s">
        <v>133</v>
      </c>
      <c r="C3" t="s">
        <v>53</v>
      </c>
      <c r="D3" t="s">
        <v>57</v>
      </c>
      <c r="E3" t="s">
        <v>57</v>
      </c>
      <c r="F3" s="1" t="s">
        <v>53</v>
      </c>
      <c r="G3" t="s">
        <v>67</v>
      </c>
      <c r="H3" t="s">
        <v>69</v>
      </c>
      <c r="J3" t="s">
        <v>30</v>
      </c>
      <c r="K3" t="s">
        <v>31</v>
      </c>
      <c r="M3" t="s">
        <v>146</v>
      </c>
      <c r="N3" t="s">
        <v>16</v>
      </c>
      <c r="O3">
        <v>183</v>
      </c>
      <c r="P3">
        <v>9815.580078125</v>
      </c>
    </row>
    <row r="4" spans="1:18" x14ac:dyDescent="0.25">
      <c r="A4" s="1" t="s">
        <v>54</v>
      </c>
      <c r="B4" s="1" t="s">
        <v>134</v>
      </c>
      <c r="C4" t="s">
        <v>54</v>
      </c>
      <c r="D4" t="s">
        <v>58</v>
      </c>
      <c r="E4" t="s">
        <v>58</v>
      </c>
      <c r="F4" s="1" t="s">
        <v>54</v>
      </c>
      <c r="G4">
        <v>0</v>
      </c>
      <c r="H4" t="s">
        <v>70</v>
      </c>
      <c r="J4" s="12" t="s">
        <v>79</v>
      </c>
      <c r="K4" s="12"/>
    </row>
    <row r="5" spans="1:18" ht="409.5" x14ac:dyDescent="0.25">
      <c r="A5">
        <v>1</v>
      </c>
      <c r="B5" s="1" t="s">
        <v>135</v>
      </c>
      <c r="C5" t="s">
        <v>52</v>
      </c>
      <c r="D5" t="s">
        <v>59</v>
      </c>
      <c r="E5" t="s">
        <v>59</v>
      </c>
      <c r="F5">
        <v>1</v>
      </c>
      <c r="G5">
        <v>1</v>
      </c>
      <c r="H5" t="s">
        <v>71</v>
      </c>
      <c r="J5" t="s">
        <v>172</v>
      </c>
      <c r="K5" s="13" t="s">
        <v>242</v>
      </c>
    </row>
    <row r="6" spans="1:18" x14ac:dyDescent="0.25">
      <c r="A6">
        <v>0</v>
      </c>
      <c r="B6" s="1" t="s">
        <v>136</v>
      </c>
      <c r="C6">
        <v>1</v>
      </c>
      <c r="D6" t="s">
        <v>60</v>
      </c>
      <c r="E6" t="s">
        <v>60</v>
      </c>
      <c r="F6">
        <v>0</v>
      </c>
      <c r="H6" t="s">
        <v>72</v>
      </c>
      <c r="J6" t="s">
        <v>173</v>
      </c>
      <c r="K6">
        <v>1</v>
      </c>
      <c r="R6" t="s">
        <v>129</v>
      </c>
    </row>
    <row r="7" spans="1:18" x14ac:dyDescent="0.25">
      <c r="A7">
        <v>2</v>
      </c>
      <c r="B7">
        <v>1</v>
      </c>
      <c r="C7">
        <v>0</v>
      </c>
      <c r="D7" t="s">
        <v>61</v>
      </c>
      <c r="E7" t="s">
        <v>61</v>
      </c>
      <c r="F7">
        <v>2</v>
      </c>
      <c r="H7" t="s">
        <v>73</v>
      </c>
      <c r="J7" t="s">
        <v>238</v>
      </c>
      <c r="K7" t="s">
        <v>240</v>
      </c>
    </row>
    <row r="8" spans="1:18" x14ac:dyDescent="0.25">
      <c r="A8"/>
      <c r="B8">
        <v>2</v>
      </c>
      <c r="C8">
        <v>2</v>
      </c>
      <c r="D8" t="s">
        <v>62</v>
      </c>
      <c r="E8" t="s">
        <v>62</v>
      </c>
      <c r="H8" t="s">
        <v>74</v>
      </c>
    </row>
    <row r="9" spans="1:18" x14ac:dyDescent="0.25">
      <c r="A9"/>
      <c r="B9">
        <v>3</v>
      </c>
      <c r="C9">
        <v>4</v>
      </c>
      <c r="D9" t="s">
        <v>63</v>
      </c>
      <c r="E9" t="s">
        <v>63</v>
      </c>
      <c r="H9" t="s">
        <v>75</v>
      </c>
    </row>
    <row r="10" spans="1:18" x14ac:dyDescent="0.25">
      <c r="A10"/>
      <c r="B10">
        <v>4</v>
      </c>
      <c r="D10" t="s">
        <v>64</v>
      </c>
      <c r="E10" t="s">
        <v>64</v>
      </c>
      <c r="H10" t="s">
        <v>76</v>
      </c>
    </row>
    <row r="11" spans="1:18" x14ac:dyDescent="0.25">
      <c r="A11"/>
      <c r="B11">
        <v>5</v>
      </c>
      <c r="D11" t="s">
        <v>47</v>
      </c>
      <c r="E11">
        <v>1</v>
      </c>
      <c r="H11" t="s">
        <v>77</v>
      </c>
    </row>
    <row r="12" spans="1:18" x14ac:dyDescent="0.25">
      <c r="A12"/>
      <c r="B12"/>
      <c r="D12" t="s">
        <v>65</v>
      </c>
      <c r="E12">
        <v>2</v>
      </c>
      <c r="H12">
        <v>0</v>
      </c>
    </row>
    <row r="13" spans="1:18" x14ac:dyDescent="0.25">
      <c r="A13"/>
      <c r="B13"/>
      <c r="D13">
        <v>1</v>
      </c>
      <c r="E13">
        <v>3</v>
      </c>
      <c r="H13">
        <v>1</v>
      </c>
    </row>
    <row r="14" spans="1:18" x14ac:dyDescent="0.25">
      <c r="D14">
        <v>2</v>
      </c>
      <c r="E14">
        <v>4</v>
      </c>
      <c r="H14">
        <v>2</v>
      </c>
    </row>
    <row r="15" spans="1:18" x14ac:dyDescent="0.25">
      <c r="D15">
        <v>3</v>
      </c>
      <c r="E15">
        <v>5</v>
      </c>
      <c r="H15">
        <v>3</v>
      </c>
    </row>
    <row r="16" spans="1:18" x14ac:dyDescent="0.25">
      <c r="D16">
        <v>4</v>
      </c>
      <c r="E16">
        <v>6</v>
      </c>
      <c r="H16">
        <v>4</v>
      </c>
    </row>
    <row r="17" spans="4:8" x14ac:dyDescent="0.25">
      <c r="D17">
        <v>5</v>
      </c>
      <c r="E17">
        <v>7</v>
      </c>
      <c r="H17">
        <v>5</v>
      </c>
    </row>
    <row r="18" spans="4:8" x14ac:dyDescent="0.25">
      <c r="D18">
        <v>6</v>
      </c>
      <c r="E18">
        <v>8</v>
      </c>
      <c r="H18">
        <v>6</v>
      </c>
    </row>
    <row r="19" spans="4:8" x14ac:dyDescent="0.25">
      <c r="D19">
        <v>7</v>
      </c>
      <c r="E19">
        <v>9</v>
      </c>
      <c r="H19">
        <v>7</v>
      </c>
    </row>
    <row r="20" spans="4:8" x14ac:dyDescent="0.25">
      <c r="D20">
        <v>8</v>
      </c>
      <c r="H20">
        <v>8</v>
      </c>
    </row>
    <row r="21" spans="4:8" x14ac:dyDescent="0.25">
      <c r="D21">
        <v>9</v>
      </c>
      <c r="H21">
        <v>9</v>
      </c>
    </row>
    <row r="22" spans="4:8" x14ac:dyDescent="0.25">
      <c r="D22">
        <v>10</v>
      </c>
    </row>
    <row r="23" spans="4:8" x14ac:dyDescent="0.25">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93A6A9FA-12BE-4153-AFE9-5F53017AE37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7</vt:i4>
      </vt:variant>
      <vt:variant>
        <vt:lpstr>Intervalos nomeados</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Leonardo Teixeira Virgilio</dc:creator>
  <cp:lastModifiedBy>Leonardo Teixeira Virgilio</cp:lastModifiedBy>
  <dcterms:created xsi:type="dcterms:W3CDTF">2008-01-30T00:41:58Z</dcterms:created>
  <dcterms:modified xsi:type="dcterms:W3CDTF">2014-11-12T06:58:15Z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ssemblyLocation">
    <vt:lpwstr>http://www.nodexlgraphgallery.org/NodeXLSetup/Smrf.NodeXL.ExcelTemplate.vsto|aa51c0f3-62b4-4782-83a8-a15dcdd17698</vt:lpwstr>
  </property>
  <property fmtid="{D5CDD505-2E9C-101B-9397-08002B2CF9AE}" pid="3" name="_AssemblyName">
    <vt:lpwstr>4E3C66D5-58D4-491E-A7D4-64AF99AF6E8B</vt:lpwstr>
  </property>
  <property fmtid="{D5CDD505-2E9C-101B-9397-08002B2CF9AE}" pid="4" name="Solution ID">
    <vt:lpwstr>{15727DE6-F92D-4E46-ACB4-0E2C58B31A18}</vt:lpwstr>
  </property>
</Properties>
</file>