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i unidad\UCE Drive\Docencia\2025 2025\Tesis\Brandon\Supplementary Material\CALCULOS\Calculos de la Tesis\"/>
    </mc:Choice>
  </mc:AlternateContent>
  <xr:revisionPtr revIDLastSave="0" documentId="13_ncr:1_{150260FE-59F9-4776-B71F-7EE787F874C5}" xr6:coauthVersionLast="47" xr6:coauthVersionMax="47" xr10:uidLastSave="{00000000-0000-0000-0000-000000000000}"/>
  <bookViews>
    <workbookView xWindow="-110" yWindow="-110" windowWidth="19420" windowHeight="10300" firstSheet="1" activeTab="5" xr2:uid="{6BBEC211-A7A2-425E-884D-2BDA7A7910C9}"/>
  </bookViews>
  <sheets>
    <sheet name="Calculos definitivos" sheetId="6" r:id="rId1"/>
    <sheet name="Calculos nuevos" sheetId="13" r:id="rId2"/>
    <sheet name="Energy Streams" sheetId="2" r:id="rId3"/>
    <sheet name="Equip ID" sheetId="5" r:id="rId4"/>
    <sheet name="Calculos de energia" sheetId="10" r:id="rId5"/>
    <sheet name="Graficas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4" i="6" l="1"/>
  <c r="AE16" i="6" s="1"/>
  <c r="AF17" i="6" s="1"/>
  <c r="E60" i="6"/>
  <c r="C63" i="6" s="1"/>
  <c r="H69" i="6"/>
  <c r="C48" i="6"/>
  <c r="R15" i="6" s="1"/>
  <c r="F74" i="6"/>
  <c r="P17" i="6" s="1"/>
  <c r="D76" i="10"/>
  <c r="D74" i="10"/>
  <c r="E74" i="10" s="1"/>
  <c r="E75" i="10" s="1"/>
  <c r="AB13" i="10"/>
  <c r="O31" i="6"/>
  <c r="O26" i="6"/>
  <c r="C72" i="13"/>
  <c r="R14" i="13" s="1"/>
  <c r="V14" i="13" s="1"/>
  <c r="F71" i="13"/>
  <c r="P14" i="13" s="1"/>
  <c r="T14" i="13" s="1"/>
  <c r="H66" i="13"/>
  <c r="H63" i="13"/>
  <c r="H64" i="13" s="1"/>
  <c r="H65" i="13" s="1"/>
  <c r="F61" i="13"/>
  <c r="F62" i="13" s="1"/>
  <c r="V33" i="13" s="1"/>
  <c r="I58" i="13"/>
  <c r="I59" i="13" s="1"/>
  <c r="E57" i="13"/>
  <c r="C60" i="13" s="1"/>
  <c r="R15" i="13" s="1"/>
  <c r="V15" i="13" s="1"/>
  <c r="G56" i="13"/>
  <c r="L53" i="13" s="1"/>
  <c r="C55" i="13"/>
  <c r="C59" i="13" s="1"/>
  <c r="C46" i="13"/>
  <c r="S12" i="13" s="1"/>
  <c r="C45" i="13"/>
  <c r="R12" i="13" s="1"/>
  <c r="Y21" i="13" s="1"/>
  <c r="C44" i="13"/>
  <c r="P12" i="13" s="1"/>
  <c r="T12" i="13" s="1"/>
  <c r="C43" i="13"/>
  <c r="Q12" i="13" s="1"/>
  <c r="Y36" i="13"/>
  <c r="AB30" i="13"/>
  <c r="AA22" i="13"/>
  <c r="Y20" i="13"/>
  <c r="W14" i="13"/>
  <c r="U14" i="13"/>
  <c r="W13" i="13"/>
  <c r="V13" i="13"/>
  <c r="U13" i="13"/>
  <c r="T13" i="13"/>
  <c r="W11" i="13"/>
  <c r="V11" i="13"/>
  <c r="U11" i="13"/>
  <c r="T11" i="13"/>
  <c r="W10" i="13"/>
  <c r="R10" i="13"/>
  <c r="V10" i="13" s="1"/>
  <c r="Q10" i="13"/>
  <c r="U10" i="13" s="1"/>
  <c r="P10" i="13"/>
  <c r="Y36" i="10"/>
  <c r="AA22" i="10"/>
  <c r="R10" i="10"/>
  <c r="V10" i="10" s="1"/>
  <c r="C72" i="10"/>
  <c r="R14" i="10" s="1"/>
  <c r="F71" i="10"/>
  <c r="P14" i="10" s="1"/>
  <c r="T14" i="10" s="1"/>
  <c r="H66" i="10"/>
  <c r="H63" i="10"/>
  <c r="H64" i="10" s="1"/>
  <c r="H65" i="10" s="1"/>
  <c r="F61" i="10"/>
  <c r="F62" i="10" s="1"/>
  <c r="I58" i="10"/>
  <c r="L52" i="10" s="1"/>
  <c r="P15" i="10" s="1"/>
  <c r="T15" i="10" s="1"/>
  <c r="E57" i="10"/>
  <c r="C60" i="10" s="1"/>
  <c r="R15" i="10" s="1"/>
  <c r="G56" i="10"/>
  <c r="L53" i="10" s="1"/>
  <c r="C55" i="10"/>
  <c r="C59" i="10" s="1"/>
  <c r="S15" i="10" s="1"/>
  <c r="C46" i="10"/>
  <c r="S12" i="10" s="1"/>
  <c r="C45" i="10"/>
  <c r="R12" i="10" s="1"/>
  <c r="C44" i="10"/>
  <c r="P12" i="10" s="1"/>
  <c r="T12" i="10" s="1"/>
  <c r="C43" i="10"/>
  <c r="Q12" i="10" s="1"/>
  <c r="AB30" i="10"/>
  <c r="Y20" i="10"/>
  <c r="W14" i="10"/>
  <c r="U14" i="10"/>
  <c r="W13" i="10"/>
  <c r="V13" i="10"/>
  <c r="U13" i="10"/>
  <c r="T13" i="10"/>
  <c r="W11" i="10"/>
  <c r="V11" i="10"/>
  <c r="U11" i="10"/>
  <c r="T11" i="10"/>
  <c r="W10" i="10"/>
  <c r="Q10" i="10"/>
  <c r="U10" i="10" s="1"/>
  <c r="P10" i="10"/>
  <c r="T10" i="10" s="1"/>
  <c r="C47" i="6"/>
  <c r="P15" i="6" s="1"/>
  <c r="T15" i="6" s="1"/>
  <c r="Y39" i="6"/>
  <c r="AB30" i="6"/>
  <c r="F64" i="6"/>
  <c r="F65" i="6" s="1"/>
  <c r="R23" i="6" s="1"/>
  <c r="R13" i="6"/>
  <c r="V13" i="6" s="1"/>
  <c r="T14" i="6"/>
  <c r="U14" i="6"/>
  <c r="V14" i="6"/>
  <c r="W14" i="6"/>
  <c r="T16" i="6"/>
  <c r="U16" i="6"/>
  <c r="V16" i="6"/>
  <c r="W16" i="6"/>
  <c r="U17" i="6"/>
  <c r="W17" i="6"/>
  <c r="W13" i="6"/>
  <c r="P13" i="6"/>
  <c r="T13" i="6" s="1"/>
  <c r="H66" i="6"/>
  <c r="H67" i="6" s="1"/>
  <c r="H68" i="6" s="1"/>
  <c r="G59" i="6"/>
  <c r="L56" i="6" s="1"/>
  <c r="C75" i="6"/>
  <c r="I61" i="6"/>
  <c r="L55" i="6" s="1"/>
  <c r="P18" i="6" s="1"/>
  <c r="T18" i="6" s="1"/>
  <c r="C58" i="6"/>
  <c r="C62" i="6" s="1"/>
  <c r="S18" i="6" s="1"/>
  <c r="W18" i="6" s="1"/>
  <c r="C49" i="6"/>
  <c r="S15" i="6" s="1"/>
  <c r="C46" i="6"/>
  <c r="Q15" i="6" s="1"/>
  <c r="Q13" i="6"/>
  <c r="U13" i="6" s="1"/>
  <c r="L49" i="5"/>
  <c r="Z53" i="5"/>
  <c r="Z52" i="5"/>
  <c r="AG14" i="6" l="1"/>
  <c r="T17" i="6"/>
  <c r="R17" i="6"/>
  <c r="V17" i="6" s="1"/>
  <c r="X17" i="6" s="1"/>
  <c r="C51" i="6"/>
  <c r="C52" i="6" s="1"/>
  <c r="B52" i="6" s="1"/>
  <c r="V35" i="6"/>
  <c r="L52" i="13"/>
  <c r="P15" i="13" s="1"/>
  <c r="T15" i="13" s="1"/>
  <c r="C67" i="6"/>
  <c r="E77" i="10"/>
  <c r="C64" i="10"/>
  <c r="C64" i="13"/>
  <c r="I59" i="10"/>
  <c r="J60" i="10" s="1"/>
  <c r="Q15" i="10"/>
  <c r="U15" i="10" s="1"/>
  <c r="J60" i="13"/>
  <c r="Q18" i="6"/>
  <c r="Q19" i="6" s="1"/>
  <c r="O27" i="6" s="1"/>
  <c r="X10" i="13"/>
  <c r="W26" i="13" s="1"/>
  <c r="X11" i="13"/>
  <c r="W27" i="13" s="1"/>
  <c r="X27" i="13" s="1"/>
  <c r="X13" i="13"/>
  <c r="W29" i="13" s="1"/>
  <c r="X29" i="13" s="1"/>
  <c r="X14" i="13"/>
  <c r="W30" i="13" s="1"/>
  <c r="X30" i="13" s="1"/>
  <c r="T10" i="13"/>
  <c r="U12" i="13"/>
  <c r="C61" i="13"/>
  <c r="S15" i="13"/>
  <c r="W15" i="13" s="1"/>
  <c r="X15" i="13" s="1"/>
  <c r="W31" i="13" s="1"/>
  <c r="X31" i="13" s="1"/>
  <c r="V12" i="13"/>
  <c r="W12" i="13"/>
  <c r="R16" i="13"/>
  <c r="Q15" i="13"/>
  <c r="U15" i="13" s="1"/>
  <c r="H61" i="13"/>
  <c r="H62" i="13" s="1"/>
  <c r="R18" i="6"/>
  <c r="X10" i="10"/>
  <c r="W26" i="10" s="1"/>
  <c r="X11" i="10"/>
  <c r="W27" i="10" s="1"/>
  <c r="X27" i="10" s="1"/>
  <c r="X13" i="10"/>
  <c r="W29" i="10" s="1"/>
  <c r="X29" i="10" s="1"/>
  <c r="V15" i="10"/>
  <c r="U15" i="6"/>
  <c r="V15" i="6"/>
  <c r="U12" i="10"/>
  <c r="V14" i="10"/>
  <c r="X14" i="10" s="1"/>
  <c r="AB14" i="10" s="1"/>
  <c r="AB15" i="10" s="1"/>
  <c r="AB16" i="10" s="1"/>
  <c r="R16" i="10"/>
  <c r="C61" i="10"/>
  <c r="C62" i="10" s="1"/>
  <c r="W15" i="10"/>
  <c r="V12" i="10"/>
  <c r="Y21" i="10"/>
  <c r="V32" i="10"/>
  <c r="W12" i="10"/>
  <c r="P16" i="10"/>
  <c r="H61" i="10"/>
  <c r="H62" i="10" s="1"/>
  <c r="Y23" i="6"/>
  <c r="X16" i="6"/>
  <c r="W32" i="6" s="1"/>
  <c r="X32" i="6" s="1"/>
  <c r="X14" i="6"/>
  <c r="X13" i="6"/>
  <c r="H64" i="6"/>
  <c r="H65" i="6" s="1"/>
  <c r="S19" i="6"/>
  <c r="W15" i="6"/>
  <c r="P19" i="6"/>
  <c r="X49" i="5"/>
  <c r="X48" i="5"/>
  <c r="BL42" i="5"/>
  <c r="BM41" i="5"/>
  <c r="BL41" i="5"/>
  <c r="W68" i="5"/>
  <c r="V63" i="5"/>
  <c r="V64" i="5" s="1"/>
  <c r="AC51" i="5"/>
  <c r="W51" i="5"/>
  <c r="W50" i="5"/>
  <c r="W49" i="5"/>
  <c r="BC41" i="5"/>
  <c r="AV21" i="5"/>
  <c r="X50" i="5"/>
  <c r="AA54" i="5" s="1"/>
  <c r="V51" i="5"/>
  <c r="V49" i="5"/>
  <c r="AC50" i="5"/>
  <c r="Y50" i="5"/>
  <c r="Y54" i="5" s="1"/>
  <c r="V50" i="5"/>
  <c r="AV20" i="5"/>
  <c r="AX35" i="5"/>
  <c r="BG35" i="5"/>
  <c r="AV38" i="5"/>
  <c r="BH31" i="5"/>
  <c r="E74" i="5"/>
  <c r="H64" i="5"/>
  <c r="V48" i="5"/>
  <c r="L48" i="5"/>
  <c r="W48" i="5" s="1"/>
  <c r="C40" i="5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F37" i="5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W29" i="6" l="1"/>
  <c r="X29" i="6" s="1"/>
  <c r="X15" i="6"/>
  <c r="AG19" i="6" s="1"/>
  <c r="AH20" i="6" s="1"/>
  <c r="W30" i="6"/>
  <c r="X30" i="6" s="1"/>
  <c r="X15" i="10"/>
  <c r="W31" i="10" s="1"/>
  <c r="X31" i="10" s="1"/>
  <c r="P16" i="13"/>
  <c r="U18" i="6"/>
  <c r="Y24" i="6"/>
  <c r="C64" i="6"/>
  <c r="D64" i="6" s="1"/>
  <c r="S16" i="13"/>
  <c r="P18" i="13" s="1"/>
  <c r="X17" i="13"/>
  <c r="D61" i="13"/>
  <c r="C62" i="13"/>
  <c r="C63" i="13" s="1"/>
  <c r="X12" i="13"/>
  <c r="X26" i="13"/>
  <c r="Q16" i="13"/>
  <c r="V18" i="6"/>
  <c r="X18" i="6" s="1"/>
  <c r="R19" i="6"/>
  <c r="P21" i="6" s="1"/>
  <c r="Q16" i="10"/>
  <c r="S16" i="10"/>
  <c r="P18" i="10" s="1"/>
  <c r="X12" i="10"/>
  <c r="D61" i="10"/>
  <c r="C63" i="10"/>
  <c r="W30" i="10"/>
  <c r="X30" i="10" s="1"/>
  <c r="X26" i="10"/>
  <c r="BJ35" i="5"/>
  <c r="P20" i="6"/>
  <c r="BN41" i="5"/>
  <c r="W33" i="6"/>
  <c r="X33" i="6" s="1"/>
  <c r="Z51" i="5"/>
  <c r="Z50" i="5"/>
  <c r="V54" i="5"/>
  <c r="Z48" i="5"/>
  <c r="AX39" i="5"/>
  <c r="W54" i="5"/>
  <c r="Z49" i="5"/>
  <c r="AA52" i="5"/>
  <c r="AA53" i="5" s="1"/>
  <c r="AA55" i="5"/>
  <c r="AB55" i="5" s="1"/>
  <c r="BL40" i="5"/>
  <c r="BN35" i="5" s="1"/>
  <c r="X54" i="5"/>
  <c r="V56" i="5" s="1"/>
  <c r="V57" i="5" s="1"/>
  <c r="AU27" i="5"/>
  <c r="Q48" i="5"/>
  <c r="BC38" i="5"/>
  <c r="BE39" i="5" s="1"/>
  <c r="L11" i="2"/>
  <c r="K48" i="2"/>
  <c r="N41" i="2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F11" i="2" s="1"/>
  <c r="F12" i="2" s="1"/>
  <c r="F13" i="2" s="1"/>
  <c r="F14" i="2" s="1"/>
  <c r="F15" i="2" s="1"/>
  <c r="F16" i="2" s="1"/>
  <c r="F17" i="2" s="1"/>
  <c r="F18" i="2" s="1"/>
  <c r="F19" i="2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AD19" i="6" l="1"/>
  <c r="X19" i="6"/>
  <c r="AB19" i="6" s="1"/>
  <c r="W34" i="6"/>
  <c r="X34" i="6" s="1"/>
  <c r="X17" i="10"/>
  <c r="Z14" i="6"/>
  <c r="Z15" i="6"/>
  <c r="Z15" i="10"/>
  <c r="P17" i="13"/>
  <c r="BN36" i="5"/>
  <c r="C65" i="6"/>
  <c r="C66" i="6" s="1"/>
  <c r="P19" i="10"/>
  <c r="R19" i="10" s="1"/>
  <c r="P20" i="10"/>
  <c r="Q20" i="10" s="1"/>
  <c r="Z10" i="10"/>
  <c r="Y14" i="10" s="1"/>
  <c r="P23" i="6"/>
  <c r="O28" i="6"/>
  <c r="Y23" i="13"/>
  <c r="Z15" i="13"/>
  <c r="Z10" i="13"/>
  <c r="X16" i="13"/>
  <c r="P19" i="13"/>
  <c r="R19" i="13" s="1"/>
  <c r="P17" i="10"/>
  <c r="X16" i="10"/>
  <c r="Y23" i="10"/>
  <c r="AB23" i="10" s="1"/>
  <c r="P22" i="6"/>
  <c r="R22" i="6" s="1"/>
  <c r="Z54" i="5"/>
  <c r="V55" i="5"/>
  <c r="BN37" i="5"/>
  <c r="BN34" i="5"/>
  <c r="K55" i="2"/>
  <c r="K56" i="2" s="1"/>
  <c r="V58" i="5"/>
  <c r="AA58" i="5"/>
  <c r="BD38" i="5"/>
  <c r="L12" i="2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Y10" i="10" l="1"/>
  <c r="AA24" i="10"/>
  <c r="Y13" i="10"/>
  <c r="Y12" i="10"/>
  <c r="O25" i="6"/>
  <c r="P25" i="6"/>
  <c r="Y11" i="10"/>
  <c r="Y13" i="13"/>
  <c r="Y14" i="13"/>
  <c r="Y10" i="13"/>
  <c r="Y11" i="13"/>
  <c r="Y12" i="13"/>
  <c r="V21" i="13"/>
  <c r="V35" i="13"/>
  <c r="Y24" i="13"/>
  <c r="AB23" i="13"/>
  <c r="AA24" i="13"/>
  <c r="Y24" i="10"/>
  <c r="Z26" i="10" s="1"/>
  <c r="V21" i="10"/>
  <c r="V34" i="10"/>
  <c r="Q23" i="6"/>
  <c r="V59" i="5"/>
  <c r="W59" i="5" s="1"/>
  <c r="W58" i="5"/>
  <c r="Z27" i="10" l="1"/>
  <c r="X28" i="10" s="1"/>
  <c r="X32" i="10" s="1"/>
  <c r="V36" i="10" s="1"/>
  <c r="V25" i="13"/>
  <c r="V22" i="13"/>
  <c r="Z26" i="13"/>
  <c r="Z27" i="13"/>
  <c r="V25" i="10"/>
  <c r="V22" i="10"/>
  <c r="W28" i="10"/>
  <c r="W32" i="10" s="1"/>
  <c r="V35" i="10" s="1"/>
  <c r="AA26" i="10"/>
  <c r="Z13" i="6"/>
  <c r="Y17" i="6" s="1"/>
  <c r="Y26" i="6"/>
  <c r="AA27" i="10" l="1"/>
  <c r="AA26" i="13"/>
  <c r="W28" i="13"/>
  <c r="W32" i="13" s="1"/>
  <c r="V36" i="13" s="1"/>
  <c r="AA27" i="13"/>
  <c r="X28" i="13"/>
  <c r="X32" i="13" s="1"/>
  <c r="V37" i="13" s="1"/>
  <c r="Y27" i="6"/>
  <c r="Z29" i="6" s="1"/>
  <c r="AA27" i="6"/>
  <c r="V37" i="6"/>
  <c r="V24" i="6"/>
  <c r="Y15" i="6"/>
  <c r="Y16" i="6"/>
  <c r="Y13" i="6"/>
  <c r="Y14" i="6"/>
  <c r="Z30" i="6" l="1"/>
  <c r="AA30" i="6" s="1"/>
  <c r="W31" i="6"/>
  <c r="W35" i="6" s="1"/>
  <c r="V25" i="6"/>
  <c r="V28" i="6"/>
  <c r="X31" i="6" l="1"/>
  <c r="X35" i="6" s="1"/>
  <c r="V39" i="6" s="1"/>
  <c r="AA29" i="6"/>
  <c r="V38" i="6"/>
</calcChain>
</file>

<file path=xl/sharedStrings.xml><?xml version="1.0" encoding="utf-8"?>
<sst xmlns="http://schemas.openxmlformats.org/spreadsheetml/2006/main" count="1353" uniqueCount="213">
  <si>
    <t>UNIVERSIDAD CENTRAL DEL ECUADOR</t>
  </si>
  <si>
    <t>FACULTAD DE INGENIERÍA QUÍMICA</t>
  </si>
  <si>
    <t>CARRERA DE INGENIERÍA QUÍIMICA</t>
  </si>
  <si>
    <t>Global</t>
  </si>
  <si>
    <t>kJ/h</t>
  </si>
  <si>
    <t>kW</t>
  </si>
  <si>
    <t>Balance de endulzamiento</t>
  </si>
  <si>
    <t>Qsalida</t>
  </si>
  <si>
    <t>Q_entrada</t>
  </si>
  <si>
    <t>W_entrada</t>
  </si>
  <si>
    <t>W_salida</t>
  </si>
  <si>
    <t>W_Neto</t>
  </si>
  <si>
    <t>Endulzamiento</t>
  </si>
  <si>
    <t xml:space="preserve">Trabajo </t>
  </si>
  <si>
    <t>Pump-HP</t>
  </si>
  <si>
    <t>Bomba</t>
  </si>
  <si>
    <t>split Q</t>
  </si>
  <si>
    <t>Spliter</t>
  </si>
  <si>
    <t>D.Criogenica</t>
  </si>
  <si>
    <t xml:space="preserve">T-100, Torre de regeneracion </t>
  </si>
  <si>
    <t>Storage</t>
  </si>
  <si>
    <t>Q-entrada</t>
  </si>
  <si>
    <t>Q-reboiler</t>
  </si>
  <si>
    <t>Entrada</t>
  </si>
  <si>
    <t xml:space="preserve">Ciclo combinado </t>
  </si>
  <si>
    <t>Q_salida</t>
  </si>
  <si>
    <t>Cond-Q</t>
  </si>
  <si>
    <t>Salida</t>
  </si>
  <si>
    <t>Suma</t>
  </si>
  <si>
    <t>Q_neto</t>
  </si>
  <si>
    <t xml:space="preserve">Condensador </t>
  </si>
  <si>
    <t>W_neto</t>
  </si>
  <si>
    <t>Aire</t>
  </si>
  <si>
    <t>kg/h</t>
  </si>
  <si>
    <t>Cooler-Q</t>
  </si>
  <si>
    <t>W_util</t>
  </si>
  <si>
    <t>MW</t>
  </si>
  <si>
    <t>Eficiencia del generador</t>
  </si>
  <si>
    <t>Oxigeno</t>
  </si>
  <si>
    <t>nth</t>
  </si>
  <si>
    <t>ngenerador</t>
  </si>
  <si>
    <t>Unit</t>
  </si>
  <si>
    <t>Reb-Q</t>
  </si>
  <si>
    <t>Potencia nominal</t>
  </si>
  <si>
    <t>KW</t>
  </si>
  <si>
    <t>kJ/kg</t>
  </si>
  <si>
    <t>Heat Flow</t>
  </si>
  <si>
    <t>LHV Mass Basis (Std)</t>
  </si>
  <si>
    <t xml:space="preserve">Horas </t>
  </si>
  <si>
    <t>En un años operando las 24 horas</t>
  </si>
  <si>
    <t>kgO2/kWh</t>
  </si>
  <si>
    <t>kWh</t>
  </si>
  <si>
    <t>LHV [kW]</t>
  </si>
  <si>
    <t xml:space="preserve">nth </t>
  </si>
  <si>
    <t>actuales</t>
  </si>
  <si>
    <t>fuel</t>
  </si>
  <si>
    <t>Q-101-2</t>
  </si>
  <si>
    <t>Q-103</t>
  </si>
  <si>
    <t>E1</t>
  </si>
  <si>
    <t>W K-104</t>
  </si>
  <si>
    <t>Q-CN</t>
  </si>
  <si>
    <t>E3</t>
  </si>
  <si>
    <t xml:space="preserve">Relacion aire combustible </t>
  </si>
  <si>
    <t>Q-100</t>
  </si>
  <si>
    <t>Q-COND</t>
  </si>
  <si>
    <t>Q1 cond</t>
  </si>
  <si>
    <t>Q2-2</t>
  </si>
  <si>
    <t>Q1 Reb</t>
  </si>
  <si>
    <t>Q-102-2</t>
  </si>
  <si>
    <t>Q-105</t>
  </si>
  <si>
    <t>Q3</t>
  </si>
  <si>
    <t>Q-106</t>
  </si>
  <si>
    <t>Q-107</t>
  </si>
  <si>
    <t>Q-salida</t>
  </si>
  <si>
    <t xml:space="preserve">W_entrada </t>
  </si>
  <si>
    <t>Cantida de energia requerida</t>
  </si>
  <si>
    <t xml:space="preserve">Ciclo de oxicombustion </t>
  </si>
  <si>
    <t xml:space="preserve">Ciclo Brayton </t>
  </si>
  <si>
    <t>Ciclo Rankine</t>
  </si>
  <si>
    <t>W_sale</t>
  </si>
  <si>
    <t>W_entra</t>
  </si>
  <si>
    <t>Q_entra</t>
  </si>
  <si>
    <t>Q_sale</t>
  </si>
  <si>
    <t>Qtotal de salida</t>
  </si>
  <si>
    <t>W_tb_II</t>
  </si>
  <si>
    <t>W_pump_D</t>
  </si>
  <si>
    <t>Q_proceso</t>
  </si>
  <si>
    <t>Q100</t>
  </si>
  <si>
    <t>W_LPST</t>
  </si>
  <si>
    <t>Q_p</t>
  </si>
  <si>
    <t>W_bomba_I</t>
  </si>
  <si>
    <t>W_HHT</t>
  </si>
  <si>
    <t>W_I_s</t>
  </si>
  <si>
    <t>Q spliter</t>
  </si>
  <si>
    <t>Qp2</t>
  </si>
  <si>
    <t>W_Stage 1</t>
  </si>
  <si>
    <t>Stage 1 Q</t>
  </si>
  <si>
    <t>Stage 2 HP</t>
  </si>
  <si>
    <t>W_II_C</t>
  </si>
  <si>
    <t>Q_final</t>
  </si>
  <si>
    <t>W_bomba1</t>
  </si>
  <si>
    <t>Q splitter</t>
  </si>
  <si>
    <t>Stage 2 Q</t>
  </si>
  <si>
    <t>Stage 2 Q-2</t>
  </si>
  <si>
    <t>Q_2</t>
  </si>
  <si>
    <t>W_salida total</t>
  </si>
  <si>
    <t xml:space="preserve"> [kJ/kg]</t>
  </si>
  <si>
    <t>W_entrada total</t>
  </si>
  <si>
    <t>mfuel</t>
  </si>
  <si>
    <t xml:space="preserve"> [kg/h]</t>
  </si>
  <si>
    <t>PCI_total</t>
  </si>
  <si>
    <t>[kJ/h]</t>
  </si>
  <si>
    <t>[kW]</t>
  </si>
  <si>
    <t>n_II</t>
  </si>
  <si>
    <t>TH</t>
  </si>
  <si>
    <t>nmax</t>
  </si>
  <si>
    <t xml:space="preserve">Licuefaccion de CO2 </t>
  </si>
  <si>
    <t>TL</t>
  </si>
  <si>
    <t>W_out_I</t>
  </si>
  <si>
    <t>Stage 3.1</t>
  </si>
  <si>
    <t>Q stage 3</t>
  </si>
  <si>
    <t>Stage 4 HP-2</t>
  </si>
  <si>
    <t>Total</t>
  </si>
  <si>
    <t>Q-condensador</t>
  </si>
  <si>
    <t>Pump-HP1</t>
  </si>
  <si>
    <t>split Q-2</t>
  </si>
  <si>
    <t>SG-Q</t>
  </si>
  <si>
    <t>Q_rb</t>
  </si>
  <si>
    <t>W_bomba</t>
  </si>
  <si>
    <t>Q-108</t>
  </si>
  <si>
    <t>W_37</t>
  </si>
  <si>
    <t>W_comp1</t>
  </si>
  <si>
    <t>Q_NG</t>
  </si>
  <si>
    <t>W_NG13</t>
  </si>
  <si>
    <t>W_comp2</t>
  </si>
  <si>
    <t>W_THTTout</t>
  </si>
  <si>
    <t>W_I</t>
  </si>
  <si>
    <t>Q_1-3</t>
  </si>
  <si>
    <t>W_II</t>
  </si>
  <si>
    <t>W_POST-C3</t>
  </si>
  <si>
    <t>W_POST-C4</t>
  </si>
  <si>
    <t>Q-100-2</t>
  </si>
  <si>
    <t>Q_11</t>
  </si>
  <si>
    <t>Q_SEP</t>
  </si>
  <si>
    <t>W_13</t>
  </si>
  <si>
    <t>Q-E102</t>
  </si>
  <si>
    <t>Q2-3</t>
  </si>
  <si>
    <t>Q1</t>
  </si>
  <si>
    <t>Q_II</t>
  </si>
  <si>
    <t>Stage 2 HP-2</t>
  </si>
  <si>
    <t>W_pump-</t>
  </si>
  <si>
    <t>W_comp_ox</t>
  </si>
  <si>
    <t>Q_37</t>
  </si>
  <si>
    <t xml:space="preserve">Balance general </t>
  </si>
  <si>
    <t>suma</t>
  </si>
  <si>
    <t>deltaE</t>
  </si>
  <si>
    <t>1 era etapa</t>
  </si>
  <si>
    <t>2da etapa</t>
  </si>
  <si>
    <t>3era etapa</t>
  </si>
  <si>
    <t>4ta etapa</t>
  </si>
  <si>
    <t xml:space="preserve">Presion Bomba </t>
  </si>
  <si>
    <t>QNETO</t>
  </si>
  <si>
    <t>Wneto=</t>
  </si>
  <si>
    <t>Remocion de nitrogeno</t>
  </si>
  <si>
    <t>W_rev</t>
  </si>
  <si>
    <t>W_suministrado</t>
  </si>
  <si>
    <t>Xdestruida</t>
  </si>
  <si>
    <t>MW/h</t>
  </si>
  <si>
    <t>LHV</t>
  </si>
  <si>
    <t>Flujo molar</t>
  </si>
  <si>
    <t>nthrev</t>
  </si>
  <si>
    <t>LHV_total</t>
  </si>
  <si>
    <t xml:space="preserve">Q_neto </t>
  </si>
  <si>
    <t>Deshidratacion</t>
  </si>
  <si>
    <t>Qneto</t>
  </si>
  <si>
    <t>Remocion_N2</t>
  </si>
  <si>
    <t>Oxicombustion</t>
  </si>
  <si>
    <t>Qp</t>
  </si>
  <si>
    <t>n_cog</t>
  </si>
  <si>
    <t>KJ/h</t>
  </si>
  <si>
    <t xml:space="preserve">Energia </t>
  </si>
  <si>
    <t>MWh</t>
  </si>
  <si>
    <t>MWh en un año</t>
  </si>
  <si>
    <t>1año</t>
  </si>
  <si>
    <t>365dias</t>
  </si>
  <si>
    <t>24 horas</t>
  </si>
  <si>
    <t>1dia</t>
  </si>
  <si>
    <t>horas</t>
  </si>
  <si>
    <t>Balance del sistema de deshidratacion</t>
  </si>
  <si>
    <t>% Pureza Oxígeno</t>
  </si>
  <si>
    <t xml:space="preserve">Sistema propuesto </t>
  </si>
  <si>
    <t>SCOC-CC</t>
  </si>
  <si>
    <t xml:space="preserve">Natural gas plant (40 bar) </t>
  </si>
  <si>
    <t>Kansha et al. (2011)</t>
  </si>
  <si>
    <t>Zheng et al. (2015)</t>
  </si>
  <si>
    <t>Natural gas combined cycle power plant modified</t>
  </si>
  <si>
    <t>Sistema</t>
  </si>
  <si>
    <t>Eficiencia Exergética (%)</t>
  </si>
  <si>
    <t>ASU,CCS</t>
  </si>
  <si>
    <t>kgO₂/kWh</t>
  </si>
  <si>
    <t>ASU</t>
  </si>
  <si>
    <t>Electrólisis</t>
  </si>
  <si>
    <t>SOFC</t>
  </si>
  <si>
    <t>Ciclo Brayton</t>
  </si>
  <si>
    <t>IGCC</t>
  </si>
  <si>
    <t>UCG</t>
  </si>
  <si>
    <t>Ciclo combinado</t>
  </si>
  <si>
    <t>SAGD</t>
  </si>
  <si>
    <t>OCC</t>
  </si>
  <si>
    <t>SG-ASU</t>
  </si>
  <si>
    <t>Ciclos de oxicombustion</t>
  </si>
  <si>
    <t>Consumo Específico de Energía (kWh/kg O₂)</t>
  </si>
  <si>
    <t>kWh/kgO₂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</si>
</sst>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E+00"/>
    <numFmt numFmtId="165" formatCode="0.000000E+00"/>
    <numFmt numFmtId="166" formatCode="0.0000E+00"/>
    <numFmt numFmtId="167" formatCode="0.000"/>
    <numFmt numFmtId="168" formatCode="0.0%"/>
    <numFmt numFmtId="169" formatCode="0.0"/>
    <numFmt numFmtId="170" formatCode="0.0000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8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25" xfId="0" applyFont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13" borderId="28" xfId="0" applyFont="1" applyFill="1" applyBorder="1" applyAlignment="1">
      <alignment horizontal="center"/>
    </xf>
    <xf numFmtId="0" fontId="3" fillId="11" borderId="20" xfId="0" applyFont="1" applyFill="1" applyBorder="1"/>
    <xf numFmtId="0" fontId="4" fillId="9" borderId="20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0" xfId="0" applyFont="1" applyBorder="1"/>
    <xf numFmtId="1" fontId="3" fillId="0" borderId="20" xfId="0" applyNumberFormat="1" applyFont="1" applyBorder="1"/>
    <xf numFmtId="1" fontId="3" fillId="13" borderId="20" xfId="0" applyNumberFormat="1" applyFont="1" applyFill="1" applyBorder="1"/>
    <xf numFmtId="168" fontId="3" fillId="0" borderId="0" xfId="1" applyNumberFormat="1" applyFont="1"/>
    <xf numFmtId="1" fontId="3" fillId="0" borderId="0" xfId="0" applyNumberFormat="1" applyFont="1"/>
    <xf numFmtId="0" fontId="5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3" fillId="0" borderId="21" xfId="0" applyFont="1" applyBorder="1"/>
    <xf numFmtId="0" fontId="3" fillId="10" borderId="20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1" fontId="3" fillId="14" borderId="20" xfId="0" applyNumberFormat="1" applyFont="1" applyFill="1" applyBorder="1"/>
    <xf numFmtId="1" fontId="3" fillId="3" borderId="0" xfId="0" applyNumberFormat="1" applyFont="1" applyFill="1"/>
    <xf numFmtId="2" fontId="3" fillId="0" borderId="20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3" borderId="20" xfId="0" applyFont="1" applyFill="1" applyBorder="1"/>
    <xf numFmtId="0" fontId="7" fillId="0" borderId="20" xfId="0" applyFont="1" applyBorder="1" applyAlignment="1">
      <alignment horizontal="center"/>
    </xf>
    <xf numFmtId="0" fontId="3" fillId="18" borderId="20" xfId="0" applyFont="1" applyFill="1" applyBorder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4" borderId="20" xfId="0" applyFont="1" applyFill="1" applyBorder="1"/>
    <xf numFmtId="0" fontId="3" fillId="3" borderId="0" xfId="0" applyFont="1" applyFill="1"/>
    <xf numFmtId="0" fontId="6" fillId="0" borderId="0" xfId="0" applyFont="1" applyAlignment="1">
      <alignment horizontal="center"/>
    </xf>
    <xf numFmtId="9" fontId="3" fillId="10" borderId="0" xfId="1" applyFont="1" applyFill="1"/>
    <xf numFmtId="9" fontId="3" fillId="0" borderId="0" xfId="0" applyNumberFormat="1" applyFont="1"/>
    <xf numFmtId="1" fontId="3" fillId="10" borderId="0" xfId="0" applyNumberFormat="1" applyFont="1" applyFill="1"/>
    <xf numFmtId="1" fontId="3" fillId="16" borderId="0" xfId="0" applyNumberFormat="1" applyFont="1" applyFill="1"/>
    <xf numFmtId="9" fontId="3" fillId="17" borderId="0" xfId="1" applyFont="1" applyFill="1"/>
    <xf numFmtId="9" fontId="3" fillId="16" borderId="0" xfId="1" applyFont="1" applyFill="1"/>
    <xf numFmtId="0" fontId="6" fillId="19" borderId="0" xfId="0" applyFont="1" applyFill="1" applyAlignment="1">
      <alignment horizontal="center"/>
    </xf>
    <xf numFmtId="0" fontId="3" fillId="0" borderId="27" xfId="0" applyFont="1" applyBorder="1" applyAlignment="1">
      <alignment horizontal="center"/>
    </xf>
    <xf numFmtId="0" fontId="4" fillId="0" borderId="0" xfId="0" applyFont="1"/>
    <xf numFmtId="0" fontId="6" fillId="2" borderId="20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3" fillId="10" borderId="20" xfId="0" applyFont="1" applyFill="1" applyBorder="1"/>
    <xf numFmtId="0" fontId="6" fillId="2" borderId="0" xfId="0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5" fillId="15" borderId="20" xfId="0" applyFont="1" applyFill="1" applyBorder="1" applyAlignment="1">
      <alignment horizontal="center"/>
    </xf>
    <xf numFmtId="0" fontId="6" fillId="15" borderId="20" xfId="0" applyFont="1" applyFill="1" applyBorder="1" applyAlignment="1">
      <alignment horizontal="center"/>
    </xf>
    <xf numFmtId="0" fontId="5" fillId="18" borderId="20" xfId="0" applyFont="1" applyFill="1" applyBorder="1" applyAlignment="1">
      <alignment horizontal="center"/>
    </xf>
    <xf numFmtId="1" fontId="3" fillId="0" borderId="20" xfId="0" applyNumberFormat="1" applyFont="1" applyBorder="1" applyAlignment="1">
      <alignment horizontal="right"/>
    </xf>
    <xf numFmtId="1" fontId="3" fillId="10" borderId="20" xfId="0" applyNumberFormat="1" applyFont="1" applyFill="1" applyBorder="1" applyAlignment="1">
      <alignment horizontal="right"/>
    </xf>
    <xf numFmtId="0" fontId="3" fillId="18" borderId="0" xfId="0" applyFont="1" applyFill="1"/>
    <xf numFmtId="0" fontId="3" fillId="4" borderId="0" xfId="0" applyFont="1" applyFill="1"/>
    <xf numFmtId="0" fontId="8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6" borderId="0" xfId="0" applyFont="1" applyFill="1"/>
    <xf numFmtId="0" fontId="6" fillId="6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/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4" fillId="0" borderId="2" xfId="0" applyFont="1" applyBorder="1"/>
    <xf numFmtId="0" fontId="4" fillId="0" borderId="1" xfId="0" applyFont="1" applyBorder="1"/>
    <xf numFmtId="0" fontId="5" fillId="5" borderId="0" xfId="0" applyFont="1" applyFill="1" applyAlignment="1">
      <alignment horizontal="center"/>
    </xf>
    <xf numFmtId="0" fontId="3" fillId="5" borderId="0" xfId="0" applyFont="1" applyFill="1"/>
    <xf numFmtId="0" fontId="4" fillId="0" borderId="4" xfId="0" applyFont="1" applyBorder="1" applyAlignment="1">
      <alignment horizontal="center"/>
    </xf>
    <xf numFmtId="0" fontId="3" fillId="0" borderId="7" xfId="0" applyFont="1" applyBorder="1"/>
    <xf numFmtId="0" fontId="5" fillId="0" borderId="8" xfId="0" applyFont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3" fillId="0" borderId="14" xfId="0" applyFont="1" applyBorder="1"/>
    <xf numFmtId="0" fontId="5" fillId="0" borderId="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3" fillId="0" borderId="9" xfId="0" applyFont="1" applyBorder="1"/>
    <xf numFmtId="0" fontId="5" fillId="0" borderId="10" xfId="0" applyFont="1" applyBorder="1" applyAlignment="1">
      <alignment horizontal="center"/>
    </xf>
    <xf numFmtId="0" fontId="3" fillId="0" borderId="13" xfId="0" applyFont="1" applyBorder="1"/>
    <xf numFmtId="0" fontId="5" fillId="0" borderId="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3" fillId="8" borderId="9" xfId="0" applyFont="1" applyFill="1" applyBorder="1"/>
    <xf numFmtId="0" fontId="5" fillId="8" borderId="10" xfId="0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3" fillId="0" borderId="28" xfId="0" applyFont="1" applyBorder="1"/>
    <xf numFmtId="0" fontId="6" fillId="4" borderId="29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/>
    </xf>
    <xf numFmtId="165" fontId="6" fillId="4" borderId="13" xfId="0" applyNumberFormat="1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3" fillId="0" borderId="5" xfId="0" applyFont="1" applyBorder="1"/>
    <xf numFmtId="0" fontId="3" fillId="0" borderId="17" xfId="0" applyFont="1" applyBorder="1"/>
    <xf numFmtId="0" fontId="3" fillId="0" borderId="15" xfId="0" applyFont="1" applyBorder="1"/>
    <xf numFmtId="0" fontId="5" fillId="0" borderId="6" xfId="0" applyFont="1" applyBorder="1" applyAlignment="1">
      <alignment horizontal="center"/>
    </xf>
    <xf numFmtId="0" fontId="3" fillId="0" borderId="18" xfId="0" applyFont="1" applyBorder="1"/>
    <xf numFmtId="0" fontId="6" fillId="4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166" fontId="3" fillId="10" borderId="20" xfId="0" applyNumberFormat="1" applyFont="1" applyFill="1" applyBorder="1"/>
    <xf numFmtId="166" fontId="3" fillId="0" borderId="0" xfId="0" applyNumberFormat="1" applyFont="1"/>
    <xf numFmtId="0" fontId="5" fillId="9" borderId="20" xfId="0" applyFont="1" applyFill="1" applyBorder="1" applyAlignment="1">
      <alignment horizontal="center"/>
    </xf>
    <xf numFmtId="0" fontId="6" fillId="9" borderId="20" xfId="0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164" fontId="6" fillId="4" borderId="5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5" fillId="0" borderId="12" xfId="0" applyFont="1" applyBorder="1" applyAlignment="1">
      <alignment horizontal="center"/>
    </xf>
    <xf numFmtId="0" fontId="3" fillId="0" borderId="6" xfId="0" applyFont="1" applyBorder="1"/>
    <xf numFmtId="0" fontId="5" fillId="0" borderId="2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2" fontId="3" fillId="0" borderId="0" xfId="0" applyNumberFormat="1" applyFont="1"/>
    <xf numFmtId="167" fontId="3" fillId="0" borderId="20" xfId="0" applyNumberFormat="1" applyFont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3" fillId="0" borderId="25" xfId="0" applyFont="1" applyBorder="1"/>
    <xf numFmtId="0" fontId="3" fillId="0" borderId="22" xfId="0" applyFont="1" applyBorder="1"/>
    <xf numFmtId="0" fontId="4" fillId="0" borderId="20" xfId="0" applyFont="1" applyBorder="1"/>
    <xf numFmtId="0" fontId="3" fillId="0" borderId="30" xfId="0" applyFont="1" applyBorder="1"/>
    <xf numFmtId="0" fontId="7" fillId="0" borderId="33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3" xfId="0" applyFont="1" applyBorder="1"/>
    <xf numFmtId="0" fontId="3" fillId="0" borderId="31" xfId="0" applyFont="1" applyBorder="1"/>
    <xf numFmtId="0" fontId="3" fillId="0" borderId="34" xfId="0" applyFont="1" applyBorder="1"/>
    <xf numFmtId="0" fontId="3" fillId="0" borderId="35" xfId="0" applyFont="1" applyBorder="1"/>
    <xf numFmtId="0" fontId="6" fillId="0" borderId="34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3" fillId="0" borderId="32" xfId="0" applyFont="1" applyBorder="1"/>
    <xf numFmtId="0" fontId="3" fillId="0" borderId="24" xfId="0" applyFont="1" applyBorder="1"/>
    <xf numFmtId="0" fontId="3" fillId="0" borderId="26" xfId="0" applyFont="1" applyBorder="1"/>
    <xf numFmtId="0" fontId="7" fillId="0" borderId="27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4" fillId="22" borderId="0" xfId="0" applyFont="1" applyFill="1"/>
    <xf numFmtId="0" fontId="6" fillId="0" borderId="2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4" fillId="0" borderId="25" xfId="0" applyFont="1" applyBorder="1"/>
    <xf numFmtId="0" fontId="3" fillId="2" borderId="37" xfId="0" applyFont="1" applyFill="1" applyBorder="1"/>
    <xf numFmtId="0" fontId="3" fillId="2" borderId="38" xfId="0" applyFont="1" applyFill="1" applyBorder="1" applyAlignment="1">
      <alignment horizontal="left"/>
    </xf>
    <xf numFmtId="0" fontId="3" fillId="2" borderId="40" xfId="0" applyFont="1" applyFill="1" applyBorder="1"/>
    <xf numFmtId="0" fontId="3" fillId="2" borderId="41" xfId="0" applyFont="1" applyFill="1" applyBorder="1" applyAlignment="1">
      <alignment horizontal="left"/>
    </xf>
    <xf numFmtId="0" fontId="3" fillId="2" borderId="38" xfId="0" applyFont="1" applyFill="1" applyBorder="1"/>
    <xf numFmtId="0" fontId="3" fillId="2" borderId="41" xfId="0" applyFont="1" applyFill="1" applyBorder="1"/>
    <xf numFmtId="0" fontId="3" fillId="0" borderId="36" xfId="0" applyFont="1" applyBorder="1"/>
    <xf numFmtId="0" fontId="3" fillId="0" borderId="38" xfId="0" applyFont="1" applyBorder="1"/>
    <xf numFmtId="0" fontId="3" fillId="0" borderId="39" xfId="0" applyFont="1" applyBorder="1"/>
    <xf numFmtId="0" fontId="3" fillId="0" borderId="41" xfId="0" applyFont="1" applyBorder="1"/>
    <xf numFmtId="0" fontId="7" fillId="0" borderId="37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" fillId="0" borderId="37" xfId="0" applyFont="1" applyBorder="1"/>
    <xf numFmtId="0" fontId="3" fillId="0" borderId="42" xfId="0" applyFont="1" applyBorder="1"/>
    <xf numFmtId="0" fontId="3" fillId="0" borderId="43" xfId="0" applyFont="1" applyBorder="1"/>
    <xf numFmtId="0" fontId="6" fillId="0" borderId="42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3" fillId="0" borderId="40" xfId="0" applyFont="1" applyBorder="1"/>
    <xf numFmtId="0" fontId="4" fillId="0" borderId="36" xfId="0" applyFont="1" applyBorder="1"/>
    <xf numFmtId="0" fontId="4" fillId="0" borderId="42" xfId="0" applyFont="1" applyBorder="1"/>
    <xf numFmtId="0" fontId="4" fillId="21" borderId="30" xfId="0" applyFont="1" applyFill="1" applyBorder="1" applyAlignment="1">
      <alignment horizontal="center"/>
    </xf>
    <xf numFmtId="0" fontId="4" fillId="21" borderId="31" xfId="0" applyFont="1" applyFill="1" applyBorder="1" applyAlignment="1">
      <alignment horizontal="center"/>
    </xf>
    <xf numFmtId="2" fontId="3" fillId="26" borderId="0" xfId="0" applyNumberFormat="1" applyFont="1" applyFill="1"/>
    <xf numFmtId="2" fontId="4" fillId="26" borderId="0" xfId="0" applyNumberFormat="1" applyFont="1" applyFill="1" applyAlignment="1">
      <alignment horizontal="center"/>
    </xf>
    <xf numFmtId="2" fontId="3" fillId="26" borderId="0" xfId="0" applyNumberFormat="1" applyFont="1" applyFill="1" applyAlignment="1">
      <alignment horizontal="center"/>
    </xf>
    <xf numFmtId="2" fontId="3" fillId="26" borderId="20" xfId="0" applyNumberFormat="1" applyFont="1" applyFill="1" applyBorder="1"/>
    <xf numFmtId="2" fontId="3" fillId="26" borderId="20" xfId="0" applyNumberFormat="1" applyFont="1" applyFill="1" applyBorder="1" applyAlignment="1">
      <alignment horizontal="center"/>
    </xf>
    <xf numFmtId="2" fontId="4" fillId="26" borderId="20" xfId="0" applyNumberFormat="1" applyFont="1" applyFill="1" applyBorder="1"/>
    <xf numFmtId="0" fontId="3" fillId="0" borderId="27" xfId="0" applyFont="1" applyBorder="1"/>
    <xf numFmtId="0" fontId="5" fillId="0" borderId="20" xfId="0" applyFont="1" applyBorder="1"/>
    <xf numFmtId="0" fontId="6" fillId="0" borderId="20" xfId="0" applyFont="1" applyBorder="1"/>
    <xf numFmtId="0" fontId="5" fillId="0" borderId="21" xfId="0" applyFont="1" applyBorder="1" applyAlignment="1">
      <alignment horizontal="center"/>
    </xf>
    <xf numFmtId="0" fontId="6" fillId="19" borderId="20" xfId="0" applyFont="1" applyFill="1" applyBorder="1" applyAlignment="1">
      <alignment horizontal="center"/>
    </xf>
    <xf numFmtId="2" fontId="3" fillId="26" borderId="27" xfId="0" applyNumberFormat="1" applyFont="1" applyFill="1" applyBorder="1" applyAlignment="1">
      <alignment horizontal="center"/>
    </xf>
    <xf numFmtId="2" fontId="4" fillId="26" borderId="20" xfId="0" applyNumberFormat="1" applyFont="1" applyFill="1" applyBorder="1" applyAlignment="1">
      <alignment horizontal="center"/>
    </xf>
    <xf numFmtId="2" fontId="4" fillId="26" borderId="21" xfId="0" applyNumberFormat="1" applyFont="1" applyFill="1" applyBorder="1"/>
    <xf numFmtId="169" fontId="3" fillId="26" borderId="0" xfId="0" applyNumberFormat="1" applyFont="1" applyFill="1"/>
    <xf numFmtId="169" fontId="3" fillId="26" borderId="20" xfId="0" applyNumberFormat="1" applyFont="1" applyFill="1" applyBorder="1"/>
    <xf numFmtId="168" fontId="3" fillId="0" borderId="20" xfId="1" applyNumberFormat="1" applyFont="1" applyBorder="1"/>
    <xf numFmtId="9" fontId="3" fillId="17" borderId="20" xfId="1" applyFont="1" applyFill="1" applyBorder="1"/>
    <xf numFmtId="9" fontId="3" fillId="16" borderId="20" xfId="1" applyFont="1" applyFill="1" applyBorder="1"/>
    <xf numFmtId="0" fontId="5" fillId="0" borderId="20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18" borderId="20" xfId="0" applyFont="1" applyFill="1" applyBorder="1" applyAlignment="1">
      <alignment horizontal="center"/>
    </xf>
    <xf numFmtId="2" fontId="3" fillId="0" borderId="20" xfId="0" applyNumberFormat="1" applyFont="1" applyBorder="1"/>
    <xf numFmtId="1" fontId="3" fillId="14" borderId="27" xfId="0" applyNumberFormat="1" applyFont="1" applyFill="1" applyBorder="1"/>
    <xf numFmtId="1" fontId="3" fillId="3" borderId="20" xfId="0" applyNumberFormat="1" applyFont="1" applyFill="1" applyBorder="1"/>
    <xf numFmtId="9" fontId="3" fillId="10" borderId="20" xfId="1" applyFont="1" applyFill="1" applyBorder="1"/>
    <xf numFmtId="1" fontId="3" fillId="10" borderId="20" xfId="0" applyNumberFormat="1" applyFont="1" applyFill="1" applyBorder="1"/>
    <xf numFmtId="1" fontId="3" fillId="16" borderId="20" xfId="0" applyNumberFormat="1" applyFont="1" applyFill="1" applyBorder="1"/>
    <xf numFmtId="169" fontId="3" fillId="26" borderId="22" xfId="0" applyNumberFormat="1" applyFont="1" applyFill="1" applyBorder="1"/>
    <xf numFmtId="1" fontId="3" fillId="0" borderId="27" xfId="0" applyNumberFormat="1" applyFont="1" applyBorder="1"/>
    <xf numFmtId="9" fontId="3" fillId="0" borderId="20" xfId="0" applyNumberFormat="1" applyFont="1" applyBorder="1"/>
    <xf numFmtId="169" fontId="4" fillId="26" borderId="21" xfId="0" applyNumberFormat="1" applyFont="1" applyFill="1" applyBorder="1"/>
    <xf numFmtId="170" fontId="3" fillId="26" borderId="20" xfId="0" applyNumberFormat="1" applyFont="1" applyFill="1" applyBorder="1"/>
    <xf numFmtId="2" fontId="0" fillId="0" borderId="0" xfId="0" applyNumberFormat="1"/>
    <xf numFmtId="0" fontId="0" fillId="0" borderId="20" xfId="0" applyBorder="1"/>
    <xf numFmtId="0" fontId="9" fillId="0" borderId="20" xfId="0" applyFont="1" applyBorder="1" applyAlignment="1">
      <alignment horizontal="center" vertical="center" wrapText="1"/>
    </xf>
    <xf numFmtId="10" fontId="0" fillId="0" borderId="20" xfId="0" applyNumberFormat="1" applyBorder="1" applyAlignment="1">
      <alignment vertical="center" wrapText="1"/>
    </xf>
    <xf numFmtId="167" fontId="0" fillId="0" borderId="20" xfId="0" applyNumberFormat="1" applyBorder="1" applyAlignment="1">
      <alignment vertical="center" wrapText="1"/>
    </xf>
    <xf numFmtId="9" fontId="0" fillId="0" borderId="20" xfId="0" applyNumberFormat="1" applyBorder="1" applyAlignment="1">
      <alignment vertical="center" wrapText="1"/>
    </xf>
    <xf numFmtId="0" fontId="0" fillId="0" borderId="20" xfId="0" applyBorder="1" applyAlignment="1">
      <alignment wrapText="1"/>
    </xf>
    <xf numFmtId="0" fontId="9" fillId="0" borderId="20" xfId="0" applyFon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3" fillId="9" borderId="21" xfId="0" applyFont="1" applyFill="1" applyBorder="1" applyAlignment="1">
      <alignment horizontal="center"/>
    </xf>
    <xf numFmtId="2" fontId="3" fillId="10" borderId="20" xfId="0" applyNumberFormat="1" applyFont="1" applyFill="1" applyBorder="1" applyAlignment="1">
      <alignment horizontal="center"/>
    </xf>
    <xf numFmtId="0" fontId="4" fillId="10" borderId="20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22" borderId="0" xfId="0" applyFont="1" applyFill="1" applyAlignment="1">
      <alignment horizontal="center"/>
    </xf>
    <xf numFmtId="2" fontId="4" fillId="26" borderId="21" xfId="0" applyNumberFormat="1" applyFont="1" applyFill="1" applyBorder="1" applyAlignment="1">
      <alignment horizontal="center"/>
    </xf>
    <xf numFmtId="2" fontId="4" fillId="26" borderId="25" xfId="0" applyNumberFormat="1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4" fillId="21" borderId="20" xfId="0" applyFont="1" applyFill="1" applyBorder="1" applyAlignment="1">
      <alignment horizontal="center"/>
    </xf>
    <xf numFmtId="0" fontId="3" fillId="10" borderId="32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3" fillId="10" borderId="26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169" fontId="3" fillId="26" borderId="20" xfId="0" applyNumberFormat="1" applyFont="1" applyFill="1" applyBorder="1" applyAlignment="1">
      <alignment horizontal="center"/>
    </xf>
    <xf numFmtId="0" fontId="4" fillId="20" borderId="2" xfId="0" applyFont="1" applyFill="1" applyBorder="1" applyAlignment="1">
      <alignment horizontal="center"/>
    </xf>
    <xf numFmtId="0" fontId="4" fillId="20" borderId="19" xfId="0" applyFont="1" applyFill="1" applyBorder="1" applyAlignment="1">
      <alignment horizontal="center"/>
    </xf>
    <xf numFmtId="0" fontId="4" fillId="20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3" borderId="30" xfId="0" applyFont="1" applyFill="1" applyBorder="1" applyAlignment="1">
      <alignment horizontal="center"/>
    </xf>
    <xf numFmtId="0" fontId="4" fillId="23" borderId="31" xfId="0" applyFont="1" applyFill="1" applyBorder="1" applyAlignment="1">
      <alignment horizontal="center"/>
    </xf>
    <xf numFmtId="0" fontId="4" fillId="20" borderId="20" xfId="0" applyFont="1" applyFill="1" applyBorder="1" applyAlignment="1">
      <alignment horizontal="center"/>
    </xf>
    <xf numFmtId="0" fontId="4" fillId="23" borderId="20" xfId="0" applyFont="1" applyFill="1" applyBorder="1" applyAlignment="1">
      <alignment horizontal="center"/>
    </xf>
    <xf numFmtId="0" fontId="4" fillId="22" borderId="0" xfId="0" applyFont="1" applyFill="1" applyAlignment="1">
      <alignment horizontal="center"/>
    </xf>
    <xf numFmtId="0" fontId="4" fillId="24" borderId="0" xfId="0" applyFont="1" applyFill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2" borderId="19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17" borderId="20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10" borderId="27" xfId="0" applyFont="1" applyFill="1" applyBorder="1" applyAlignment="1">
      <alignment horizontal="center"/>
    </xf>
    <xf numFmtId="0" fontId="3" fillId="10" borderId="22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4" fillId="25" borderId="20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Consumo especifico de energia de ASU para la produccion de oxigeno al 95 - 99,99 % mol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3.7476204876867147E-2"/>
          <c:y val="0.20860687524113411"/>
          <c:w val="0.94124053812970898"/>
          <c:h val="0.61901894010548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Graficas!$H$6</c:f>
              <c:strCache>
                <c:ptCount val="1"/>
                <c:pt idx="0">
                  <c:v>% Pureza Oxígeno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Graficas!$H$7:$H$11</c:f>
              <c:numCache>
                <c:formatCode>0.00%</c:formatCode>
                <c:ptCount val="5"/>
                <c:pt idx="0">
                  <c:v>0.95</c:v>
                </c:pt>
                <c:pt idx="1">
                  <c:v>0.95</c:v>
                </c:pt>
                <c:pt idx="2">
                  <c:v>0.9667</c:v>
                </c:pt>
                <c:pt idx="3">
                  <c:v>0.99990000000000001</c:v>
                </c:pt>
                <c:pt idx="4">
                  <c:v>0.99990000000000001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4-4261-9CE3-FDE32CC89740}"/>
            </c:ext>
          </c:extLst>
        </c:ser>
        <c:ser>
          <c:idx val="1"/>
          <c:order val="1"/>
          <c:tx>
            <c:strRef>
              <c:f>Graficas!$I$6</c:f>
              <c:strCache>
                <c:ptCount val="1"/>
                <c:pt idx="0">
                  <c:v>Consumo Específico de Energía (kWh/kg O₂)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Graficas!$I$7:$I$11</c:f>
              <c:numCache>
                <c:formatCode>0.000</c:formatCode>
                <c:ptCount val="5"/>
                <c:pt idx="0">
                  <c:v>0.26</c:v>
                </c:pt>
                <c:pt idx="1">
                  <c:v>0.32</c:v>
                </c:pt>
                <c:pt idx="2">
                  <c:v>0.38400000000000001</c:v>
                </c:pt>
                <c:pt idx="3">
                  <c:v>0.4</c:v>
                </c:pt>
                <c:pt idx="4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4-4261-9CE3-FDE32CC897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83527560"/>
        <c:axId val="983516760"/>
      </c:barChart>
      <c:catAx>
        <c:axId val="983527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3516760"/>
        <c:crosses val="autoZero"/>
        <c:auto val="1"/>
        <c:lblAlgn val="ctr"/>
        <c:lblOffset val="100"/>
        <c:noMultiLvlLbl val="0"/>
      </c:catAx>
      <c:valAx>
        <c:axId val="983516760"/>
        <c:scaling>
          <c:orientation val="minMax"/>
          <c:max val="1.8"/>
        </c:scaling>
        <c:delete val="1"/>
        <c:axPos val="b"/>
        <c:numFmt formatCode="0.00%" sourceLinked="1"/>
        <c:majorTickMark val="none"/>
        <c:minorTickMark val="none"/>
        <c:tickLblPos val="nextTo"/>
        <c:crossAx val="983527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 dirty="0">
                <a:solidFill>
                  <a:srgbClr val="44546A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Penalización energética por la integración de ASU y CCS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Graficas!$Q$25</c:f>
              <c:strCache>
                <c:ptCount val="1"/>
                <c:pt idx="0">
                  <c:v>ASU,CCS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Graficas!$Q$26</c:f>
              <c:numCache>
                <c:formatCode>General</c:formatCode>
                <c:ptCount val="1"/>
                <c:pt idx="0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7-44ED-9429-8F16714EF785}"/>
            </c:ext>
          </c:extLst>
        </c:ser>
        <c:ser>
          <c:idx val="1"/>
          <c:order val="1"/>
          <c:tx>
            <c:strRef>
              <c:f>Graficas!$R$25</c:f>
              <c:strCache>
                <c:ptCount val="1"/>
                <c:pt idx="0">
                  <c:v>kWh/kgO₂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Graficas!$S$36</c:f>
              <c:numCache>
                <c:formatCode>0.000</c:formatCode>
                <c:ptCount val="1"/>
                <c:pt idx="0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7-44ED-9429-8F16714EF785}"/>
            </c:ext>
          </c:extLst>
        </c:ser>
        <c:ser>
          <c:idx val="2"/>
          <c:order val="2"/>
          <c:tx>
            <c:strRef>
              <c:f>Graficas!$S$25</c:f>
              <c:strCache>
                <c:ptCount val="1"/>
                <c:pt idx="0">
                  <c:v>nth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Graficas!$S$26</c:f>
              <c:numCache>
                <c:formatCode>General</c:formatCode>
                <c:ptCount val="1"/>
                <c:pt idx="0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B7-44ED-9429-8F16714EF785}"/>
            </c:ext>
          </c:extLst>
        </c:ser>
        <c:ser>
          <c:idx val="3"/>
          <c:order val="3"/>
          <c:tx>
            <c:strRef>
              <c:f>Graficas!$T$25</c:f>
              <c:strCache>
                <c:ptCount val="1"/>
                <c:pt idx="0">
                  <c:v>ASU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Graficas!$T$26</c:f>
              <c:numCache>
                <c:formatCode>General</c:formatCode>
                <c:ptCount val="1"/>
                <c:pt idx="0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B7-44ED-9429-8F16714EF785}"/>
            </c:ext>
          </c:extLst>
        </c:ser>
        <c:ser>
          <c:idx val="4"/>
          <c:order val="4"/>
          <c:tx>
            <c:strRef>
              <c:f>Graficas!$U$25</c:f>
              <c:strCache>
                <c:ptCount val="1"/>
                <c:pt idx="0">
                  <c:v>% Pureza Oxígeno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Graficas!$U$26</c:f>
              <c:numCache>
                <c:formatCode>0.00%</c:formatCode>
                <c:ptCount val="1"/>
                <c:pt idx="0">
                  <c:v>0.9667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B7-44ED-9429-8F16714EF7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32597320"/>
        <c:axId val="1032599120"/>
      </c:barChart>
      <c:catAx>
        <c:axId val="1032597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2599120"/>
        <c:crosses val="autoZero"/>
        <c:auto val="1"/>
        <c:lblAlgn val="ctr"/>
        <c:lblOffset val="100"/>
        <c:noMultiLvlLbl val="0"/>
      </c:catAx>
      <c:valAx>
        <c:axId val="1032599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25973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Graficas!$C$25</c:f>
              <c:strCache>
                <c:ptCount val="1"/>
                <c:pt idx="0">
                  <c:v>Eficiencia Exergética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Graficas!$B$26:$B$36</c:f>
              <c:strCache>
                <c:ptCount val="11"/>
                <c:pt idx="0">
                  <c:v>Electrólisis</c:v>
                </c:pt>
                <c:pt idx="1">
                  <c:v>SOFC</c:v>
                </c:pt>
                <c:pt idx="2">
                  <c:v>Ciclo Brayton</c:v>
                </c:pt>
                <c:pt idx="3">
                  <c:v>Ciclo Rankine</c:v>
                </c:pt>
                <c:pt idx="4">
                  <c:v>IGCC</c:v>
                </c:pt>
                <c:pt idx="5">
                  <c:v>UCG</c:v>
                </c:pt>
                <c:pt idx="6">
                  <c:v>Ciclo combinado</c:v>
                </c:pt>
                <c:pt idx="7">
                  <c:v>Ciclos de oxicombustion</c:v>
                </c:pt>
                <c:pt idx="8">
                  <c:v>SG-ASU</c:v>
                </c:pt>
                <c:pt idx="9">
                  <c:v>SAGD</c:v>
                </c:pt>
                <c:pt idx="10">
                  <c:v>OCC</c:v>
                </c:pt>
              </c:strCache>
            </c:strRef>
          </c:cat>
          <c:val>
            <c:numRef>
              <c:f>Graficas!$C$26:$C$36</c:f>
              <c:numCache>
                <c:formatCode>0%</c:formatCode>
                <c:ptCount val="11"/>
                <c:pt idx="0">
                  <c:v>0.78</c:v>
                </c:pt>
                <c:pt idx="1">
                  <c:v>0.56000000000000005</c:v>
                </c:pt>
                <c:pt idx="2">
                  <c:v>0.49</c:v>
                </c:pt>
                <c:pt idx="3">
                  <c:v>0.32</c:v>
                </c:pt>
                <c:pt idx="4">
                  <c:v>0.27</c:v>
                </c:pt>
                <c:pt idx="5">
                  <c:v>0.18</c:v>
                </c:pt>
                <c:pt idx="6">
                  <c:v>0.54</c:v>
                </c:pt>
                <c:pt idx="7">
                  <c:v>0.66</c:v>
                </c:pt>
                <c:pt idx="8">
                  <c:v>0.51950539535076501</c:v>
                </c:pt>
                <c:pt idx="9">
                  <c:v>0.16</c:v>
                </c:pt>
                <c:pt idx="1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C-4AA8-882F-60B7E61F0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157536"/>
        <c:axId val="425171576"/>
      </c:barChart>
      <c:catAx>
        <c:axId val="4251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5171576"/>
        <c:crosses val="autoZero"/>
        <c:auto val="1"/>
        <c:lblAlgn val="ctr"/>
        <c:lblOffset val="100"/>
        <c:noMultiLvlLbl val="0"/>
      </c:catAx>
      <c:valAx>
        <c:axId val="42517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515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10.png"/><Relationship Id="rId3" Type="http://schemas.microsoft.com/office/2007/relationships/hdphoto" Target="../media/hdphoto1.wdp"/><Relationship Id="rId7" Type="http://schemas.openxmlformats.org/officeDocument/2006/relationships/image" Target="../media/image7.png"/><Relationship Id="rId12" Type="http://schemas.microsoft.com/office/2007/relationships/hdphoto" Target="../media/hdphoto5.wdp"/><Relationship Id="rId2" Type="http://schemas.openxmlformats.org/officeDocument/2006/relationships/image" Target="../media/image4.png"/><Relationship Id="rId16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microsoft.com/office/2007/relationships/hdphoto" Target="../media/hdphoto2.wdp"/><Relationship Id="rId15" Type="http://schemas.openxmlformats.org/officeDocument/2006/relationships/image" Target="../media/image12.png"/><Relationship Id="rId10" Type="http://schemas.microsoft.com/office/2007/relationships/hdphoto" Target="../media/hdphoto4.wdp"/><Relationship Id="rId4" Type="http://schemas.openxmlformats.org/officeDocument/2006/relationships/image" Target="../media/image5.png"/><Relationship Id="rId9" Type="http://schemas.openxmlformats.org/officeDocument/2006/relationships/image" Target="../media/image8.png"/><Relationship Id="rId1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123434</xdr:colOff>
      <xdr:row>9</xdr:row>
      <xdr:rowOff>52323</xdr:rowOff>
    </xdr:from>
    <xdr:to>
      <xdr:col>11</xdr:col>
      <xdr:colOff>139594</xdr:colOff>
      <xdr:row>21</xdr:row>
      <xdr:rowOff>153275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33BA62-65BA-4FFB-8DA7-286644932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2113" y="1889287"/>
          <a:ext cx="6411517" cy="2550238"/>
        </a:xfrm>
        <a:prstGeom prst="rect">
          <a:avLst/>
        </a:prstGeom>
      </xdr:spPr>
    </xdr:pic>
    <xdr:clientData/>
  </xdr:twoCellAnchor>
  <xdr:twoCellAnchor editAs="oneCell">
    <xdr:from>
      <xdr:col>3</xdr:col>
      <xdr:colOff>321014</xdr:colOff>
      <xdr:row>1</xdr:row>
      <xdr:rowOff>12306</xdr:rowOff>
    </xdr:from>
    <xdr:to>
      <xdr:col>4</xdr:col>
      <xdr:colOff>260281</xdr:colOff>
      <xdr:row>5</xdr:row>
      <xdr:rowOff>164741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D159334-10C5-452A-8A0F-F47986B2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6533" y="209995"/>
          <a:ext cx="953386" cy="943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420171</xdr:colOff>
      <xdr:row>0</xdr:row>
      <xdr:rowOff>194149</xdr:rowOff>
    </xdr:from>
    <xdr:to>
      <xdr:col>8</xdr:col>
      <xdr:colOff>311175</xdr:colOff>
      <xdr:row>5</xdr:row>
      <xdr:rowOff>167124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F217EBA-9098-4BFD-ACC9-86B930964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936" y="194149"/>
          <a:ext cx="944358" cy="981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589758</xdr:colOff>
      <xdr:row>4</xdr:row>
      <xdr:rowOff>169345</xdr:rowOff>
    </xdr:from>
    <xdr:to>
      <xdr:col>12</xdr:col>
      <xdr:colOff>456239</xdr:colOff>
      <xdr:row>17</xdr:row>
      <xdr:rowOff>87960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2D6F52-0357-4923-8300-B19F13A82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9158" y="931345"/>
          <a:ext cx="6388385" cy="25420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822040</xdr:colOff>
      <xdr:row>50</xdr:row>
      <xdr:rowOff>144237</xdr:rowOff>
    </xdr:from>
    <xdr:to>
      <xdr:col>18</xdr:col>
      <xdr:colOff>482482</xdr:colOff>
      <xdr:row>69</xdr:row>
      <xdr:rowOff>164724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593342-EE46-4A81-A6D1-40F7722BC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7922" y="10378943"/>
          <a:ext cx="9334854" cy="3923869"/>
        </a:xfrm>
        <a:prstGeom prst="rect">
          <a:avLst/>
        </a:prstGeom>
      </xdr:spPr>
    </xdr:pic>
    <xdr:clientData/>
  </xdr:twoCellAnchor>
  <xdr:twoCellAnchor editAs="oneCell">
    <xdr:from>
      <xdr:col>26</xdr:col>
      <xdr:colOff>128649</xdr:colOff>
      <xdr:row>30</xdr:row>
      <xdr:rowOff>140200</xdr:rowOff>
    </xdr:from>
    <xdr:to>
      <xdr:col>34</xdr:col>
      <xdr:colOff>587270</xdr:colOff>
      <xdr:row>43</xdr:row>
      <xdr:rowOff>138071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3A7F344-5142-4E32-A9D8-FC103C3C4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907506" y="6117447"/>
          <a:ext cx="7712465" cy="2610442"/>
        </a:xfrm>
        <a:prstGeom prst="rect">
          <a:avLst/>
        </a:prstGeom>
      </xdr:spPr>
    </xdr:pic>
    <xdr:clientData/>
  </xdr:twoCellAnchor>
  <xdr:twoCellAnchor editAs="oneCell">
    <xdr:from>
      <xdr:col>10</xdr:col>
      <xdr:colOff>21699</xdr:colOff>
      <xdr:row>17</xdr:row>
      <xdr:rowOff>80630</xdr:rowOff>
    </xdr:from>
    <xdr:to>
      <xdr:col>16</xdr:col>
      <xdr:colOff>425488</xdr:colOff>
      <xdr:row>33</xdr:row>
      <xdr:rowOff>165515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CBBE1AD-5EAB-4A0E-8E57-1FD969BB3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413599" y="3395330"/>
          <a:ext cx="6042589" cy="3157869"/>
        </a:xfrm>
        <a:prstGeom prst="rect">
          <a:avLst/>
        </a:prstGeom>
        <a:ln w="952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98859</xdr:colOff>
      <xdr:row>81</xdr:row>
      <xdr:rowOff>29285</xdr:rowOff>
    </xdr:from>
    <xdr:to>
      <xdr:col>9</xdr:col>
      <xdr:colOff>856009</xdr:colOff>
      <xdr:row>104</xdr:row>
      <xdr:rowOff>47827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AE51EE6-C354-47E3-B86C-7030B51D0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4734" y="15526460"/>
          <a:ext cx="5519650" cy="4400041"/>
        </a:xfrm>
        <a:prstGeom prst="rect">
          <a:avLst/>
        </a:prstGeom>
      </xdr:spPr>
    </xdr:pic>
    <xdr:clientData/>
  </xdr:twoCellAnchor>
  <xdr:twoCellAnchor editAs="oneCell">
    <xdr:from>
      <xdr:col>27</xdr:col>
      <xdr:colOff>285750</xdr:colOff>
      <xdr:row>3</xdr:row>
      <xdr:rowOff>133350</xdr:rowOff>
    </xdr:from>
    <xdr:to>
      <xdr:col>38</xdr:col>
      <xdr:colOff>754665</xdr:colOff>
      <xdr:row>19</xdr:row>
      <xdr:rowOff>15945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8E7A858-D04F-20D6-EDE0-159FBE74F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889200" y="762000"/>
          <a:ext cx="10127265" cy="2955891"/>
        </a:xfrm>
        <a:prstGeom prst="rect">
          <a:avLst/>
        </a:prstGeom>
      </xdr:spPr>
    </xdr:pic>
    <xdr:clientData/>
  </xdr:twoCellAnchor>
  <xdr:twoCellAnchor editAs="oneCell">
    <xdr:from>
      <xdr:col>45</xdr:col>
      <xdr:colOff>476250</xdr:colOff>
      <xdr:row>1</xdr:row>
      <xdr:rowOff>38100</xdr:rowOff>
    </xdr:from>
    <xdr:to>
      <xdr:col>54</xdr:col>
      <xdr:colOff>177576</xdr:colOff>
      <xdr:row>14</xdr:row>
      <xdr:rowOff>87846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67C148-DC8F-774B-0C69-00BF86AEA2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</a14:imgLayer>
              </a14:imgProps>
            </a:ext>
          </a:extLst>
        </a:blip>
        <a:srcRect t="5584"/>
        <a:stretch/>
      </xdr:blipFill>
      <xdr:spPr>
        <a:xfrm>
          <a:off x="43929300" y="247650"/>
          <a:ext cx="9969276" cy="2583396"/>
        </a:xfrm>
        <a:prstGeom prst="rect">
          <a:avLst/>
        </a:prstGeom>
      </xdr:spPr>
    </xdr:pic>
    <xdr:clientData/>
  </xdr:twoCellAnchor>
  <xdr:twoCellAnchor editAs="oneCell">
    <xdr:from>
      <xdr:col>43</xdr:col>
      <xdr:colOff>824823</xdr:colOff>
      <xdr:row>44</xdr:row>
      <xdr:rowOff>117006</xdr:rowOff>
    </xdr:from>
    <xdr:to>
      <xdr:col>53</xdr:col>
      <xdr:colOff>1362819</xdr:colOff>
      <xdr:row>69</xdr:row>
      <xdr:rowOff>177799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4DE738A-D608-CAD3-E74F-336313DD0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074423" y="9032406"/>
          <a:ext cx="11256796" cy="5140794"/>
        </a:xfrm>
        <a:prstGeom prst="rect">
          <a:avLst/>
        </a:prstGeom>
      </xdr:spPr>
    </xdr:pic>
    <xdr:clientData/>
  </xdr:twoCellAnchor>
  <xdr:twoCellAnchor editAs="oneCell">
    <xdr:from>
      <xdr:col>58</xdr:col>
      <xdr:colOff>681229</xdr:colOff>
      <xdr:row>37</xdr:row>
      <xdr:rowOff>43078</xdr:rowOff>
    </xdr:from>
    <xdr:to>
      <xdr:col>60</xdr:col>
      <xdr:colOff>1029316</xdr:colOff>
      <xdr:row>41</xdr:row>
      <xdr:rowOff>172178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B88B87B-3E3F-E99C-2E78-AF05E93F2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203320" y="7230123"/>
          <a:ext cx="2860954" cy="936994"/>
        </a:xfrm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27</xdr:row>
      <xdr:rowOff>0</xdr:rowOff>
    </xdr:from>
    <xdr:to>
      <xdr:col>67</xdr:col>
      <xdr:colOff>898783</xdr:colOff>
      <xdr:row>31</xdr:row>
      <xdr:rowOff>9632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C8C7BB5-0A15-4D00-BBB6-B6BBDFF69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109679" y="5197929"/>
          <a:ext cx="5106113" cy="771633"/>
        </a:xfrm>
        <a:prstGeom prst="rect">
          <a:avLst/>
        </a:prstGeom>
      </xdr:spPr>
    </xdr:pic>
    <xdr:clientData/>
  </xdr:twoCellAnchor>
  <xdr:twoCellAnchor editAs="oneCell">
    <xdr:from>
      <xdr:col>32</xdr:col>
      <xdr:colOff>33726</xdr:colOff>
      <xdr:row>69</xdr:row>
      <xdr:rowOff>157202</xdr:rowOff>
    </xdr:from>
    <xdr:to>
      <xdr:col>42</xdr:col>
      <xdr:colOff>129885</xdr:colOff>
      <xdr:row>97</xdr:row>
      <xdr:rowOff>69128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C5B0E0A-265C-8304-3A09-BD75FDDAD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291726" y="14152602"/>
          <a:ext cx="8274959" cy="5601525"/>
        </a:xfrm>
        <a:prstGeom prst="rect">
          <a:avLst/>
        </a:prstGeom>
      </xdr:spPr>
    </xdr:pic>
    <xdr:clientData/>
  </xdr:twoCellAnchor>
  <xdr:twoCellAnchor editAs="oneCell">
    <xdr:from>
      <xdr:col>24</xdr:col>
      <xdr:colOff>1008527</xdr:colOff>
      <xdr:row>67</xdr:row>
      <xdr:rowOff>172349</xdr:rowOff>
    </xdr:from>
    <xdr:to>
      <xdr:col>31</xdr:col>
      <xdr:colOff>885533</xdr:colOff>
      <xdr:row>80</xdr:row>
      <xdr:rowOff>106014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BCE6982-0FA4-D8D3-0C06-FCA0409D6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875127" y="13761349"/>
          <a:ext cx="6252406" cy="25752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589758</xdr:colOff>
      <xdr:row>4</xdr:row>
      <xdr:rowOff>169345</xdr:rowOff>
    </xdr:from>
    <xdr:to>
      <xdr:col>12</xdr:col>
      <xdr:colOff>456239</xdr:colOff>
      <xdr:row>17</xdr:row>
      <xdr:rowOff>87960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9868AF-4FF1-4852-953A-8DE0C0243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9158" y="931345"/>
          <a:ext cx="6388385" cy="25420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33617</xdr:colOff>
      <xdr:row>0</xdr:row>
      <xdr:rowOff>171450</xdr:rowOff>
    </xdr:from>
    <xdr:to>
      <xdr:col>18</xdr:col>
      <xdr:colOff>168087</xdr:colOff>
      <xdr:row>19</xdr:row>
      <xdr:rowOff>145676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306C3C-9F1A-4C4B-AD04-40F51FE91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138671</xdr:colOff>
      <xdr:row>1</xdr:row>
      <xdr:rowOff>19610</xdr:rowOff>
    </xdr:from>
    <xdr:to>
      <xdr:col>32</xdr:col>
      <xdr:colOff>33617</xdr:colOff>
      <xdr:row>27</xdr:row>
      <xdr:rowOff>100853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893E72-36F5-4107-8B61-0F80567AB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473928</xdr:colOff>
      <xdr:row>22</xdr:row>
      <xdr:rowOff>17649</xdr:rowOff>
    </xdr:from>
    <xdr:to>
      <xdr:col>11</xdr:col>
      <xdr:colOff>740628</xdr:colOff>
      <xdr:row>35</xdr:row>
      <xdr:rowOff>127187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DE9AF6-C345-4371-A9B8-9071902D1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CFC3-4CEC-43BB-AB33-8747F5006B7D}">
  <dimension ref="A1:AH85"/>
  <sheetViews>
    <sheetView zoomScale="70" zoomScaleNormal="70" workbookViewId="0">
      <selection activeCell="AH20" sqref="AH20"/>
    </sheetView>
  </sheetViews>
  <sheetFormatPr baseColWidth="10" defaultColWidth="11.54296875" defaultRowHeight="15.5" x14ac:dyDescent="0.35"/>
  <cols>
    <col min="1" max="1" width="50" style="1" customWidth="1"/>
    <col min="2" max="2" width="38.7265625" style="1" customWidth="1"/>
    <col min="3" max="3" width="19.453125" style="1" bestFit="1" customWidth="1"/>
    <col min="4" max="4" width="15.26953125" style="1" customWidth="1"/>
    <col min="5" max="5" width="21.7265625" style="1" bestFit="1" customWidth="1"/>
    <col min="6" max="6" width="15.1796875" style="1" customWidth="1"/>
    <col min="7" max="7" width="15" style="1" bestFit="1" customWidth="1"/>
    <col min="8" max="8" width="15.7265625" style="1" bestFit="1" customWidth="1"/>
    <col min="9" max="10" width="15" style="1" bestFit="1" customWidth="1"/>
    <col min="11" max="11" width="19.7265625" style="1" bestFit="1" customWidth="1"/>
    <col min="12" max="12" width="17.26953125" style="1" bestFit="1" customWidth="1"/>
    <col min="13" max="13" width="18.7265625" style="1" bestFit="1" customWidth="1"/>
    <col min="14" max="14" width="31.81640625" style="1" bestFit="1" customWidth="1"/>
    <col min="15" max="15" width="17.26953125" style="1" bestFit="1" customWidth="1"/>
    <col min="16" max="16" width="17.81640625" style="1" bestFit="1" customWidth="1"/>
    <col min="17" max="17" width="15" style="1" bestFit="1" customWidth="1"/>
    <col min="18" max="18" width="16.54296875" style="1" bestFit="1" customWidth="1"/>
    <col min="19" max="19" width="12.26953125" style="1" bestFit="1" customWidth="1"/>
    <col min="20" max="20" width="16" style="1" bestFit="1" customWidth="1"/>
    <col min="21" max="21" width="20.7265625" style="1" bestFit="1" customWidth="1"/>
    <col min="22" max="22" width="24" style="1" bestFit="1" customWidth="1"/>
    <col min="23" max="23" width="15.7265625" style="1" bestFit="1" customWidth="1"/>
    <col min="24" max="24" width="16.54296875" style="1" bestFit="1" customWidth="1"/>
    <col min="25" max="25" width="14.81640625" style="1" bestFit="1" customWidth="1"/>
    <col min="26" max="26" width="12.54296875" style="1" bestFit="1" customWidth="1"/>
    <col min="27" max="27" width="11.7265625" style="1" bestFit="1" customWidth="1"/>
    <col min="28" max="28" width="15" style="1" bestFit="1" customWidth="1"/>
    <col min="29" max="29" width="11.54296875" style="185"/>
    <col min="30" max="30" width="14.81640625" style="1" bestFit="1" customWidth="1"/>
    <col min="31" max="31" width="14.7265625" style="1" bestFit="1" customWidth="1"/>
    <col min="32" max="16384" width="11.54296875" style="1"/>
  </cols>
  <sheetData>
    <row r="1" spans="1:33" x14ac:dyDescent="0.35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</row>
    <row r="2" spans="1:33" x14ac:dyDescent="0.3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</row>
    <row r="3" spans="1:33" x14ac:dyDescent="0.35">
      <c r="A3" s="185"/>
      <c r="B3" s="185"/>
      <c r="C3" s="185"/>
      <c r="D3" s="185"/>
      <c r="E3" s="185"/>
      <c r="F3" s="186" t="s">
        <v>0</v>
      </c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</row>
    <row r="4" spans="1:33" x14ac:dyDescent="0.35">
      <c r="A4" s="185"/>
      <c r="B4" s="185"/>
      <c r="C4" s="185"/>
      <c r="D4" s="185"/>
      <c r="E4" s="185"/>
      <c r="F4" s="186" t="s">
        <v>1</v>
      </c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</row>
    <row r="5" spans="1:33" x14ac:dyDescent="0.35">
      <c r="A5" s="185"/>
      <c r="B5" s="185"/>
      <c r="C5" s="185"/>
      <c r="D5" s="185"/>
      <c r="E5" s="185"/>
      <c r="F5" s="186" t="s">
        <v>2</v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</row>
    <row r="6" spans="1:33" x14ac:dyDescent="0.35">
      <c r="A6" s="185"/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</row>
    <row r="7" spans="1:33" x14ac:dyDescent="0.35">
      <c r="A7" s="185"/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</row>
    <row r="8" spans="1:33" x14ac:dyDescent="0.35">
      <c r="A8" s="185"/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</row>
    <row r="9" spans="1:33" x14ac:dyDescent="0.3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</row>
    <row r="10" spans="1:33" x14ac:dyDescent="0.35">
      <c r="A10" s="185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</row>
    <row r="11" spans="1:33" ht="16" thickBot="1" x14ac:dyDescent="0.4">
      <c r="A11" s="185"/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241" t="s">
        <v>3</v>
      </c>
      <c r="O11" s="236" t="s">
        <v>4</v>
      </c>
      <c r="P11" s="237"/>
      <c r="Q11" s="237"/>
      <c r="R11" s="237"/>
      <c r="S11" s="238"/>
      <c r="T11" s="240" t="s">
        <v>5</v>
      </c>
      <c r="U11" s="240"/>
      <c r="V11" s="240"/>
      <c r="W11" s="240"/>
      <c r="X11" s="240"/>
      <c r="Y11" s="185"/>
      <c r="Z11" s="185"/>
      <c r="AA11" s="185"/>
      <c r="AB11" s="185"/>
    </row>
    <row r="12" spans="1:33" ht="16" thickBot="1" x14ac:dyDescent="0.4">
      <c r="A12" s="185"/>
      <c r="B12" s="244" t="s">
        <v>6</v>
      </c>
      <c r="C12" s="245"/>
      <c r="D12" s="245"/>
      <c r="E12" s="246"/>
      <c r="F12" s="185"/>
      <c r="G12" s="185"/>
      <c r="H12" s="185"/>
      <c r="I12" s="185"/>
      <c r="J12" s="185"/>
      <c r="K12" s="185"/>
      <c r="L12" s="185"/>
      <c r="M12" s="185"/>
      <c r="N12" s="242"/>
      <c r="O12" s="4"/>
      <c r="P12" s="4" t="s">
        <v>7</v>
      </c>
      <c r="Q12" s="4" t="s">
        <v>8</v>
      </c>
      <c r="R12" s="4" t="s">
        <v>9</v>
      </c>
      <c r="S12" s="4" t="s">
        <v>10</v>
      </c>
      <c r="T12" s="5" t="s">
        <v>7</v>
      </c>
      <c r="U12" s="5" t="s">
        <v>8</v>
      </c>
      <c r="V12" s="5" t="s">
        <v>9</v>
      </c>
      <c r="W12" s="5" t="s">
        <v>10</v>
      </c>
      <c r="X12" s="5" t="s">
        <v>11</v>
      </c>
      <c r="Y12" s="185"/>
      <c r="Z12" s="185"/>
      <c r="AA12" s="185"/>
      <c r="AB12" s="185"/>
      <c r="AD12" s="62">
        <v>82095412.467759803</v>
      </c>
    </row>
    <row r="13" spans="1:33" x14ac:dyDescent="0.35">
      <c r="A13" s="185"/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6" t="s">
        <v>12</v>
      </c>
      <c r="O13" s="7">
        <v>1</v>
      </c>
      <c r="P13" s="8">
        <f>D19+E22</f>
        <v>66754700.019650996</v>
      </c>
      <c r="Q13" s="8">
        <f>D15+D18</f>
        <v>72598580.670439377</v>
      </c>
      <c r="R13" s="8">
        <f>D14</f>
        <v>1949942.2735939701</v>
      </c>
      <c r="S13" s="9">
        <v>0</v>
      </c>
      <c r="T13" s="10">
        <f t="shared" ref="T13:W18" si="0">P13/3600</f>
        <v>18542.972227680832</v>
      </c>
      <c r="U13" s="10">
        <f t="shared" si="0"/>
        <v>20166.272408455381</v>
      </c>
      <c r="V13" s="11">
        <f t="shared" si="0"/>
        <v>541.65063155388054</v>
      </c>
      <c r="W13" s="11">
        <f t="shared" si="0"/>
        <v>0</v>
      </c>
      <c r="X13" s="12">
        <f t="shared" ref="X13:X18" si="1">W13-V13</f>
        <v>-541.65063155388054</v>
      </c>
      <c r="Y13" s="201">
        <f>+X13/$Z$13</f>
        <v>3.1374015226343665E-3</v>
      </c>
      <c r="Z13" s="188">
        <f>+SUM(X13:X17)</f>
        <v>-172643.07027526252</v>
      </c>
      <c r="AA13" s="185"/>
      <c r="AB13" s="185"/>
      <c r="AD13" s="62">
        <v>51304822.563131697</v>
      </c>
      <c r="AE13" s="1">
        <v>1615610222.7129395</v>
      </c>
    </row>
    <row r="14" spans="1:33" x14ac:dyDescent="0.35">
      <c r="A14" s="185"/>
      <c r="B14" s="10" t="s">
        <v>13</v>
      </c>
      <c r="C14" s="15" t="s">
        <v>14</v>
      </c>
      <c r="D14" s="16">
        <v>1949942.2735939701</v>
      </c>
      <c r="E14" s="10" t="s">
        <v>15</v>
      </c>
      <c r="F14" s="185"/>
      <c r="G14" s="185"/>
      <c r="H14" s="185"/>
      <c r="I14" s="185"/>
      <c r="J14" s="185"/>
      <c r="K14" s="185"/>
      <c r="L14" s="185"/>
      <c r="M14" s="185"/>
      <c r="T14" s="10">
        <f t="shared" si="0"/>
        <v>0</v>
      </c>
      <c r="U14" s="10">
        <f t="shared" si="0"/>
        <v>0</v>
      </c>
      <c r="V14" s="11">
        <f>R14/3600</f>
        <v>0</v>
      </c>
      <c r="W14" s="11">
        <f t="shared" si="0"/>
        <v>0</v>
      </c>
      <c r="X14" s="11">
        <f t="shared" si="1"/>
        <v>0</v>
      </c>
      <c r="Y14" s="201">
        <f>+X14/$Z$13</f>
        <v>0</v>
      </c>
      <c r="Z14" s="188">
        <f>X15/X18</f>
        <v>-0.20329835242511643</v>
      </c>
      <c r="AA14" s="185"/>
      <c r="AB14" s="185"/>
      <c r="AD14" s="1">
        <f>SUM(AD12:AD13)</f>
        <v>133400235.03089151</v>
      </c>
      <c r="AG14" s="1">
        <f>AD14/3600</f>
        <v>37055.620841914308</v>
      </c>
    </row>
    <row r="15" spans="1:33" x14ac:dyDescent="0.35">
      <c r="A15" s="185"/>
      <c r="B15" s="10" t="s">
        <v>8</v>
      </c>
      <c r="C15" s="15" t="s">
        <v>16</v>
      </c>
      <c r="D15" s="16">
        <v>1303605.65094848</v>
      </c>
      <c r="E15" s="10" t="s">
        <v>17</v>
      </c>
      <c r="F15" s="185"/>
      <c r="G15" s="185"/>
      <c r="H15" s="185"/>
      <c r="I15" s="185"/>
      <c r="J15" s="185"/>
      <c r="K15" s="185"/>
      <c r="L15" s="185"/>
      <c r="M15" s="185"/>
      <c r="N15" s="6" t="s">
        <v>18</v>
      </c>
      <c r="O15" s="7">
        <v>2</v>
      </c>
      <c r="P15" s="10">
        <f>C47</f>
        <v>38790272012.763657</v>
      </c>
      <c r="Q15" s="10">
        <f>C46</f>
        <v>38296439434.304985</v>
      </c>
      <c r="R15" s="10">
        <f>C48</f>
        <v>328450896.43871599</v>
      </c>
      <c r="S15" s="17">
        <f>C49</f>
        <v>0</v>
      </c>
      <c r="T15" s="10">
        <f t="shared" si="0"/>
        <v>10775075.559101015</v>
      </c>
      <c r="U15" s="10">
        <f t="shared" si="0"/>
        <v>10637899.842862496</v>
      </c>
      <c r="V15" s="11">
        <f>R15/3600</f>
        <v>91236.360121865553</v>
      </c>
      <c r="W15" s="11">
        <f t="shared" si="0"/>
        <v>0</v>
      </c>
      <c r="X15" s="12">
        <f>W15-V15</f>
        <v>-91236.360121865553</v>
      </c>
      <c r="Y15" s="201">
        <f>+X15/$Z$13</f>
        <v>0.52846812777598362</v>
      </c>
      <c r="Z15" s="207">
        <f>X17/X18</f>
        <v>-0.18018839580613377</v>
      </c>
      <c r="AA15" s="185"/>
      <c r="AB15" s="185"/>
    </row>
    <row r="16" spans="1:33" x14ac:dyDescent="0.35">
      <c r="A16" s="185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T16" s="10">
        <f t="shared" si="0"/>
        <v>0</v>
      </c>
      <c r="U16" s="10">
        <f t="shared" si="0"/>
        <v>0</v>
      </c>
      <c r="V16" s="11">
        <f t="shared" si="0"/>
        <v>0</v>
      </c>
      <c r="W16" s="11">
        <f t="shared" si="0"/>
        <v>0</v>
      </c>
      <c r="X16" s="11">
        <f t="shared" si="1"/>
        <v>0</v>
      </c>
      <c r="Y16" s="201">
        <f>+X16/$Z$13</f>
        <v>0</v>
      </c>
      <c r="Z16" s="185"/>
      <c r="AA16" s="185"/>
      <c r="AB16" s="185"/>
      <c r="AE16" s="1">
        <f>AE13+AD14</f>
        <v>1749010457.7438309</v>
      </c>
    </row>
    <row r="17" spans="1:34" x14ac:dyDescent="0.35">
      <c r="A17" s="185"/>
      <c r="B17" s="235" t="s">
        <v>19</v>
      </c>
      <c r="C17" s="235"/>
      <c r="D17" s="235"/>
      <c r="E17" s="235"/>
      <c r="F17" s="185"/>
      <c r="G17" s="185"/>
      <c r="H17" s="185"/>
      <c r="I17" s="185"/>
      <c r="J17" s="185"/>
      <c r="K17" s="185"/>
      <c r="L17" s="185"/>
      <c r="M17" s="185"/>
      <c r="N17" s="6" t="s">
        <v>20</v>
      </c>
      <c r="O17" s="7">
        <v>3</v>
      </c>
      <c r="P17" s="18">
        <f>F74</f>
        <v>243449693.37574589</v>
      </c>
      <c r="Q17" s="18"/>
      <c r="R17" s="228">
        <f>C75</f>
        <v>291114214.27863503</v>
      </c>
      <c r="S17" s="9">
        <v>0</v>
      </c>
      <c r="T17" s="10">
        <f t="shared" si="0"/>
        <v>67624.914826596083</v>
      </c>
      <c r="U17" s="10">
        <f t="shared" si="0"/>
        <v>0</v>
      </c>
      <c r="V17" s="11">
        <f t="shared" si="0"/>
        <v>80865.059521843068</v>
      </c>
      <c r="W17" s="11">
        <f t="shared" si="0"/>
        <v>0</v>
      </c>
      <c r="X17" s="12">
        <f>W17-V17</f>
        <v>-80865.059521843068</v>
      </c>
      <c r="Y17" s="201">
        <f>+X17/$Z$13</f>
        <v>0.4683944707013819</v>
      </c>
      <c r="Z17" s="185"/>
      <c r="AA17" s="185"/>
      <c r="AB17" s="185"/>
      <c r="AF17" s="53">
        <f>AE16/3600</f>
        <v>485836.23826217523</v>
      </c>
    </row>
    <row r="18" spans="1:34" x14ac:dyDescent="0.35">
      <c r="A18" s="185"/>
      <c r="B18" s="10" t="s">
        <v>21</v>
      </c>
      <c r="C18" s="15" t="s">
        <v>22</v>
      </c>
      <c r="D18" s="16">
        <v>71294975.019490898</v>
      </c>
      <c r="E18" s="19" t="s">
        <v>23</v>
      </c>
      <c r="F18" s="185"/>
      <c r="G18" s="185"/>
      <c r="H18" s="185"/>
      <c r="I18" s="185"/>
      <c r="J18" s="185"/>
      <c r="K18" s="185"/>
      <c r="L18" s="185"/>
      <c r="M18" s="185"/>
      <c r="N18" s="6" t="s">
        <v>24</v>
      </c>
      <c r="O18" s="7">
        <v>4</v>
      </c>
      <c r="P18" s="18">
        <f>L55</f>
        <v>1653087021.1767862</v>
      </c>
      <c r="Q18" s="1">
        <f>F64</f>
        <v>3003646380.3631244</v>
      </c>
      <c r="R18" s="18">
        <f>C63</f>
        <v>138469339.53062373</v>
      </c>
      <c r="S18" s="9">
        <f>C62</f>
        <v>1754079562.2435632</v>
      </c>
      <c r="T18" s="10">
        <f t="shared" si="0"/>
        <v>459190.83921577391</v>
      </c>
      <c r="U18" s="10">
        <f t="shared" si="0"/>
        <v>834346.2167675345</v>
      </c>
      <c r="V18" s="11">
        <f t="shared" si="0"/>
        <v>38463.705425173262</v>
      </c>
      <c r="W18" s="11">
        <f t="shared" si="0"/>
        <v>487244.32284543419</v>
      </c>
      <c r="X18" s="208">
        <f t="shared" si="1"/>
        <v>448780.61742026091</v>
      </c>
      <c r="AA18" s="185"/>
      <c r="AB18" s="185"/>
    </row>
    <row r="19" spans="1:34" x14ac:dyDescent="0.35">
      <c r="A19" s="185"/>
      <c r="B19" s="10" t="s">
        <v>25</v>
      </c>
      <c r="C19" s="15" t="s">
        <v>26</v>
      </c>
      <c r="D19" s="16">
        <v>12001687.5782787</v>
      </c>
      <c r="E19" s="19" t="s">
        <v>27</v>
      </c>
      <c r="F19" s="185"/>
      <c r="G19" s="185"/>
      <c r="H19" s="185"/>
      <c r="I19" s="185"/>
      <c r="J19" s="185"/>
      <c r="K19" s="185"/>
      <c r="L19" s="185"/>
      <c r="M19" s="185"/>
      <c r="N19" s="185"/>
      <c r="O19" s="7" t="s">
        <v>28</v>
      </c>
      <c r="P19" s="8">
        <f>SUM(P13:P18)</f>
        <v>40753563427.335846</v>
      </c>
      <c r="Q19" s="8">
        <f>Q18</f>
        <v>3003646380.3631244</v>
      </c>
      <c r="R19" s="8">
        <f>SUM(R13:R18)</f>
        <v>759984392.52156878</v>
      </c>
      <c r="S19" s="8">
        <f>SUM(S13:S18)</f>
        <v>1754079562.2435632</v>
      </c>
      <c r="T19" s="185"/>
      <c r="U19" s="185"/>
      <c r="V19" s="185"/>
      <c r="W19" s="185"/>
      <c r="X19" s="209">
        <f>SUM(X13:X18)</f>
        <v>276137.54714499839</v>
      </c>
      <c r="Y19" s="10" t="s">
        <v>5</v>
      </c>
      <c r="Z19" s="185"/>
      <c r="AA19" s="185"/>
      <c r="AB19" s="185">
        <f>X18-X19</f>
        <v>172643.07027526252</v>
      </c>
      <c r="AD19" s="14">
        <f>X18+X17</f>
        <v>367915.55789841781</v>
      </c>
      <c r="AG19" s="14">
        <f>AF17+X15</f>
        <v>394599.87814030971</v>
      </c>
    </row>
    <row r="20" spans="1:34" x14ac:dyDescent="0.35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9" t="s">
        <v>29</v>
      </c>
      <c r="P20" s="22">
        <f>P19-Q19</f>
        <v>37749917046.972725</v>
      </c>
      <c r="Q20" s="22" t="s">
        <v>4</v>
      </c>
      <c r="S20" s="185"/>
      <c r="T20" s="185"/>
      <c r="U20" s="185"/>
      <c r="V20" s="185"/>
      <c r="W20" s="199"/>
      <c r="Z20" s="185"/>
      <c r="AA20" s="185"/>
      <c r="AH20" s="14">
        <f>AG19-AG14</f>
        <v>357544.25729839539</v>
      </c>
    </row>
    <row r="21" spans="1:34" x14ac:dyDescent="0.35">
      <c r="A21" s="185"/>
      <c r="B21" s="185"/>
      <c r="C21" s="185"/>
      <c r="D21" s="183" t="s">
        <v>30</v>
      </c>
      <c r="E21" s="184"/>
      <c r="F21" s="185"/>
      <c r="G21" s="185"/>
      <c r="H21" s="185"/>
      <c r="I21" s="185"/>
      <c r="J21" s="185"/>
      <c r="K21" s="185"/>
      <c r="L21" s="185"/>
      <c r="M21" s="185"/>
      <c r="N21" s="185"/>
      <c r="O21" s="19" t="s">
        <v>31</v>
      </c>
      <c r="P21" s="22">
        <f>S19-R19</f>
        <v>994095169.7219944</v>
      </c>
      <c r="Q21" s="22" t="s">
        <v>4</v>
      </c>
      <c r="R21" s="185"/>
      <c r="S21" s="185"/>
      <c r="T21" s="185"/>
      <c r="U21" s="185"/>
      <c r="V21" s="185"/>
      <c r="W21" s="199"/>
      <c r="X21" s="8" t="s">
        <v>32</v>
      </c>
      <c r="Y21" s="10">
        <v>1029479.74304561</v>
      </c>
      <c r="Z21" s="188" t="s">
        <v>33</v>
      </c>
      <c r="AA21" s="185"/>
      <c r="AB21" s="185"/>
    </row>
    <row r="22" spans="1:34" x14ac:dyDescent="0.35">
      <c r="A22" s="185"/>
      <c r="C22" s="10" t="s">
        <v>25</v>
      </c>
      <c r="D22" s="15" t="s">
        <v>34</v>
      </c>
      <c r="E22" s="16">
        <v>54753012.441372298</v>
      </c>
      <c r="F22" s="185"/>
      <c r="G22" s="185"/>
      <c r="H22" s="185"/>
      <c r="I22" s="185"/>
      <c r="J22" s="185"/>
      <c r="K22" s="185"/>
      <c r="L22" s="185"/>
      <c r="M22" s="185"/>
      <c r="N22" s="185"/>
      <c r="O22" s="19" t="s">
        <v>35</v>
      </c>
      <c r="P22" s="22">
        <f>P21/3600</f>
        <v>276137.54714499845</v>
      </c>
      <c r="Q22" s="22" t="s">
        <v>5</v>
      </c>
      <c r="R22" s="10">
        <f>P22/1000</f>
        <v>276.13754714499845</v>
      </c>
      <c r="S22" s="10" t="s">
        <v>36</v>
      </c>
      <c r="T22" s="185"/>
      <c r="U22" s="10"/>
      <c r="V22" s="10" t="s">
        <v>37</v>
      </c>
      <c r="X22" s="8" t="s">
        <v>38</v>
      </c>
      <c r="Y22" s="10">
        <v>237822.033807189</v>
      </c>
      <c r="Z22" s="185">
        <v>248060.220472313</v>
      </c>
    </row>
    <row r="23" spans="1:34" x14ac:dyDescent="0.35">
      <c r="A23" s="185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9" t="s">
        <v>39</v>
      </c>
      <c r="P23" s="127">
        <f>P21/Q19</f>
        <v>0.33096278450787997</v>
      </c>
      <c r="Q23" s="22">
        <f>P23*100</f>
        <v>33.096278450787999</v>
      </c>
      <c r="R23" s="188">
        <f>F65</f>
        <v>834346.2167675345</v>
      </c>
      <c r="S23" s="185"/>
      <c r="T23" s="185"/>
      <c r="U23" s="10" t="s">
        <v>40</v>
      </c>
      <c r="V23" s="10">
        <v>0.98499999999999999</v>
      </c>
      <c r="W23" s="199"/>
      <c r="X23" s="185"/>
      <c r="Y23" s="24">
        <f>Y22/Y21</f>
        <v>0.2310118634327053</v>
      </c>
      <c r="Z23" s="185"/>
      <c r="AA23" s="185"/>
      <c r="AB23" s="185"/>
    </row>
    <row r="24" spans="1:34" x14ac:dyDescent="0.35">
      <c r="A24" s="185"/>
      <c r="B24" s="185"/>
      <c r="C24" s="25" t="s">
        <v>41</v>
      </c>
      <c r="D24" s="15" t="s">
        <v>26</v>
      </c>
      <c r="E24" s="15" t="s">
        <v>42</v>
      </c>
      <c r="F24" s="15" t="s">
        <v>34</v>
      </c>
      <c r="G24" s="15" t="s">
        <v>14</v>
      </c>
      <c r="H24" s="15" t="s">
        <v>16</v>
      </c>
      <c r="J24" s="185"/>
      <c r="K24" s="185"/>
      <c r="L24" s="185"/>
      <c r="M24" s="185"/>
      <c r="N24" s="185"/>
      <c r="P24" s="185"/>
      <c r="Q24" s="185"/>
      <c r="S24" s="185"/>
      <c r="T24" s="185"/>
      <c r="U24" s="10" t="s">
        <v>43</v>
      </c>
      <c r="V24" s="26">
        <f>X19*V23</f>
        <v>271995.48393782339</v>
      </c>
      <c r="W24" s="200" t="s">
        <v>44</v>
      </c>
      <c r="X24" s="199"/>
      <c r="Y24" s="10">
        <f>R15/Y22</f>
        <v>1381.0784946234339</v>
      </c>
      <c r="Z24" s="188" t="s">
        <v>45</v>
      </c>
      <c r="AA24" s="185"/>
      <c r="AB24" s="185"/>
    </row>
    <row r="25" spans="1:34" x14ac:dyDescent="0.35">
      <c r="A25" s="185"/>
      <c r="B25" s="16" t="s">
        <v>46</v>
      </c>
      <c r="C25" s="25" t="s">
        <v>4</v>
      </c>
      <c r="D25" s="16">
        <v>12001687.5782787</v>
      </c>
      <c r="E25" s="16">
        <v>71294975.019490898</v>
      </c>
      <c r="F25" s="16">
        <v>54753012.441372298</v>
      </c>
      <c r="G25" s="16">
        <v>1949942.2735939701</v>
      </c>
      <c r="H25" s="16">
        <v>1303605.65094848</v>
      </c>
      <c r="J25" s="185"/>
      <c r="K25" s="185"/>
      <c r="L25" s="185"/>
      <c r="M25" s="185"/>
      <c r="N25" s="198" t="s">
        <v>47</v>
      </c>
      <c r="O25" s="188">
        <f>P23/C67</f>
        <v>0.39985337723757264</v>
      </c>
      <c r="P25" s="188">
        <f>P23*V23</f>
        <v>0.32599834274026179</v>
      </c>
      <c r="Q25" s="185"/>
      <c r="R25" s="185"/>
      <c r="S25" s="185"/>
      <c r="T25" s="185"/>
      <c r="U25" s="185"/>
      <c r="V25" s="191">
        <f>V24/1000</f>
        <v>271.99548393782339</v>
      </c>
      <c r="W25" s="200" t="s">
        <v>36</v>
      </c>
      <c r="X25" s="199"/>
      <c r="Y25" s="10">
        <v>237822.032419653</v>
      </c>
      <c r="Z25" s="188" t="s">
        <v>33</v>
      </c>
      <c r="AA25" s="185"/>
      <c r="AB25" s="185"/>
      <c r="AD25" s="218"/>
    </row>
    <row r="26" spans="1:34" x14ac:dyDescent="0.35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8">
        <f>0.33/0.83</f>
        <v>0.39759036144578319</v>
      </c>
      <c r="Q26" s="185"/>
      <c r="R26" s="185"/>
      <c r="T26" s="185"/>
      <c r="U26" s="185"/>
      <c r="V26" s="243" t="s">
        <v>48</v>
      </c>
      <c r="W26" s="243"/>
      <c r="Y26" s="11">
        <f>-X15</f>
        <v>91236.360121865553</v>
      </c>
      <c r="Z26" s="188" t="s">
        <v>5</v>
      </c>
      <c r="AA26" s="185"/>
      <c r="AB26" s="185"/>
    </row>
    <row r="27" spans="1:34" x14ac:dyDescent="0.35">
      <c r="A27" s="185"/>
      <c r="B27" s="187"/>
      <c r="C27" s="196" t="s">
        <v>41</v>
      </c>
      <c r="D27" s="196" t="s">
        <v>26</v>
      </c>
      <c r="E27" s="196" t="s">
        <v>42</v>
      </c>
      <c r="F27" s="196" t="s">
        <v>34</v>
      </c>
      <c r="G27" s="196" t="s">
        <v>14</v>
      </c>
      <c r="H27" s="196" t="s">
        <v>16</v>
      </c>
      <c r="I27" s="185"/>
      <c r="J27" s="185"/>
      <c r="K27" s="185"/>
      <c r="L27" s="185"/>
      <c r="M27" s="185"/>
      <c r="O27" s="188">
        <f>Q19*0.8277</f>
        <v>2486118109.0265579</v>
      </c>
      <c r="P27" s="185"/>
      <c r="Q27" s="185"/>
      <c r="R27" s="185"/>
      <c r="S27" s="185"/>
      <c r="T27" s="185"/>
      <c r="U27" s="234" t="s">
        <v>49</v>
      </c>
      <c r="V27" s="234"/>
      <c r="W27" s="200">
        <v>8760</v>
      </c>
      <c r="X27" s="199"/>
      <c r="Y27" s="29">
        <f>+Y25/Y26</f>
        <v>2.6066584868356335</v>
      </c>
      <c r="Z27" s="188" t="s">
        <v>50</v>
      </c>
      <c r="AA27" s="217">
        <f>Y26/Y25</f>
        <v>0.38363291741142319</v>
      </c>
      <c r="AB27" s="185"/>
    </row>
    <row r="28" spans="1:34" x14ac:dyDescent="0.35">
      <c r="A28" s="185"/>
      <c r="B28" s="189" t="s">
        <v>46</v>
      </c>
      <c r="C28" s="189" t="s">
        <v>4</v>
      </c>
      <c r="D28" s="189">
        <v>12001687.5782787</v>
      </c>
      <c r="E28" s="189">
        <v>71294975.019490898</v>
      </c>
      <c r="F28" s="189">
        <v>54753012.441372298</v>
      </c>
      <c r="G28" s="189">
        <v>1949942.2735939701</v>
      </c>
      <c r="H28" s="189">
        <v>1303605.65094848</v>
      </c>
      <c r="I28" s="185"/>
      <c r="J28" s="185"/>
      <c r="K28" s="185"/>
      <c r="L28" s="185"/>
      <c r="M28" s="185"/>
      <c r="N28" s="185"/>
      <c r="O28" s="188">
        <f>P21/O27</f>
        <v>0.39985838408587648</v>
      </c>
      <c r="Q28" s="185"/>
      <c r="R28" s="185"/>
      <c r="S28" s="185"/>
      <c r="T28" s="185"/>
      <c r="U28" s="200">
        <v>-213916.453148434</v>
      </c>
      <c r="V28" s="24">
        <f>V24*W27</f>
        <v>2382680439.2953329</v>
      </c>
      <c r="W28" s="200" t="s">
        <v>51</v>
      </c>
      <c r="X28" s="185"/>
      <c r="Y28" s="185"/>
      <c r="Z28" s="185"/>
      <c r="AA28" s="185"/>
      <c r="AB28" s="185"/>
    </row>
    <row r="29" spans="1:34" x14ac:dyDescent="0.35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8">
        <v>7447.5630187899997</v>
      </c>
      <c r="P29" s="185"/>
      <c r="Q29" s="185"/>
      <c r="R29" s="185"/>
      <c r="S29" s="185"/>
      <c r="T29" s="185"/>
      <c r="V29" s="199"/>
      <c r="W29" s="213">
        <f>X13</f>
        <v>-541.65063155388054</v>
      </c>
      <c r="X29" s="11">
        <f>W29</f>
        <v>-541.65063155388054</v>
      </c>
      <c r="Y29" s="10">
        <v>1.67</v>
      </c>
      <c r="Z29" s="210">
        <f>Y29/$Y$27</f>
        <v>0.64066697207707679</v>
      </c>
      <c r="AA29" s="215">
        <f>1-Z29</f>
        <v>0.35933302792292321</v>
      </c>
      <c r="AB29" s="207">
        <v>2.8730000000000002</v>
      </c>
    </row>
    <row r="30" spans="1:34" x14ac:dyDescent="0.35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8">
        <v>7431.9385099204401</v>
      </c>
      <c r="P30" s="185"/>
      <c r="Q30" s="185"/>
      <c r="R30" s="185"/>
      <c r="S30" s="185"/>
      <c r="T30" s="185"/>
      <c r="U30" s="199"/>
      <c r="V30" s="199"/>
      <c r="W30" s="200">
        <f>X14</f>
        <v>0</v>
      </c>
      <c r="X30" s="11">
        <f>W30</f>
        <v>0</v>
      </c>
      <c r="Y30" s="10">
        <v>2.5</v>
      </c>
      <c r="Z30" s="210">
        <f>Y30/$Y$27</f>
        <v>0.95908229352855801</v>
      </c>
      <c r="AA30" s="215">
        <f>1-Z30</f>
        <v>4.0917706471441995E-2</v>
      </c>
      <c r="AB30" s="207">
        <f>AB29*2</f>
        <v>5.7460000000000004</v>
      </c>
    </row>
    <row r="31" spans="1:34" x14ac:dyDescent="0.35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8">
        <f>O30/O29</f>
        <v>0.99790206422823957</v>
      </c>
      <c r="P31" s="185"/>
      <c r="Q31" s="185"/>
      <c r="R31" s="185"/>
      <c r="S31" s="185"/>
      <c r="T31" s="185"/>
      <c r="U31" s="199"/>
      <c r="V31" s="199"/>
      <c r="W31" s="200">
        <f>U28*Z29</f>
        <v>-137049.20631607505</v>
      </c>
      <c r="X31" s="11">
        <f>U28*Z30</f>
        <v>-205163.48250909441</v>
      </c>
      <c r="Z31" s="199"/>
      <c r="AB31" s="199"/>
    </row>
    <row r="32" spans="1:34" x14ac:dyDescent="0.35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99"/>
      <c r="V32" s="199"/>
      <c r="W32" s="200">
        <f>X16</f>
        <v>0</v>
      </c>
      <c r="X32" s="11">
        <f>W32</f>
        <v>0</v>
      </c>
      <c r="Y32" s="199"/>
      <c r="Z32" s="199"/>
      <c r="AA32" s="199"/>
      <c r="AB32" s="199"/>
    </row>
    <row r="33" spans="1:28" x14ac:dyDescent="0.35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99"/>
      <c r="V33" s="199"/>
      <c r="W33" s="200">
        <f>X17</f>
        <v>-80865.059521843068</v>
      </c>
      <c r="X33" s="11">
        <f>W33</f>
        <v>-80865.059521843068</v>
      </c>
      <c r="Y33" s="199"/>
      <c r="Z33" s="199"/>
      <c r="AB33" s="199"/>
    </row>
    <row r="34" spans="1:28" x14ac:dyDescent="0.35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99"/>
      <c r="V34" s="199"/>
      <c r="W34" s="200">
        <f>X18</f>
        <v>448780.61742026091</v>
      </c>
      <c r="X34" s="11">
        <f>W34</f>
        <v>448780.61742026091</v>
      </c>
      <c r="Y34" s="199"/>
      <c r="Z34" s="199"/>
      <c r="AA34" s="199"/>
      <c r="AB34" s="199"/>
    </row>
    <row r="35" spans="1:28" x14ac:dyDescent="0.35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P35" s="185"/>
      <c r="Q35" s="185"/>
      <c r="R35" s="185"/>
      <c r="T35" s="185"/>
      <c r="U35" s="200" t="s">
        <v>52</v>
      </c>
      <c r="V35" s="10">
        <f>F65</f>
        <v>834346.2167675345</v>
      </c>
      <c r="W35" s="211">
        <f>SUM(W29:W34)</f>
        <v>230324.70095078892</v>
      </c>
      <c r="X35" s="212">
        <f>SUM(X29:X34)</f>
        <v>162210.42475776956</v>
      </c>
      <c r="Y35" s="199"/>
      <c r="Z35" s="199"/>
      <c r="AA35" s="199"/>
      <c r="AB35" s="199"/>
    </row>
    <row r="36" spans="1:28" x14ac:dyDescent="0.35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99"/>
      <c r="Y36" s="199"/>
      <c r="Z36" s="199"/>
      <c r="AA36" s="199"/>
      <c r="AB36" s="199"/>
    </row>
    <row r="37" spans="1:28" x14ac:dyDescent="0.35">
      <c r="A37" s="185"/>
      <c r="G37" s="185"/>
      <c r="J37" s="185"/>
      <c r="K37" s="185"/>
      <c r="L37" s="185"/>
      <c r="M37" s="185"/>
      <c r="N37" s="185"/>
      <c r="O37" s="185"/>
      <c r="Q37" s="185"/>
      <c r="R37" s="185"/>
      <c r="S37" s="185"/>
      <c r="T37" s="190" t="s">
        <v>53</v>
      </c>
      <c r="U37" s="216" t="s">
        <v>54</v>
      </c>
      <c r="V37" s="201">
        <f>X19/V35</f>
        <v>0.33096278450787991</v>
      </c>
      <c r="W37" s="199"/>
      <c r="X37" s="216" t="s">
        <v>55</v>
      </c>
      <c r="Y37" s="11">
        <v>67896.760268964106</v>
      </c>
      <c r="Z37" s="10" t="s">
        <v>33</v>
      </c>
      <c r="AA37" s="199"/>
      <c r="AB37" s="199"/>
    </row>
    <row r="38" spans="1:28" x14ac:dyDescent="0.35">
      <c r="A38" s="185"/>
      <c r="B38" s="10">
        <v>1</v>
      </c>
      <c r="C38" s="19" t="s">
        <v>25</v>
      </c>
      <c r="D38" s="8">
        <v>41</v>
      </c>
      <c r="E38" s="8" t="s">
        <v>56</v>
      </c>
      <c r="F38" s="16">
        <v>234956511.44766599</v>
      </c>
      <c r="G38" s="185"/>
      <c r="H38" s="10">
        <v>8</v>
      </c>
      <c r="I38" s="19" t="s">
        <v>9</v>
      </c>
      <c r="J38" s="8">
        <v>12</v>
      </c>
      <c r="K38" s="8" t="s">
        <v>57</v>
      </c>
      <c r="L38" s="16">
        <v>0</v>
      </c>
      <c r="M38" s="185"/>
      <c r="N38" s="185"/>
      <c r="O38" s="185"/>
      <c r="P38" s="185"/>
      <c r="Q38" s="185"/>
      <c r="R38" s="185"/>
      <c r="S38" s="185"/>
      <c r="T38" s="185"/>
      <c r="U38" s="190" t="s">
        <v>58</v>
      </c>
      <c r="V38" s="202">
        <f>W35/V35</f>
        <v>0.27605410838096001</v>
      </c>
      <c r="W38" s="199"/>
      <c r="X38" s="190" t="s">
        <v>38</v>
      </c>
      <c r="Y38" s="214">
        <v>246603.75933469599</v>
      </c>
      <c r="Z38" s="191" t="s">
        <v>33</v>
      </c>
      <c r="AA38" s="199"/>
      <c r="AB38" s="199"/>
    </row>
    <row r="39" spans="1:28" x14ac:dyDescent="0.35">
      <c r="A39" s="185"/>
      <c r="B39" s="10">
        <v>2</v>
      </c>
      <c r="C39" s="19" t="s">
        <v>9</v>
      </c>
      <c r="D39" s="8">
        <v>10</v>
      </c>
      <c r="E39" s="8" t="s">
        <v>59</v>
      </c>
      <c r="F39" s="16">
        <v>221495362.62818301</v>
      </c>
      <c r="G39" s="185"/>
      <c r="H39" s="10">
        <v>9</v>
      </c>
      <c r="I39" s="19" t="s">
        <v>25</v>
      </c>
      <c r="J39" s="8">
        <v>45</v>
      </c>
      <c r="K39" s="8" t="s">
        <v>60</v>
      </c>
      <c r="L39" s="16">
        <v>0</v>
      </c>
      <c r="M39" s="185"/>
      <c r="N39" s="185"/>
      <c r="O39" s="185"/>
      <c r="P39" s="185"/>
      <c r="Q39" s="185"/>
      <c r="R39" s="185"/>
      <c r="S39" s="185"/>
      <c r="T39" s="185"/>
      <c r="U39" s="190" t="s">
        <v>61</v>
      </c>
      <c r="V39" s="203">
        <f>X35/V35</f>
        <v>0.19441620456578954</v>
      </c>
      <c r="W39" s="199"/>
      <c r="X39" s="185"/>
      <c r="Y39" s="10">
        <f>Y38/Y37</f>
        <v>3.6320401497480521</v>
      </c>
      <c r="Z39" s="239" t="s">
        <v>62</v>
      </c>
      <c r="AA39" s="239"/>
      <c r="AB39" s="239"/>
    </row>
    <row r="40" spans="1:28" x14ac:dyDescent="0.35">
      <c r="A40" s="185"/>
      <c r="B40" s="10">
        <v>3</v>
      </c>
      <c r="C40" s="19" t="s">
        <v>10</v>
      </c>
      <c r="D40" s="8">
        <v>42</v>
      </c>
      <c r="E40" s="8" t="s">
        <v>63</v>
      </c>
      <c r="F40" s="195"/>
      <c r="G40" s="188">
        <v>4834309.8615491996</v>
      </c>
      <c r="H40" s="10">
        <v>10</v>
      </c>
      <c r="I40" s="19" t="s">
        <v>25</v>
      </c>
      <c r="J40" s="2">
        <v>46</v>
      </c>
      <c r="K40" s="39" t="s">
        <v>64</v>
      </c>
      <c r="L40" s="16">
        <v>104482628.982609</v>
      </c>
      <c r="M40" s="185"/>
      <c r="N40" s="185"/>
      <c r="O40" s="185"/>
      <c r="P40" s="185"/>
      <c r="Q40" s="185"/>
      <c r="R40" s="185"/>
      <c r="S40" s="185"/>
      <c r="T40" s="185"/>
      <c r="U40" s="199"/>
      <c r="V40" s="185"/>
      <c r="W40" s="199"/>
      <c r="X40" s="185"/>
      <c r="Y40" s="185"/>
      <c r="Z40" s="199"/>
      <c r="AA40" s="185"/>
      <c r="AB40" s="199"/>
    </row>
    <row r="41" spans="1:28" x14ac:dyDescent="0.35">
      <c r="A41" s="185"/>
      <c r="B41" s="10">
        <v>4</v>
      </c>
      <c r="C41" s="19" t="s">
        <v>9</v>
      </c>
      <c r="D41" s="8">
        <v>11</v>
      </c>
      <c r="E41" s="8" t="s">
        <v>63</v>
      </c>
      <c r="F41" s="195"/>
      <c r="G41" s="185"/>
      <c r="H41" s="10">
        <v>11</v>
      </c>
      <c r="I41" s="19" t="s">
        <v>25</v>
      </c>
      <c r="J41" s="8">
        <v>48</v>
      </c>
      <c r="K41" s="8" t="s">
        <v>65</v>
      </c>
      <c r="L41" s="16">
        <v>38336135919.867104</v>
      </c>
      <c r="M41" s="185"/>
      <c r="N41" s="185"/>
      <c r="O41" s="185"/>
      <c r="P41" s="185"/>
      <c r="Q41" s="185"/>
      <c r="R41" s="185"/>
      <c r="S41" s="185"/>
      <c r="T41" s="185"/>
      <c r="U41" s="199"/>
      <c r="V41" s="185"/>
      <c r="W41" s="199"/>
      <c r="X41" s="185"/>
      <c r="Y41" s="185"/>
      <c r="Z41" s="199"/>
      <c r="AA41" s="185"/>
      <c r="AB41" s="199"/>
    </row>
    <row r="42" spans="1:28" x14ac:dyDescent="0.35">
      <c r="A42" s="185"/>
      <c r="B42" s="10">
        <v>5</v>
      </c>
      <c r="C42" s="19" t="s">
        <v>25</v>
      </c>
      <c r="D42" s="8">
        <v>44</v>
      </c>
      <c r="E42" s="8" t="s">
        <v>66</v>
      </c>
      <c r="F42" s="16">
        <v>4162628.0452337801</v>
      </c>
      <c r="G42" s="185"/>
      <c r="H42" s="10">
        <v>12</v>
      </c>
      <c r="I42" s="132" t="s">
        <v>8</v>
      </c>
      <c r="J42" s="8">
        <v>15</v>
      </c>
      <c r="K42" s="8" t="s">
        <v>67</v>
      </c>
      <c r="L42" s="16">
        <v>38278250126.968102</v>
      </c>
      <c r="M42" s="185"/>
      <c r="N42" s="185"/>
      <c r="O42" s="185"/>
      <c r="P42" s="185"/>
      <c r="Q42" s="185"/>
      <c r="R42" s="185"/>
      <c r="S42" s="185"/>
      <c r="T42" s="185"/>
      <c r="U42" s="199"/>
      <c r="V42" s="185"/>
      <c r="X42" s="185"/>
      <c r="Y42" s="185"/>
      <c r="Z42" s="199"/>
      <c r="AA42" s="185"/>
      <c r="AB42" s="199"/>
    </row>
    <row r="43" spans="1:28" x14ac:dyDescent="0.35">
      <c r="A43" s="185"/>
      <c r="B43" s="10">
        <v>6</v>
      </c>
      <c r="C43" s="19" t="s">
        <v>9</v>
      </c>
      <c r="D43" s="8">
        <v>9</v>
      </c>
      <c r="E43" s="8" t="s">
        <v>68</v>
      </c>
      <c r="F43" s="16">
        <v>106955533.810533</v>
      </c>
      <c r="G43" s="185"/>
      <c r="H43" s="10">
        <v>13</v>
      </c>
      <c r="I43" s="19" t="s">
        <v>25</v>
      </c>
      <c r="J43" s="8">
        <v>47</v>
      </c>
      <c r="K43" s="8" t="s">
        <v>69</v>
      </c>
      <c r="L43" s="16">
        <v>1341445.25730345</v>
      </c>
      <c r="M43" s="185"/>
      <c r="N43" s="185"/>
      <c r="O43" s="185"/>
      <c r="P43" s="185"/>
      <c r="Q43" s="185"/>
      <c r="R43" s="185"/>
      <c r="S43" s="185"/>
      <c r="T43" s="185"/>
      <c r="U43" s="199"/>
      <c r="V43" s="185"/>
      <c r="W43" s="199"/>
      <c r="X43" s="185"/>
      <c r="Y43" s="185"/>
      <c r="Z43" s="199"/>
      <c r="AA43" s="185"/>
      <c r="AB43" s="199"/>
    </row>
    <row r="44" spans="1:28" x14ac:dyDescent="0.35">
      <c r="A44" s="185"/>
      <c r="B44" s="10">
        <v>7</v>
      </c>
      <c r="C44" s="19" t="s">
        <v>25</v>
      </c>
      <c r="D44" s="8">
        <v>43</v>
      </c>
      <c r="E44" s="8" t="s">
        <v>70</v>
      </c>
      <c r="F44" s="16">
        <v>109192879.163745</v>
      </c>
      <c r="G44" s="185"/>
      <c r="H44" s="10">
        <v>14</v>
      </c>
      <c r="I44" s="132" t="s">
        <v>8</v>
      </c>
      <c r="J44" s="8">
        <v>13</v>
      </c>
      <c r="K44" s="8" t="s">
        <v>71</v>
      </c>
      <c r="L44" s="16">
        <v>1397432.09499986</v>
      </c>
      <c r="M44" s="185"/>
      <c r="N44" s="185"/>
      <c r="O44" s="185"/>
      <c r="P44" s="185"/>
      <c r="Q44" s="185"/>
      <c r="R44" s="185"/>
      <c r="S44" s="185"/>
      <c r="T44" s="185"/>
      <c r="U44" s="199"/>
      <c r="V44" s="185"/>
      <c r="W44" s="199"/>
      <c r="X44" s="185"/>
      <c r="Y44" s="185"/>
      <c r="Z44" s="199"/>
      <c r="AA44" s="185"/>
      <c r="AB44" s="199"/>
    </row>
    <row r="45" spans="1:28" x14ac:dyDescent="0.35">
      <c r="A45" s="185"/>
      <c r="B45" s="185"/>
      <c r="C45" s="185"/>
      <c r="D45" s="185"/>
      <c r="E45" s="185"/>
      <c r="F45" s="185"/>
      <c r="G45" s="185"/>
      <c r="H45" s="10">
        <v>15</v>
      </c>
      <c r="I45" s="132" t="s">
        <v>8</v>
      </c>
      <c r="J45" s="8">
        <v>14</v>
      </c>
      <c r="K45" s="8" t="s">
        <v>72</v>
      </c>
      <c r="L45" s="16">
        <v>16791875.241880599</v>
      </c>
      <c r="M45" s="185"/>
      <c r="N45" s="185"/>
      <c r="O45" s="185"/>
      <c r="P45" s="185"/>
      <c r="Q45" s="185"/>
      <c r="R45" s="185"/>
      <c r="S45" s="185"/>
      <c r="T45" s="185"/>
      <c r="U45" s="199"/>
      <c r="V45" s="185"/>
      <c r="W45" s="199"/>
      <c r="X45" s="185"/>
      <c r="Y45" s="185"/>
      <c r="AA45" s="185"/>
    </row>
    <row r="46" spans="1:28" x14ac:dyDescent="0.35">
      <c r="A46" s="185"/>
      <c r="B46" s="132" t="s">
        <v>21</v>
      </c>
      <c r="C46" s="10">
        <f>L44+L45+L42</f>
        <v>38296439434.304985</v>
      </c>
      <c r="D46" s="185"/>
      <c r="G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99"/>
      <c r="V46" s="185"/>
      <c r="W46" s="199"/>
      <c r="X46" s="185"/>
      <c r="Y46" s="185"/>
      <c r="Z46" s="199"/>
      <c r="AA46" s="185"/>
      <c r="AB46" s="199"/>
    </row>
    <row r="47" spans="1:28" x14ac:dyDescent="0.35">
      <c r="A47" s="185"/>
      <c r="B47" s="132" t="s">
        <v>73</v>
      </c>
      <c r="C47" s="10">
        <f>F38+F42+F44+L39+L40+L41+L43</f>
        <v>38790272012.763657</v>
      </c>
      <c r="D47" s="185"/>
      <c r="E47" s="15" t="s">
        <v>63</v>
      </c>
      <c r="F47" s="15" t="s">
        <v>59</v>
      </c>
      <c r="G47" s="185" t="s">
        <v>56</v>
      </c>
      <c r="H47" s="15" t="s">
        <v>68</v>
      </c>
      <c r="I47" s="15" t="s">
        <v>70</v>
      </c>
      <c r="J47" s="15" t="s">
        <v>66</v>
      </c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99"/>
      <c r="V47" s="185"/>
      <c r="W47" s="199"/>
      <c r="X47" s="185"/>
      <c r="Y47" s="185"/>
      <c r="Z47" s="199"/>
      <c r="AA47" s="185"/>
      <c r="AB47" s="199"/>
    </row>
    <row r="48" spans="1:28" x14ac:dyDescent="0.35">
      <c r="A48" s="185"/>
      <c r="B48" s="132" t="s">
        <v>74</v>
      </c>
      <c r="C48" s="10">
        <f>F39+F43+F41+L38</f>
        <v>328450896.43871599</v>
      </c>
      <c r="D48" s="185"/>
      <c r="E48" s="16">
        <v>5102882.6316352598</v>
      </c>
      <c r="F48" s="195">
        <v>221495362.62818301</v>
      </c>
      <c r="G48" s="195">
        <v>234956511.44766599</v>
      </c>
      <c r="H48" s="195">
        <v>106955533.810533</v>
      </c>
      <c r="I48" s="195">
        <v>109192879.163745</v>
      </c>
      <c r="J48" s="195">
        <v>4162628.0452337801</v>
      </c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99"/>
      <c r="V48" s="185"/>
      <c r="X48" s="185"/>
      <c r="Y48" s="185"/>
      <c r="Z48" s="199"/>
      <c r="AA48" s="185"/>
      <c r="AB48" s="199"/>
    </row>
    <row r="49" spans="1:28" x14ac:dyDescent="0.35">
      <c r="A49" s="185"/>
      <c r="B49" s="132" t="s">
        <v>10</v>
      </c>
      <c r="C49" s="10">
        <f>F40</f>
        <v>0</v>
      </c>
      <c r="D49" s="185"/>
      <c r="E49" s="15" t="s">
        <v>64</v>
      </c>
      <c r="F49" s="15" t="s">
        <v>65</v>
      </c>
      <c r="G49" s="15" t="s">
        <v>67</v>
      </c>
      <c r="H49" s="15" t="s">
        <v>69</v>
      </c>
      <c r="I49" s="15" t="s">
        <v>71</v>
      </c>
      <c r="J49" s="15" t="s">
        <v>72</v>
      </c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99"/>
      <c r="V49" s="185"/>
      <c r="W49" s="199"/>
      <c r="X49" s="185"/>
      <c r="Y49" s="185"/>
      <c r="Z49" s="199"/>
      <c r="AA49" s="185"/>
      <c r="AB49" s="199"/>
    </row>
    <row r="50" spans="1:28" x14ac:dyDescent="0.35">
      <c r="A50" s="185"/>
      <c r="B50" s="131">
        <v>237822.032419653</v>
      </c>
      <c r="C50" s="10">
        <v>1262540.6350139601</v>
      </c>
      <c r="D50" s="185"/>
      <c r="E50" s="195">
        <v>104482628.982609</v>
      </c>
      <c r="F50" s="195">
        <v>38336135919.867104</v>
      </c>
      <c r="G50" s="195">
        <v>38278250126.968102</v>
      </c>
      <c r="H50" s="195">
        <v>1341445.25730345</v>
      </c>
      <c r="I50" s="195">
        <v>-1397432.09499986</v>
      </c>
      <c r="J50" s="195">
        <v>-16791875.241880599</v>
      </c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99"/>
      <c r="V50" s="185"/>
      <c r="W50" s="199"/>
      <c r="X50" s="185"/>
      <c r="Y50" s="185"/>
      <c r="Z50" s="199"/>
      <c r="AA50" s="185"/>
      <c r="AB50" s="199"/>
    </row>
    <row r="51" spans="1:28" x14ac:dyDescent="0.35">
      <c r="A51" s="185"/>
      <c r="B51" s="197" t="s">
        <v>75</v>
      </c>
      <c r="C51" s="189">
        <f>C50+C48</f>
        <v>329713437.07372993</v>
      </c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99"/>
      <c r="V51" s="185"/>
      <c r="W51" s="199"/>
      <c r="X51" s="185"/>
      <c r="Y51" s="185"/>
      <c r="AA51" s="185"/>
    </row>
    <row r="52" spans="1:28" x14ac:dyDescent="0.35">
      <c r="A52" s="185"/>
      <c r="B52" s="189">
        <f>C52/B50</f>
        <v>0.38510757360025549</v>
      </c>
      <c r="C52" s="189">
        <f>C51/3600</f>
        <v>91587.065853813867</v>
      </c>
      <c r="D52" s="185"/>
      <c r="E52" s="185"/>
      <c r="F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99"/>
      <c r="V52" s="185"/>
      <c r="W52" s="199"/>
      <c r="X52" s="185"/>
      <c r="Y52" s="185"/>
      <c r="Z52" s="199"/>
      <c r="AA52" s="185"/>
      <c r="AB52" s="199"/>
    </row>
    <row r="53" spans="1:28" x14ac:dyDescent="0.35">
      <c r="A53" s="185"/>
      <c r="B53" s="229" t="s">
        <v>76</v>
      </c>
      <c r="C53" s="229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T53" s="185"/>
      <c r="U53" s="199"/>
      <c r="V53" s="185"/>
      <c r="W53" s="199"/>
      <c r="X53" s="185"/>
      <c r="Y53" s="185"/>
      <c r="Z53" s="199"/>
      <c r="AA53" s="185"/>
      <c r="AB53" s="199"/>
    </row>
    <row r="54" spans="1:28" x14ac:dyDescent="0.35">
      <c r="A54" s="185"/>
      <c r="B54" s="231" t="s">
        <v>77</v>
      </c>
      <c r="C54" s="231"/>
      <c r="D54" s="185"/>
      <c r="E54" s="185"/>
      <c r="F54" s="185"/>
      <c r="H54" s="185"/>
      <c r="I54" s="185"/>
      <c r="J54" s="185"/>
      <c r="K54" s="185"/>
      <c r="L54" s="185"/>
      <c r="M54" s="185"/>
      <c r="N54" s="185"/>
      <c r="O54" s="10"/>
      <c r="P54" s="230" t="s">
        <v>78</v>
      </c>
      <c r="Q54" s="230"/>
      <c r="R54" s="10"/>
      <c r="S54" s="10"/>
      <c r="T54" s="10"/>
      <c r="U54" s="10"/>
      <c r="V54" s="10"/>
      <c r="X54" s="185"/>
      <c r="Y54" s="185"/>
      <c r="Z54" s="199"/>
      <c r="AA54" s="185"/>
      <c r="AB54" s="199"/>
    </row>
    <row r="55" spans="1:28" x14ac:dyDescent="0.35">
      <c r="A55" s="185"/>
      <c r="B55" s="10"/>
      <c r="C55" s="10" t="s">
        <v>79</v>
      </c>
      <c r="D55" s="10"/>
      <c r="E55" s="10" t="s">
        <v>80</v>
      </c>
      <c r="F55" s="10"/>
      <c r="G55" s="10" t="s">
        <v>81</v>
      </c>
      <c r="H55" s="10"/>
      <c r="I55" s="10" t="s">
        <v>82</v>
      </c>
      <c r="J55" s="185"/>
      <c r="K55" s="190" t="s">
        <v>83</v>
      </c>
      <c r="L55" s="188">
        <f>I61+P56</f>
        <v>1653087021.1767862</v>
      </c>
      <c r="M55" s="185"/>
      <c r="N55" s="185"/>
      <c r="O55" s="10"/>
      <c r="P55" s="19" t="s">
        <v>82</v>
      </c>
      <c r="Q55" s="19"/>
      <c r="R55" s="19" t="s">
        <v>79</v>
      </c>
      <c r="S55" s="19"/>
      <c r="T55" s="19" t="s">
        <v>8</v>
      </c>
      <c r="U55" s="19"/>
      <c r="V55" s="19" t="s">
        <v>80</v>
      </c>
      <c r="W55" s="199"/>
      <c r="X55" s="185"/>
      <c r="Y55" s="185"/>
      <c r="Z55" s="199"/>
      <c r="AA55" s="185"/>
      <c r="AB55" s="199"/>
    </row>
    <row r="56" spans="1:28" x14ac:dyDescent="0.35">
      <c r="A56" s="185"/>
      <c r="B56" s="15" t="s">
        <v>84</v>
      </c>
      <c r="C56" s="16">
        <v>701515665.25097799</v>
      </c>
      <c r="D56" s="15" t="s">
        <v>85</v>
      </c>
      <c r="E56" s="31">
        <v>1262540.8364501901</v>
      </c>
      <c r="F56" s="15" t="s">
        <v>86</v>
      </c>
      <c r="G56" s="41">
        <v>0</v>
      </c>
      <c r="H56" s="42" t="s">
        <v>86</v>
      </c>
      <c r="I56" s="41">
        <v>0</v>
      </c>
      <c r="J56" s="185"/>
      <c r="K56" s="190" t="s">
        <v>8</v>
      </c>
      <c r="L56" s="188">
        <f>G59</f>
        <v>19801613.102732699</v>
      </c>
      <c r="M56" s="185"/>
      <c r="N56" s="185"/>
      <c r="O56" s="15" t="s">
        <v>87</v>
      </c>
      <c r="P56" s="43">
        <v>668580399.65412903</v>
      </c>
      <c r="Q56" s="15" t="s">
        <v>88</v>
      </c>
      <c r="R56" s="43">
        <v>441900000.92674297</v>
      </c>
      <c r="S56" s="42" t="s">
        <v>89</v>
      </c>
      <c r="T56" s="41">
        <v>0</v>
      </c>
      <c r="U56" s="15" t="s">
        <v>90</v>
      </c>
      <c r="V56" s="16">
        <v>3758653.18493417</v>
      </c>
      <c r="W56" s="199"/>
      <c r="X56" s="185"/>
      <c r="Y56" s="185"/>
      <c r="Z56" s="199"/>
      <c r="AA56" s="185"/>
      <c r="AB56" s="199"/>
    </row>
    <row r="57" spans="1:28" x14ac:dyDescent="0.35">
      <c r="A57" s="185"/>
      <c r="B57" s="15" t="s">
        <v>91</v>
      </c>
      <c r="C57" s="16">
        <v>610663896.06584203</v>
      </c>
      <c r="D57" s="15" t="s">
        <v>92</v>
      </c>
      <c r="E57" s="62">
        <v>82095412.467759803</v>
      </c>
      <c r="F57" s="15" t="s">
        <v>93</v>
      </c>
      <c r="G57" s="31">
        <v>19801613.102732699</v>
      </c>
      <c r="H57" s="194" t="s">
        <v>94</v>
      </c>
      <c r="I57" s="16">
        <v>723132140.80630696</v>
      </c>
      <c r="J57" s="185"/>
      <c r="K57" s="190" t="s">
        <v>84</v>
      </c>
      <c r="L57" s="190" t="s">
        <v>95</v>
      </c>
      <c r="M57" s="190" t="s">
        <v>96</v>
      </c>
      <c r="N57" s="190" t="s">
        <v>97</v>
      </c>
      <c r="O57" s="204" t="s">
        <v>87</v>
      </c>
      <c r="P57" s="204" t="s">
        <v>88</v>
      </c>
      <c r="Q57" s="185"/>
      <c r="R57" s="185"/>
      <c r="S57" s="199"/>
      <c r="T57" s="185"/>
      <c r="U57" s="199"/>
      <c r="V57" s="185"/>
      <c r="W57" s="199"/>
      <c r="X57" s="185"/>
      <c r="Y57" s="185"/>
      <c r="AA57" s="185"/>
    </row>
    <row r="58" spans="1:28" x14ac:dyDescent="0.35">
      <c r="A58" s="185"/>
      <c r="B58" s="185"/>
      <c r="C58" s="10">
        <f>SUM(C56:C57)</f>
        <v>1312179561.3168201</v>
      </c>
      <c r="D58" s="15" t="s">
        <v>98</v>
      </c>
      <c r="E58" s="62">
        <v>51304822.563131697</v>
      </c>
      <c r="F58" s="15" t="s">
        <v>89</v>
      </c>
      <c r="G58" s="41">
        <v>0</v>
      </c>
      <c r="H58" s="194" t="s">
        <v>99</v>
      </c>
      <c r="I58" s="16">
        <v>130659025.80467901</v>
      </c>
      <c r="J58" s="185"/>
      <c r="K58" s="41">
        <v>732495587.46130097</v>
      </c>
      <c r="L58" s="41">
        <v>85226703.841052905</v>
      </c>
      <c r="M58" s="41">
        <v>46478154.693184398</v>
      </c>
      <c r="N58" s="128">
        <v>95860159.756703094</v>
      </c>
      <c r="O58" s="205">
        <v>668580399.65412903</v>
      </c>
      <c r="P58" s="205">
        <v>441900000.92674297</v>
      </c>
      <c r="Q58" s="188" t="s">
        <v>88</v>
      </c>
      <c r="R58" s="188">
        <v>466450000.97822899</v>
      </c>
      <c r="S58" s="199"/>
      <c r="T58" s="185"/>
      <c r="U58" s="199"/>
      <c r="V58" s="185"/>
      <c r="W58" s="199"/>
      <c r="X58" s="185"/>
      <c r="Y58" s="185"/>
      <c r="Z58" s="199"/>
      <c r="AA58" s="185"/>
      <c r="AB58" s="199"/>
    </row>
    <row r="59" spans="1:28" x14ac:dyDescent="0.35">
      <c r="A59" s="185"/>
      <c r="B59" s="185"/>
      <c r="C59" s="10"/>
      <c r="D59" s="15" t="s">
        <v>100</v>
      </c>
      <c r="E59" s="31">
        <v>47910.4783478643</v>
      </c>
      <c r="F59" s="10"/>
      <c r="G59" s="10">
        <f>SUM(G56:G58)</f>
        <v>19801613.102732699</v>
      </c>
      <c r="H59" s="194" t="s">
        <v>101</v>
      </c>
      <c r="I59" s="16">
        <v>72959257.956566498</v>
      </c>
      <c r="J59" s="185"/>
      <c r="K59" s="15" t="s">
        <v>102</v>
      </c>
      <c r="L59" s="15" t="s">
        <v>103</v>
      </c>
      <c r="M59" s="188" t="s">
        <v>86</v>
      </c>
      <c r="N59" s="10"/>
      <c r="O59" s="204" t="s">
        <v>90</v>
      </c>
      <c r="R59" s="185"/>
      <c r="S59" s="199"/>
      <c r="T59" s="185"/>
      <c r="U59" s="199"/>
      <c r="V59" s="185"/>
      <c r="W59" s="199"/>
      <c r="X59" s="185"/>
      <c r="Y59" s="185"/>
      <c r="Z59" s="199"/>
      <c r="AA59" s="185"/>
      <c r="AB59" s="199"/>
    </row>
    <row r="60" spans="1:28" x14ac:dyDescent="0.35">
      <c r="A60" s="185"/>
      <c r="B60" s="185"/>
      <c r="C60" s="185"/>
      <c r="D60" s="185"/>
      <c r="E60" s="44">
        <f>SUM(E56:E59)</f>
        <v>134710686.34568956</v>
      </c>
      <c r="F60" s="10"/>
      <c r="G60" s="10"/>
      <c r="H60" s="194" t="s">
        <v>104</v>
      </c>
      <c r="I60" s="16">
        <v>57756196.955104701</v>
      </c>
      <c r="J60" s="185"/>
      <c r="K60" s="128">
        <v>102946070.56009001</v>
      </c>
      <c r="L60" s="128">
        <v>72408129.068108693</v>
      </c>
      <c r="M60" s="206">
        <v>92543875.826589599</v>
      </c>
      <c r="N60" s="185"/>
      <c r="O60" s="205">
        <v>3758653.18493417</v>
      </c>
      <c r="R60" s="185"/>
      <c r="S60" s="199"/>
      <c r="T60" s="185"/>
      <c r="U60" s="199"/>
      <c r="V60" s="185"/>
      <c r="W60" s="199"/>
      <c r="X60" s="185"/>
      <c r="Y60" s="185"/>
      <c r="Z60" s="199"/>
      <c r="AA60" s="185"/>
      <c r="AB60" s="199"/>
    </row>
    <row r="61" spans="1:28" x14ac:dyDescent="0.35">
      <c r="A61" s="185"/>
      <c r="B61" s="185"/>
      <c r="C61" s="185"/>
      <c r="D61" s="185"/>
      <c r="E61" s="15" t="s">
        <v>89</v>
      </c>
      <c r="F61" s="16">
        <v>1106721747.3959401</v>
      </c>
      <c r="G61" s="15" t="s">
        <v>86</v>
      </c>
      <c r="H61" s="16">
        <v>92402693.350589201</v>
      </c>
      <c r="I61" s="10">
        <f>SUM(I56:I60)</f>
        <v>984506621.52265716</v>
      </c>
      <c r="J61" s="185"/>
      <c r="K61" s="185"/>
      <c r="L61" s="185"/>
      <c r="M61" s="185"/>
      <c r="N61" s="185"/>
      <c r="R61" s="185"/>
      <c r="S61" s="199"/>
      <c r="T61" s="185"/>
      <c r="U61" s="199"/>
      <c r="V61" s="185"/>
      <c r="W61" s="199"/>
      <c r="X61" s="185"/>
      <c r="Y61" s="185"/>
      <c r="Z61" s="199"/>
      <c r="AA61" s="185"/>
      <c r="AB61" s="199"/>
    </row>
    <row r="62" spans="1:28" x14ac:dyDescent="0.35">
      <c r="A62" s="185"/>
      <c r="B62" s="15" t="s">
        <v>105</v>
      </c>
      <c r="C62" s="10">
        <f>C58+R56</f>
        <v>1754079562.2435632</v>
      </c>
      <c r="D62" s="185"/>
      <c r="E62" s="8" t="s">
        <v>47</v>
      </c>
      <c r="F62" s="8">
        <v>44238.434477058603</v>
      </c>
      <c r="G62" s="8" t="s">
        <v>106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99"/>
      <c r="X62" s="185"/>
      <c r="Y62" s="185"/>
      <c r="Z62" s="199"/>
      <c r="AA62" s="185"/>
      <c r="AB62" s="199"/>
    </row>
    <row r="63" spans="1:28" x14ac:dyDescent="0.35">
      <c r="A63" s="185"/>
      <c r="B63" s="15" t="s">
        <v>107</v>
      </c>
      <c r="C63" s="11">
        <f>E60+V56</f>
        <v>138469339.53062373</v>
      </c>
      <c r="D63" s="185"/>
      <c r="E63" s="8" t="s">
        <v>108</v>
      </c>
      <c r="F63" s="8">
        <v>67896.760268964106</v>
      </c>
      <c r="G63" s="39" t="s">
        <v>109</v>
      </c>
      <c r="H63" s="185"/>
      <c r="I63" s="185"/>
      <c r="J63" s="185"/>
      <c r="K63" s="185"/>
      <c r="L63" s="185"/>
      <c r="M63" s="185"/>
      <c r="N63" s="185"/>
      <c r="R63" s="185"/>
      <c r="S63" s="199"/>
      <c r="T63" s="185"/>
      <c r="U63" s="199"/>
      <c r="V63" s="199"/>
      <c r="W63" s="185"/>
      <c r="X63" s="185"/>
      <c r="Y63" s="199"/>
      <c r="Z63" s="199"/>
      <c r="AA63" s="185"/>
    </row>
    <row r="64" spans="1:28" x14ac:dyDescent="0.35">
      <c r="A64" s="185"/>
      <c r="B64" s="16" t="s">
        <v>31</v>
      </c>
      <c r="C64" s="10">
        <f>C62-C63</f>
        <v>1615610222.7129395</v>
      </c>
      <c r="D64" s="24">
        <f>C64/3600</f>
        <v>448780.61742026097</v>
      </c>
      <c r="E64" s="8" t="s">
        <v>110</v>
      </c>
      <c r="F64" s="9">
        <f>F62*F63</f>
        <v>3003646380.3631244</v>
      </c>
      <c r="G64" s="8" t="s">
        <v>111</v>
      </c>
      <c r="H64" s="24">
        <f>F64/3600</f>
        <v>834346.2167675345</v>
      </c>
      <c r="I64" s="19" t="s">
        <v>5</v>
      </c>
      <c r="J64" s="185"/>
      <c r="K64" s="185"/>
      <c r="L64" s="185"/>
      <c r="M64" s="185"/>
      <c r="N64" s="185"/>
      <c r="Q64" s="185"/>
      <c r="R64" s="185"/>
      <c r="S64" s="199"/>
      <c r="T64" s="185"/>
      <c r="U64" s="199"/>
      <c r="V64" s="199"/>
      <c r="W64" s="185"/>
      <c r="X64" s="185"/>
      <c r="Y64" s="199"/>
      <c r="Z64" s="199"/>
      <c r="AA64" s="185"/>
      <c r="AB64" s="199"/>
    </row>
    <row r="65" spans="1:28" x14ac:dyDescent="0.35">
      <c r="A65" s="185"/>
      <c r="B65" s="47" t="s">
        <v>39</v>
      </c>
      <c r="C65" s="10">
        <f>C64/F64</f>
        <v>0.53788296560982696</v>
      </c>
      <c r="D65" s="185"/>
      <c r="E65" s="227" t="s">
        <v>110</v>
      </c>
      <c r="F65" s="9">
        <f>F64/3600</f>
        <v>834346.2167675345</v>
      </c>
      <c r="G65" s="8" t="s">
        <v>112</v>
      </c>
      <c r="H65" s="10">
        <f>H64/1000</f>
        <v>834.34621676753454</v>
      </c>
      <c r="I65" s="185"/>
      <c r="J65" s="185"/>
      <c r="K65" s="185"/>
      <c r="L65" s="185"/>
      <c r="M65" s="185"/>
      <c r="N65" s="185"/>
      <c r="R65" s="185"/>
      <c r="S65" s="199"/>
      <c r="T65" s="185"/>
      <c r="U65" s="199"/>
      <c r="V65" s="199"/>
      <c r="W65" s="185"/>
      <c r="X65" s="185"/>
      <c r="Y65" s="199"/>
      <c r="Z65" s="199"/>
      <c r="AA65" s="185"/>
      <c r="AB65" s="199"/>
    </row>
    <row r="66" spans="1:28" x14ac:dyDescent="0.35">
      <c r="A66" s="185"/>
      <c r="B66" s="48" t="s">
        <v>113</v>
      </c>
      <c r="C66" s="10">
        <f>C65/C67</f>
        <v>0.64984442488738392</v>
      </c>
      <c r="D66" s="185"/>
      <c r="E66" s="185"/>
      <c r="F66" s="185"/>
      <c r="G66" s="10" t="s">
        <v>114</v>
      </c>
      <c r="H66" s="10">
        <f>1399.19319887969+1399.4555404377</f>
        <v>2798.6487393173902</v>
      </c>
      <c r="I66" s="185"/>
      <c r="J66" s="185"/>
      <c r="K66" s="185"/>
      <c r="L66" s="185"/>
      <c r="M66" s="185"/>
      <c r="N66" s="185"/>
      <c r="R66" s="185"/>
      <c r="S66" s="199"/>
      <c r="T66" s="185"/>
      <c r="U66" s="199"/>
      <c r="V66" s="199"/>
      <c r="W66" s="185"/>
      <c r="X66" s="185"/>
      <c r="Y66" s="199"/>
      <c r="Z66" s="199"/>
      <c r="AA66" s="185"/>
      <c r="AB66" s="199"/>
    </row>
    <row r="67" spans="1:28" x14ac:dyDescent="0.35">
      <c r="A67" s="185"/>
      <c r="B67" s="48" t="s">
        <v>115</v>
      </c>
      <c r="C67" s="10">
        <f>(H68-H69)/H68</f>
        <v>0.82771036421992916</v>
      </c>
      <c r="D67" s="185"/>
      <c r="E67" s="185"/>
      <c r="F67" s="185"/>
      <c r="H67" s="10">
        <f>H66/2</f>
        <v>1399.3243696586951</v>
      </c>
      <c r="I67" s="185"/>
      <c r="J67" s="185"/>
      <c r="K67" s="185"/>
      <c r="L67" s="185"/>
      <c r="M67" s="185"/>
      <c r="N67" s="185"/>
      <c r="R67" s="185"/>
      <c r="S67" s="199"/>
      <c r="T67" s="185"/>
      <c r="U67" s="199"/>
      <c r="V67" s="199"/>
      <c r="W67" s="185"/>
      <c r="X67" s="185"/>
      <c r="Y67" s="199"/>
      <c r="Z67" s="199"/>
      <c r="AA67" s="185"/>
      <c r="AB67" s="199"/>
    </row>
    <row r="68" spans="1:28" x14ac:dyDescent="0.35">
      <c r="A68" s="185"/>
      <c r="B68" s="232" t="s">
        <v>116</v>
      </c>
      <c r="C68" s="233"/>
      <c r="E68" s="185"/>
      <c r="F68" s="185"/>
      <c r="G68" s="10" t="s">
        <v>114</v>
      </c>
      <c r="H68" s="10">
        <f>H67+273.15</f>
        <v>1672.4743696586952</v>
      </c>
      <c r="I68" s="185"/>
      <c r="J68" s="185"/>
      <c r="K68" s="185"/>
      <c r="L68" s="185"/>
      <c r="M68" s="185"/>
      <c r="N68" s="185"/>
      <c r="R68" s="185"/>
      <c r="S68" s="199"/>
      <c r="T68" s="185"/>
      <c r="U68" s="199"/>
      <c r="V68" s="199"/>
      <c r="W68" s="185"/>
      <c r="X68" s="185"/>
      <c r="Y68" s="199"/>
      <c r="Z68" s="199"/>
      <c r="AA68" s="185"/>
      <c r="AB68" s="199"/>
    </row>
    <row r="69" spans="1:28" x14ac:dyDescent="0.35">
      <c r="A69" s="185"/>
      <c r="B69" s="185"/>
      <c r="C69" s="190" t="s">
        <v>9</v>
      </c>
      <c r="D69" s="185"/>
      <c r="F69" s="191" t="s">
        <v>25</v>
      </c>
      <c r="G69" s="10" t="s">
        <v>117</v>
      </c>
      <c r="H69" s="10">
        <f>15+273.15</f>
        <v>288.14999999999998</v>
      </c>
      <c r="I69" s="185"/>
      <c r="J69" s="185"/>
      <c r="K69" s="185"/>
      <c r="L69" s="185"/>
      <c r="M69" s="185"/>
      <c r="N69" s="185"/>
      <c r="R69" s="185"/>
      <c r="S69" s="199"/>
      <c r="T69" s="185"/>
      <c r="U69" s="199"/>
      <c r="V69" s="199"/>
      <c r="W69" s="185"/>
      <c r="X69" s="185"/>
      <c r="Y69" s="199"/>
      <c r="Z69" s="199"/>
      <c r="AA69" s="185"/>
    </row>
    <row r="70" spans="1:28" x14ac:dyDescent="0.35">
      <c r="A70" s="185"/>
      <c r="B70" s="188" t="s">
        <v>95</v>
      </c>
      <c r="C70" s="188">
        <v>85227741.302353799</v>
      </c>
      <c r="D70" s="185"/>
      <c r="E70" s="192" t="s">
        <v>96</v>
      </c>
      <c r="F70" s="193">
        <v>46478720.469926797</v>
      </c>
      <c r="G70" s="185"/>
      <c r="J70" s="185"/>
      <c r="M70" s="185"/>
      <c r="N70" s="185"/>
      <c r="O70" s="185"/>
      <c r="P70" s="185"/>
      <c r="Q70" s="185"/>
      <c r="R70" s="185"/>
      <c r="S70" s="185"/>
      <c r="T70" s="185"/>
      <c r="U70" s="185"/>
      <c r="V70" s="199"/>
      <c r="W70" s="185"/>
      <c r="X70" s="185"/>
      <c r="Y70" s="199"/>
      <c r="Z70" s="199"/>
      <c r="AA70" s="185"/>
      <c r="AB70" s="199"/>
    </row>
    <row r="71" spans="1:28" x14ac:dyDescent="0.35">
      <c r="A71" s="185"/>
      <c r="B71" s="188" t="s">
        <v>97</v>
      </c>
      <c r="C71" s="188">
        <v>95861326.658643395</v>
      </c>
      <c r="D71" s="185"/>
      <c r="E71" s="192" t="s">
        <v>102</v>
      </c>
      <c r="F71" s="193">
        <v>102947323.71854299</v>
      </c>
      <c r="G71" s="185"/>
      <c r="H71" s="15" t="s">
        <v>84</v>
      </c>
      <c r="I71" s="15" t="s">
        <v>95</v>
      </c>
      <c r="J71" s="15" t="s">
        <v>96</v>
      </c>
      <c r="K71" s="15" t="s">
        <v>97</v>
      </c>
      <c r="L71" s="15" t="s">
        <v>102</v>
      </c>
      <c r="M71" s="185"/>
      <c r="N71" s="185"/>
      <c r="O71" s="185"/>
      <c r="P71" s="185"/>
      <c r="Q71" s="185"/>
      <c r="R71" s="185"/>
      <c r="S71" s="185"/>
      <c r="T71" s="185"/>
      <c r="U71" s="185"/>
      <c r="V71" s="199"/>
      <c r="W71" s="185"/>
      <c r="X71" s="185"/>
      <c r="Y71" s="199"/>
      <c r="Z71" s="199"/>
      <c r="AA71" s="185"/>
      <c r="AB71" s="199"/>
    </row>
    <row r="72" spans="1:28" x14ac:dyDescent="0.35">
      <c r="A72" s="185"/>
      <c r="B72" s="188" t="s">
        <v>118</v>
      </c>
      <c r="C72" s="188">
        <v>1805894.5185553399</v>
      </c>
      <c r="D72" s="185"/>
      <c r="E72" s="192" t="s">
        <v>103</v>
      </c>
      <c r="F72" s="193">
        <v>72409010.489406094</v>
      </c>
      <c r="G72" s="185"/>
      <c r="H72" s="16">
        <v>701515665.25097799</v>
      </c>
      <c r="I72" s="16">
        <v>85227741.302353799</v>
      </c>
      <c r="J72" s="16">
        <v>46478720.469926797</v>
      </c>
      <c r="K72" s="16">
        <v>95861326.658643395</v>
      </c>
      <c r="L72" s="16">
        <v>102947323.71854299</v>
      </c>
      <c r="M72" s="185"/>
      <c r="N72" s="185"/>
      <c r="O72" s="185"/>
      <c r="P72" s="185"/>
      <c r="Q72" s="185"/>
      <c r="R72" s="185"/>
      <c r="S72" s="185"/>
      <c r="T72" s="185"/>
      <c r="U72" s="185"/>
      <c r="V72" s="199"/>
      <c r="W72" s="185"/>
      <c r="X72" s="185"/>
      <c r="Y72" s="199"/>
      <c r="Z72" s="199"/>
      <c r="AA72" s="185"/>
      <c r="AB72" s="199"/>
    </row>
    <row r="73" spans="1:28" x14ac:dyDescent="0.35">
      <c r="A73" s="185"/>
      <c r="B73" s="188" t="s">
        <v>119</v>
      </c>
      <c r="C73" s="188">
        <v>91740029.098701105</v>
      </c>
      <c r="D73" s="185"/>
      <c r="E73" s="192" t="s">
        <v>120</v>
      </c>
      <c r="F73" s="193">
        <v>21614638.697870001</v>
      </c>
      <c r="G73" s="185"/>
      <c r="H73" s="15" t="s">
        <v>118</v>
      </c>
      <c r="I73" s="15" t="s">
        <v>119</v>
      </c>
      <c r="J73" s="15" t="s">
        <v>121</v>
      </c>
      <c r="K73" s="15" t="s">
        <v>120</v>
      </c>
      <c r="L73" s="15" t="s">
        <v>85</v>
      </c>
      <c r="M73" s="185"/>
      <c r="N73" s="185"/>
      <c r="O73" s="185"/>
      <c r="P73" s="185"/>
      <c r="Q73" s="185"/>
      <c r="R73" s="185"/>
      <c r="S73" s="185"/>
      <c r="T73" s="185"/>
      <c r="U73" s="185"/>
      <c r="V73" s="199"/>
      <c r="W73" s="185"/>
      <c r="X73" s="185"/>
      <c r="Y73" s="199"/>
      <c r="Z73" s="199"/>
      <c r="AA73" s="185"/>
      <c r="AB73" s="199"/>
    </row>
    <row r="74" spans="1:28" x14ac:dyDescent="0.35">
      <c r="A74" s="185"/>
      <c r="B74" s="188" t="s">
        <v>121</v>
      </c>
      <c r="C74" s="188">
        <v>16479222.7003814</v>
      </c>
      <c r="D74" s="185"/>
      <c r="F74" s="10">
        <f>SUM(F70:F73)</f>
        <v>243449693.37574589</v>
      </c>
      <c r="G74" s="185"/>
      <c r="H74" s="16">
        <v>1805894.5185553399</v>
      </c>
      <c r="I74" s="16">
        <v>91740029.098701105</v>
      </c>
      <c r="J74" s="16">
        <v>16479222.7003814</v>
      </c>
      <c r="K74" s="16">
        <v>21614638.697870001</v>
      </c>
      <c r="L74" s="16">
        <v>1262540.8364501901</v>
      </c>
      <c r="M74" s="185"/>
      <c r="N74" s="185"/>
      <c r="O74" s="185"/>
      <c r="P74" s="185"/>
      <c r="Q74" s="185"/>
      <c r="R74" s="185"/>
      <c r="S74" s="185"/>
      <c r="T74" s="185"/>
      <c r="U74" s="185"/>
      <c r="V74" s="199"/>
      <c r="W74" s="185"/>
      <c r="X74" s="185"/>
      <c r="Y74" s="199"/>
      <c r="Z74" s="199"/>
      <c r="AA74" s="185"/>
      <c r="AB74" s="199"/>
    </row>
    <row r="75" spans="1:28" x14ac:dyDescent="0.35">
      <c r="A75" s="185"/>
      <c r="B75" s="188" t="s">
        <v>122</v>
      </c>
      <c r="C75" s="188">
        <f>SUM(C70:C74)</f>
        <v>291114214.27863503</v>
      </c>
      <c r="D75" s="185"/>
      <c r="G75" s="185"/>
      <c r="H75" s="15" t="s">
        <v>92</v>
      </c>
      <c r="I75" s="15" t="s">
        <v>94</v>
      </c>
      <c r="J75" s="15" t="s">
        <v>98</v>
      </c>
      <c r="K75" s="15" t="s">
        <v>99</v>
      </c>
      <c r="L75" s="15" t="s">
        <v>93</v>
      </c>
      <c r="M75" s="185"/>
      <c r="N75" s="185"/>
      <c r="O75" s="185"/>
      <c r="P75" s="185"/>
      <c r="Q75" s="185"/>
      <c r="R75" s="185"/>
      <c r="S75" s="185"/>
      <c r="T75" s="185"/>
      <c r="U75" s="185"/>
      <c r="V75" s="199"/>
      <c r="W75" s="185"/>
      <c r="X75" s="185"/>
      <c r="Y75" s="199"/>
      <c r="Z75" s="199"/>
      <c r="AA75" s="185"/>
    </row>
    <row r="76" spans="1:28" x14ac:dyDescent="0.35">
      <c r="A76" s="185"/>
      <c r="B76" s="185"/>
      <c r="C76" s="185"/>
      <c r="D76" s="185"/>
      <c r="G76" s="185"/>
      <c r="H76" s="188">
        <v>82095412.467759803</v>
      </c>
      <c r="I76" s="188">
        <v>723132140.80630696</v>
      </c>
      <c r="J76" s="188">
        <v>51304822.563131697</v>
      </c>
      <c r="K76" s="188">
        <v>130659025.80467901</v>
      </c>
      <c r="L76" s="188">
        <v>19801613.102732699</v>
      </c>
      <c r="M76" s="185"/>
      <c r="N76" s="185"/>
      <c r="O76" s="185"/>
      <c r="P76" s="185"/>
      <c r="Q76" s="185"/>
      <c r="R76" s="185"/>
      <c r="S76" s="185"/>
      <c r="T76" s="185"/>
      <c r="U76" s="185"/>
      <c r="V76" s="199"/>
      <c r="W76" s="185"/>
      <c r="X76" s="185"/>
      <c r="Y76" s="199"/>
      <c r="Z76" s="199"/>
      <c r="AA76" s="185"/>
    </row>
    <row r="77" spans="1:28" x14ac:dyDescent="0.35">
      <c r="A77" s="185"/>
      <c r="B77" s="15" t="s">
        <v>118</v>
      </c>
      <c r="C77" s="15" t="s">
        <v>119</v>
      </c>
      <c r="D77" s="15" t="s">
        <v>121</v>
      </c>
      <c r="E77" s="15" t="s">
        <v>120</v>
      </c>
      <c r="F77" s="15" t="s">
        <v>85</v>
      </c>
      <c r="G77" s="185"/>
      <c r="H77" s="15" t="s">
        <v>101</v>
      </c>
      <c r="I77" s="15" t="s">
        <v>104</v>
      </c>
      <c r="J77" s="15" t="s">
        <v>100</v>
      </c>
      <c r="K77" s="15" t="s">
        <v>91</v>
      </c>
      <c r="L77" s="15" t="s">
        <v>103</v>
      </c>
      <c r="M77" s="185"/>
      <c r="N77" s="185"/>
      <c r="O77" s="185"/>
      <c r="P77" s="185"/>
      <c r="Q77" s="185"/>
      <c r="R77" s="185"/>
      <c r="S77" s="185"/>
      <c r="T77" s="185"/>
      <c r="U77" s="185"/>
    </row>
    <row r="78" spans="1:28" x14ac:dyDescent="0.35">
      <c r="A78" s="185"/>
      <c r="G78" s="185"/>
      <c r="H78" s="188">
        <v>-72959257.956566498</v>
      </c>
      <c r="I78" s="188">
        <v>57756196.955104701</v>
      </c>
      <c r="J78" s="188">
        <v>47910.4783478643</v>
      </c>
      <c r="K78" s="188">
        <v>610663896.06584203</v>
      </c>
      <c r="L78" s="16">
        <v>72409010.489406094</v>
      </c>
      <c r="M78" s="185"/>
      <c r="N78" s="185"/>
      <c r="O78" s="185"/>
      <c r="P78" s="185"/>
      <c r="Q78" s="185"/>
      <c r="R78" s="185"/>
      <c r="S78" s="185"/>
      <c r="T78" s="185"/>
      <c r="U78" s="185"/>
    </row>
    <row r="79" spans="1:28" x14ac:dyDescent="0.35">
      <c r="A79" s="185"/>
      <c r="B79" s="49">
        <v>1805872.53574023</v>
      </c>
      <c r="C79" s="49">
        <v>91738912.364539996</v>
      </c>
      <c r="D79" s="49">
        <v>16479022.101895699</v>
      </c>
      <c r="E79" s="49">
        <v>21614375.586929101</v>
      </c>
      <c r="F79" s="49">
        <v>1113918.1300842899</v>
      </c>
      <c r="G79" s="185"/>
      <c r="M79" s="185"/>
      <c r="N79" s="185"/>
      <c r="O79" s="185"/>
      <c r="P79" s="185"/>
      <c r="Q79" s="185"/>
      <c r="R79" s="185"/>
      <c r="S79" s="185"/>
      <c r="T79" s="185"/>
      <c r="U79" s="185"/>
    </row>
    <row r="80" spans="1:28" x14ac:dyDescent="0.35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</row>
    <row r="81" spans="1:23" x14ac:dyDescent="0.35">
      <c r="A81" s="185"/>
      <c r="B81" s="185"/>
      <c r="C81" s="185"/>
      <c r="D81" s="185"/>
      <c r="E81" s="185"/>
      <c r="F81" s="185"/>
      <c r="G81" s="185"/>
      <c r="Q81" s="185"/>
      <c r="R81" s="185"/>
      <c r="S81" s="185"/>
      <c r="T81" s="185"/>
      <c r="U81" s="185"/>
      <c r="V81" s="185"/>
      <c r="W81" s="185"/>
    </row>
    <row r="82" spans="1:23" x14ac:dyDescent="0.35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</row>
    <row r="83" spans="1:23" x14ac:dyDescent="0.35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</row>
    <row r="84" spans="1:23" x14ac:dyDescent="0.35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</row>
    <row r="85" spans="1:23" x14ac:dyDescent="0.35">
      <c r="A85" s="185"/>
    </row>
  </sheetData>
  <mergeCells count="12">
    <mergeCell ref="B17:E17"/>
    <mergeCell ref="O11:S11"/>
    <mergeCell ref="Z39:AB39"/>
    <mergeCell ref="T11:X11"/>
    <mergeCell ref="N11:N12"/>
    <mergeCell ref="V26:W26"/>
    <mergeCell ref="B12:E12"/>
    <mergeCell ref="B53:C53"/>
    <mergeCell ref="P54:Q54"/>
    <mergeCell ref="B54:C54"/>
    <mergeCell ref="B68:C68"/>
    <mergeCell ref="U27:V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4069-1713-46B6-9939-02CAB02B632A}">
  <dimension ref="B8:AB72"/>
  <sheetViews>
    <sheetView topLeftCell="A6" zoomScale="107" zoomScaleNormal="55" workbookViewId="0">
      <selection activeCell="F71" sqref="F71"/>
    </sheetView>
  </sheetViews>
  <sheetFormatPr baseColWidth="10" defaultColWidth="11.54296875" defaultRowHeight="15.5" x14ac:dyDescent="0.35"/>
  <cols>
    <col min="1" max="1" width="11.54296875" style="1"/>
    <col min="2" max="2" width="19.7265625" style="1" bestFit="1" customWidth="1"/>
    <col min="3" max="3" width="15" style="1" bestFit="1" customWidth="1"/>
    <col min="4" max="4" width="17.26953125" style="1" bestFit="1" customWidth="1"/>
    <col min="5" max="5" width="21.54296875" style="1" bestFit="1" customWidth="1"/>
    <col min="6" max="7" width="15" style="1" bestFit="1" customWidth="1"/>
    <col min="8" max="8" width="15.7265625" style="1" bestFit="1" customWidth="1"/>
    <col min="9" max="10" width="15" style="1" bestFit="1" customWidth="1"/>
    <col min="11" max="11" width="19.7265625" style="1" bestFit="1" customWidth="1"/>
    <col min="12" max="12" width="17.26953125" style="1" bestFit="1" customWidth="1"/>
    <col min="13" max="13" width="18.7265625" style="1" bestFit="1" customWidth="1"/>
    <col min="14" max="14" width="28.26953125" style="1" bestFit="1" customWidth="1"/>
    <col min="15" max="15" width="13.7265625" style="1" bestFit="1" customWidth="1"/>
    <col min="16" max="16" width="16.453125" style="1" bestFit="1" customWidth="1"/>
    <col min="17" max="18" width="15" style="1" bestFit="1" customWidth="1"/>
    <col min="19" max="19" width="12.26953125" style="1" bestFit="1" customWidth="1"/>
    <col min="20" max="20" width="15.7265625" style="1" bestFit="1" customWidth="1"/>
    <col min="21" max="21" width="16.7265625" style="1" bestFit="1" customWidth="1"/>
    <col min="22" max="22" width="22.54296875" style="1" bestFit="1" customWidth="1"/>
    <col min="23" max="23" width="15.7265625" style="1" bestFit="1" customWidth="1"/>
    <col min="24" max="24" width="16.54296875" style="1" bestFit="1" customWidth="1"/>
    <col min="25" max="25" width="15" style="1" bestFit="1" customWidth="1"/>
    <col min="26" max="27" width="11.7265625" style="1" bestFit="1" customWidth="1"/>
    <col min="28" max="28" width="15" style="1" bestFit="1" customWidth="1"/>
    <col min="29" max="29" width="11.54296875" style="1"/>
    <col min="30" max="30" width="14.81640625" style="1" bestFit="1" customWidth="1"/>
    <col min="31" max="16384" width="11.54296875" style="1"/>
  </cols>
  <sheetData>
    <row r="8" spans="3:28" x14ac:dyDescent="0.35">
      <c r="D8" s="251" t="s">
        <v>6</v>
      </c>
      <c r="E8" s="251"/>
      <c r="F8" s="251"/>
      <c r="N8" s="241" t="s">
        <v>3</v>
      </c>
      <c r="O8" s="236" t="s">
        <v>4</v>
      </c>
      <c r="P8" s="237"/>
      <c r="Q8" s="237"/>
      <c r="R8" s="237"/>
      <c r="S8" s="238"/>
      <c r="T8" s="240" t="s">
        <v>5</v>
      </c>
      <c r="U8" s="240"/>
      <c r="V8" s="240"/>
      <c r="W8" s="240"/>
      <c r="X8" s="240"/>
    </row>
    <row r="9" spans="3:28" x14ac:dyDescent="0.35">
      <c r="N9" s="242"/>
      <c r="O9" s="4"/>
      <c r="P9" s="4" t="s">
        <v>7</v>
      </c>
      <c r="Q9" s="4" t="s">
        <v>8</v>
      </c>
      <c r="R9" s="4" t="s">
        <v>9</v>
      </c>
      <c r="S9" s="4" t="s">
        <v>10</v>
      </c>
      <c r="T9" s="5" t="s">
        <v>7</v>
      </c>
      <c r="U9" s="5" t="s">
        <v>8</v>
      </c>
      <c r="V9" s="5" t="s">
        <v>9</v>
      </c>
      <c r="W9" s="5" t="s">
        <v>10</v>
      </c>
      <c r="X9" s="5" t="s">
        <v>11</v>
      </c>
    </row>
    <row r="10" spans="3:28" x14ac:dyDescent="0.35">
      <c r="N10" s="6" t="s">
        <v>12</v>
      </c>
      <c r="O10" s="7">
        <v>1</v>
      </c>
      <c r="P10" s="8">
        <f>E16+F19</f>
        <v>66754700.019650996</v>
      </c>
      <c r="Q10" s="50">
        <f>E12+E15</f>
        <v>72598580.670439377</v>
      </c>
      <c r="R10" s="50">
        <f>E11</f>
        <v>1949942.2735939701</v>
      </c>
      <c r="S10" s="9">
        <v>0</v>
      </c>
      <c r="T10" s="10">
        <f t="shared" ref="T10:W15" si="0">P10/3600</f>
        <v>18542.972227680832</v>
      </c>
      <c r="U10" s="10">
        <f t="shared" si="0"/>
        <v>20166.272408455381</v>
      </c>
      <c r="V10" s="11">
        <f t="shared" si="0"/>
        <v>541.65063155388054</v>
      </c>
      <c r="W10" s="11">
        <f t="shared" si="0"/>
        <v>0</v>
      </c>
      <c r="X10" s="12">
        <f t="shared" ref="X10:X15" si="1">W10-V10</f>
        <v>-541.65063155388054</v>
      </c>
      <c r="Y10" s="13">
        <f>+X10/$Z$10</f>
        <v>3.1374074020104883E-3</v>
      </c>
      <c r="Z10" s="14">
        <f>+SUM(X10:X14)</f>
        <v>-172642.74674904646</v>
      </c>
      <c r="AB10" s="1">
        <v>0.99412999999999996</v>
      </c>
    </row>
    <row r="11" spans="3:28" x14ac:dyDescent="0.35">
      <c r="C11" s="10" t="s">
        <v>13</v>
      </c>
      <c r="D11" s="15" t="s">
        <v>14</v>
      </c>
      <c r="E11" s="16">
        <v>1949942.2735939701</v>
      </c>
      <c r="F11" s="10" t="s">
        <v>15</v>
      </c>
      <c r="T11" s="10">
        <f t="shared" si="0"/>
        <v>0</v>
      </c>
      <c r="U11" s="10">
        <f t="shared" si="0"/>
        <v>0</v>
      </c>
      <c r="V11" s="11">
        <f t="shared" si="0"/>
        <v>0</v>
      </c>
      <c r="W11" s="11">
        <f t="shared" si="0"/>
        <v>0</v>
      </c>
      <c r="X11" s="11">
        <f t="shared" si="1"/>
        <v>0</v>
      </c>
      <c r="Y11" s="13">
        <f>+X11/$Z$10</f>
        <v>0</v>
      </c>
    </row>
    <row r="12" spans="3:28" x14ac:dyDescent="0.35">
      <c r="C12" s="10" t="s">
        <v>8</v>
      </c>
      <c r="D12" s="15" t="s">
        <v>16</v>
      </c>
      <c r="E12" s="16">
        <v>1303605.65094848</v>
      </c>
      <c r="F12" s="10" t="s">
        <v>17</v>
      </c>
      <c r="N12" s="6" t="s">
        <v>18</v>
      </c>
      <c r="O12" s="7">
        <v>2</v>
      </c>
      <c r="P12" s="10">
        <f>C44</f>
        <v>38790142057.55806</v>
      </c>
      <c r="Q12" s="10">
        <f>C43</f>
        <v>38296138116.397003</v>
      </c>
      <c r="R12" s="11">
        <f>C45</f>
        <v>328450896.43871599</v>
      </c>
      <c r="S12" s="17">
        <f>C46</f>
        <v>0</v>
      </c>
      <c r="T12" s="10">
        <f t="shared" si="0"/>
        <v>10775039.460432794</v>
      </c>
      <c r="U12" s="10">
        <f t="shared" si="0"/>
        <v>10637816.143443612</v>
      </c>
      <c r="V12" s="11">
        <f t="shared" si="0"/>
        <v>91236.360121865553</v>
      </c>
      <c r="W12" s="11">
        <f t="shared" si="0"/>
        <v>0</v>
      </c>
      <c r="X12" s="12">
        <f t="shared" si="1"/>
        <v>-91236.360121865553</v>
      </c>
      <c r="Y12" s="13">
        <f>+X12/$Z$10</f>
        <v>0.52846911810599695</v>
      </c>
    </row>
    <row r="13" spans="3:28" x14ac:dyDescent="0.35">
      <c r="T13" s="10">
        <f t="shared" si="0"/>
        <v>0</v>
      </c>
      <c r="U13" s="10">
        <f t="shared" si="0"/>
        <v>0</v>
      </c>
      <c r="V13" s="11">
        <f t="shared" si="0"/>
        <v>0</v>
      </c>
      <c r="W13" s="11">
        <f t="shared" si="0"/>
        <v>0</v>
      </c>
      <c r="X13" s="11">
        <f t="shared" si="1"/>
        <v>0</v>
      </c>
      <c r="Y13" s="13">
        <f>+X13/$Z$10</f>
        <v>0</v>
      </c>
    </row>
    <row r="14" spans="3:28" x14ac:dyDescent="0.35">
      <c r="D14" s="252" t="s">
        <v>19</v>
      </c>
      <c r="E14" s="252"/>
      <c r="F14" s="252"/>
      <c r="N14" s="6" t="s">
        <v>20</v>
      </c>
      <c r="O14" s="7">
        <v>3</v>
      </c>
      <c r="P14" s="18">
        <f>F71</f>
        <v>243448719.37834302</v>
      </c>
      <c r="Q14" s="18"/>
      <c r="R14" s="51">
        <f>C72</f>
        <v>291113049.5842573</v>
      </c>
      <c r="S14" s="9">
        <v>0</v>
      </c>
      <c r="T14" s="10">
        <f t="shared" si="0"/>
        <v>67624.64427176195</v>
      </c>
      <c r="U14" s="10">
        <f t="shared" si="0"/>
        <v>0</v>
      </c>
      <c r="V14" s="11">
        <f t="shared" si="0"/>
        <v>80864.735995627023</v>
      </c>
      <c r="W14" s="11">
        <f t="shared" si="0"/>
        <v>0</v>
      </c>
      <c r="X14" s="12">
        <f t="shared" si="1"/>
        <v>-80864.735995627023</v>
      </c>
      <c r="Y14" s="13">
        <f>+X14/$Z$10</f>
        <v>0.46839347449199253</v>
      </c>
    </row>
    <row r="15" spans="3:28" x14ac:dyDescent="0.35">
      <c r="C15" s="10" t="s">
        <v>21</v>
      </c>
      <c r="D15" s="15" t="s">
        <v>22</v>
      </c>
      <c r="E15" s="16">
        <v>71294975.019490898</v>
      </c>
      <c r="F15" s="19" t="s">
        <v>23</v>
      </c>
      <c r="N15" s="6" t="s">
        <v>24</v>
      </c>
      <c r="O15" s="7">
        <v>4</v>
      </c>
      <c r="P15" s="18">
        <f>L52</f>
        <v>1645980774.9862726</v>
      </c>
      <c r="Q15" s="1">
        <f>F61</f>
        <v>3003646380.3631244</v>
      </c>
      <c r="R15" s="51">
        <f>C60</f>
        <v>137085603.33446878</v>
      </c>
      <c r="S15" s="9">
        <f>C59</f>
        <v>1737864964.439162</v>
      </c>
      <c r="T15" s="10">
        <f t="shared" si="0"/>
        <v>457216.88194063125</v>
      </c>
      <c r="U15" s="10">
        <f t="shared" si="0"/>
        <v>834346.2167675345</v>
      </c>
      <c r="V15" s="11">
        <f t="shared" si="0"/>
        <v>38079.334259574658</v>
      </c>
      <c r="W15" s="11">
        <f t="shared" si="0"/>
        <v>482740.2678997672</v>
      </c>
      <c r="X15" s="20">
        <f t="shared" si="1"/>
        <v>444660.93364019255</v>
      </c>
      <c r="Z15" s="1">
        <f>X12/X15</f>
        <v>-0.20518186604558231</v>
      </c>
    </row>
    <row r="16" spans="3:28" x14ac:dyDescent="0.35">
      <c r="C16" s="10" t="s">
        <v>25</v>
      </c>
      <c r="D16" s="15" t="s">
        <v>26</v>
      </c>
      <c r="E16" s="16">
        <v>12001687.5782787</v>
      </c>
      <c r="F16" s="19" t="s">
        <v>27</v>
      </c>
      <c r="O16" s="7" t="s">
        <v>28</v>
      </c>
      <c r="P16" s="8">
        <f>SUM(P10:P15)</f>
        <v>40746326251.942329</v>
      </c>
      <c r="Q16" s="8">
        <f>SUM(Q10:Q15)</f>
        <v>41372383077.430565</v>
      </c>
      <c r="R16" s="8">
        <f>SUM(R10:R15)</f>
        <v>758599491.63103604</v>
      </c>
      <c r="S16" s="8">
        <f>SUM(S10:S15)</f>
        <v>1737864964.439162</v>
      </c>
      <c r="X16" s="21">
        <f>SUM(X10:X15)</f>
        <v>272018.18689114612</v>
      </c>
      <c r="Y16" s="1" t="s">
        <v>5</v>
      </c>
    </row>
    <row r="17" spans="2:28" x14ac:dyDescent="0.35">
      <c r="O17" s="19" t="s">
        <v>29</v>
      </c>
      <c r="P17" s="22">
        <f>P16-Q16</f>
        <v>-626056825.48823547</v>
      </c>
      <c r="Q17" s="22" t="s">
        <v>4</v>
      </c>
      <c r="X17" s="1">
        <f>X14/X15</f>
        <v>-0.18185707328420389</v>
      </c>
    </row>
    <row r="18" spans="2:28" x14ac:dyDescent="0.35">
      <c r="E18" s="249" t="s">
        <v>30</v>
      </c>
      <c r="F18" s="250"/>
      <c r="O18" s="19" t="s">
        <v>31</v>
      </c>
      <c r="P18" s="22">
        <f>S16-R16</f>
        <v>979265472.80812597</v>
      </c>
      <c r="Q18" s="22" t="s">
        <v>4</v>
      </c>
      <c r="X18" s="2" t="s">
        <v>32</v>
      </c>
      <c r="Y18" s="1">
        <v>1029479.74304561</v>
      </c>
      <c r="Z18" s="1" t="s">
        <v>33</v>
      </c>
    </row>
    <row r="19" spans="2:28" x14ac:dyDescent="0.35">
      <c r="D19" s="10" t="s">
        <v>25</v>
      </c>
      <c r="E19" s="15" t="s">
        <v>34</v>
      </c>
      <c r="F19" s="16">
        <v>54753012.441372298</v>
      </c>
      <c r="O19" s="19" t="s">
        <v>35</v>
      </c>
      <c r="P19" s="22">
        <f>P18/3600</f>
        <v>272018.18689114612</v>
      </c>
      <c r="Q19" s="22" t="s">
        <v>5</v>
      </c>
      <c r="R19" s="10">
        <f>P19/1000</f>
        <v>272.01818689114612</v>
      </c>
      <c r="S19" s="10" t="s">
        <v>36</v>
      </c>
      <c r="V19" s="1" t="s">
        <v>37</v>
      </c>
      <c r="X19" s="2" t="s">
        <v>38</v>
      </c>
      <c r="Y19" s="1">
        <v>237822.033807189</v>
      </c>
      <c r="AA19" s="1">
        <v>248060.220472313</v>
      </c>
    </row>
    <row r="20" spans="2:28" x14ac:dyDescent="0.35">
      <c r="U20" s="1" t="s">
        <v>40</v>
      </c>
      <c r="V20" s="1">
        <v>0.98499999999999999</v>
      </c>
      <c r="Y20" s="30">
        <f>Y19/Y18</f>
        <v>0.2310118634327053</v>
      </c>
    </row>
    <row r="21" spans="2:28" x14ac:dyDescent="0.35">
      <c r="C21" s="25" t="s">
        <v>41</v>
      </c>
      <c r="D21" s="15" t="s">
        <v>26</v>
      </c>
      <c r="E21" s="15" t="s">
        <v>42</v>
      </c>
      <c r="F21" s="15" t="s">
        <v>34</v>
      </c>
      <c r="G21" s="15" t="s">
        <v>14</v>
      </c>
      <c r="H21" s="15" t="s">
        <v>16</v>
      </c>
      <c r="U21" s="1" t="s">
        <v>43</v>
      </c>
      <c r="V21" s="52">
        <f>X16*V20</f>
        <v>267937.91408777895</v>
      </c>
      <c r="W21" s="1" t="s">
        <v>5</v>
      </c>
      <c r="Y21" s="1">
        <f>R12/Y19</f>
        <v>1381.0784946234339</v>
      </c>
      <c r="Z21" s="1" t="s">
        <v>45</v>
      </c>
    </row>
    <row r="22" spans="2:28" x14ac:dyDescent="0.35">
      <c r="B22" s="16" t="s">
        <v>46</v>
      </c>
      <c r="C22" s="25" t="s">
        <v>4</v>
      </c>
      <c r="D22" s="16">
        <v>12001687.5782787</v>
      </c>
      <c r="E22" s="16">
        <v>71294975.019490898</v>
      </c>
      <c r="F22" s="16">
        <v>54753012.441372298</v>
      </c>
      <c r="G22" s="16">
        <v>1949942.2735939701</v>
      </c>
      <c r="H22" s="16">
        <v>1303605.65094848</v>
      </c>
      <c r="V22" s="1">
        <f>V21/1000</f>
        <v>267.93791408777895</v>
      </c>
      <c r="W22" s="1" t="s">
        <v>36</v>
      </c>
      <c r="Y22" s="1">
        <v>237822.032317454</v>
      </c>
      <c r="Z22" s="1" t="s">
        <v>33</v>
      </c>
      <c r="AA22" s="1">
        <f>Y22/1000</f>
        <v>237.82203231745399</v>
      </c>
    </row>
    <row r="23" spans="2:28" x14ac:dyDescent="0.35">
      <c r="W23" s="1" t="s">
        <v>48</v>
      </c>
      <c r="Y23" s="14">
        <f>-X12</f>
        <v>91236.360121865553</v>
      </c>
      <c r="Z23" s="1" t="s">
        <v>5</v>
      </c>
      <c r="AB23" s="1">
        <f>Y23/AA22</f>
        <v>383.63291757628139</v>
      </c>
    </row>
    <row r="24" spans="2:28" x14ac:dyDescent="0.35">
      <c r="B24" s="133"/>
      <c r="C24" s="134" t="s">
        <v>41</v>
      </c>
      <c r="D24" s="135" t="s">
        <v>26</v>
      </c>
      <c r="E24" s="135" t="s">
        <v>42</v>
      </c>
      <c r="F24" s="135" t="s">
        <v>34</v>
      </c>
      <c r="G24" s="135" t="s">
        <v>14</v>
      </c>
      <c r="H24" s="135" t="s">
        <v>16</v>
      </c>
      <c r="I24" s="136"/>
      <c r="J24" s="136"/>
      <c r="K24" s="136"/>
      <c r="L24" s="137"/>
      <c r="N24" s="1" t="s">
        <v>47</v>
      </c>
      <c r="U24" s="1" t="s">
        <v>49</v>
      </c>
      <c r="W24" s="1">
        <v>8760</v>
      </c>
      <c r="Y24" s="53">
        <f>+Y22/Y23</f>
        <v>2.6066584857154771</v>
      </c>
      <c r="Z24" s="1" t="s">
        <v>50</v>
      </c>
      <c r="AA24" s="1">
        <f>Y23/Y22</f>
        <v>0.38363291757628137</v>
      </c>
    </row>
    <row r="25" spans="2:28" x14ac:dyDescent="0.35">
      <c r="B25" s="138"/>
      <c r="L25" s="139"/>
      <c r="V25" s="30">
        <f>V21*W24</f>
        <v>2347136127.4089437</v>
      </c>
      <c r="W25" s="1" t="s">
        <v>51</v>
      </c>
    </row>
    <row r="26" spans="2:28" x14ac:dyDescent="0.35">
      <c r="B26" s="140" t="s">
        <v>46</v>
      </c>
      <c r="C26" s="27" t="s">
        <v>4</v>
      </c>
      <c r="D26" s="31">
        <v>12001687.5782787</v>
      </c>
      <c r="E26" s="31">
        <v>71294975.019490898</v>
      </c>
      <c r="F26" s="31">
        <v>54753012.441372298</v>
      </c>
      <c r="G26" s="31">
        <v>1949942.2735939701</v>
      </c>
      <c r="H26" s="31">
        <v>1303605.65094848</v>
      </c>
      <c r="L26" s="139"/>
      <c r="U26" s="1">
        <v>-213916.45314843368</v>
      </c>
      <c r="W26" s="14">
        <f>X10</f>
        <v>-541.65063155388054</v>
      </c>
      <c r="X26" s="14">
        <f>W26</f>
        <v>-541.65063155388054</v>
      </c>
      <c r="Y26" s="1">
        <v>1.67</v>
      </c>
      <c r="Z26" s="32">
        <f>Y26/$Y$24</f>
        <v>0.64066697235238979</v>
      </c>
      <c r="AA26" s="33">
        <f>1-Z26</f>
        <v>0.35933302764761021</v>
      </c>
    </row>
    <row r="27" spans="2:28" x14ac:dyDescent="0.35">
      <c r="B27" s="138"/>
      <c r="L27" s="139"/>
      <c r="W27" s="14">
        <f>X11</f>
        <v>0</v>
      </c>
      <c r="X27" s="14">
        <f>W27</f>
        <v>0</v>
      </c>
      <c r="Y27" s="1">
        <v>2.5</v>
      </c>
      <c r="Z27" s="32">
        <f>Y27/$Y$24</f>
        <v>0.95908229394070343</v>
      </c>
      <c r="AA27" s="33">
        <f>1-Z27</f>
        <v>4.0917706059296566E-2</v>
      </c>
    </row>
    <row r="28" spans="2:28" x14ac:dyDescent="0.35">
      <c r="B28" s="141" t="s">
        <v>63</v>
      </c>
      <c r="C28" s="28" t="s">
        <v>59</v>
      </c>
      <c r="D28" s="28" t="s">
        <v>56</v>
      </c>
      <c r="E28" s="28" t="s">
        <v>68</v>
      </c>
      <c r="F28" s="28" t="s">
        <v>70</v>
      </c>
      <c r="G28" s="28" t="s">
        <v>66</v>
      </c>
      <c r="H28" s="28" t="s">
        <v>64</v>
      </c>
      <c r="I28" s="28" t="s">
        <v>65</v>
      </c>
      <c r="J28" s="28" t="s">
        <v>67</v>
      </c>
      <c r="K28" s="28" t="s">
        <v>69</v>
      </c>
      <c r="L28" s="142" t="s">
        <v>87</v>
      </c>
      <c r="W28" s="14">
        <f>U26*Z26</f>
        <v>-137049.20637496884</v>
      </c>
      <c r="X28" s="14">
        <f>U26*Z27</f>
        <v>-205163.48259725879</v>
      </c>
    </row>
    <row r="29" spans="2:28" x14ac:dyDescent="0.35">
      <c r="B29" s="138"/>
      <c r="L29" s="139"/>
      <c r="W29" s="14">
        <f>X13</f>
        <v>0</v>
      </c>
      <c r="X29" s="14">
        <f>W29</f>
        <v>0</v>
      </c>
      <c r="AB29" s="1">
        <v>2.8730000000000002</v>
      </c>
    </row>
    <row r="30" spans="2:28" x14ac:dyDescent="0.35">
      <c r="B30" s="140">
        <v>5102882.6316352598</v>
      </c>
      <c r="C30" s="31">
        <v>221495362.62818301</v>
      </c>
      <c r="D30" s="31">
        <v>234956511.44766599</v>
      </c>
      <c r="E30" s="31">
        <v>106955533.810533</v>
      </c>
      <c r="F30" s="31">
        <v>109192879.163745</v>
      </c>
      <c r="G30" s="31">
        <v>4162628.0452337801</v>
      </c>
      <c r="H30" s="31">
        <v>104482629.02086601</v>
      </c>
      <c r="I30" s="31">
        <v>38336005964.624901</v>
      </c>
      <c r="J30" s="31">
        <v>38296138116.397003</v>
      </c>
      <c r="K30" s="31">
        <v>1341445.2556465699</v>
      </c>
      <c r="L30" s="143">
        <v>668580399.65412903</v>
      </c>
      <c r="W30" s="14">
        <f>X14</f>
        <v>-80864.735995627023</v>
      </c>
      <c r="X30" s="14">
        <f>W30</f>
        <v>-80864.735995627023</v>
      </c>
      <c r="AB30" s="1">
        <f>AB29*2</f>
        <v>5.7460000000000004</v>
      </c>
    </row>
    <row r="31" spans="2:28" x14ac:dyDescent="0.35">
      <c r="B31" s="144"/>
      <c r="C31" s="145"/>
      <c r="D31" s="145"/>
      <c r="E31" s="145"/>
      <c r="F31" s="145"/>
      <c r="G31" s="145"/>
      <c r="H31" s="145"/>
      <c r="I31" s="145"/>
      <c r="J31" s="145"/>
      <c r="K31" s="145"/>
      <c r="L31" s="146"/>
      <c r="W31" s="14">
        <f>X15</f>
        <v>444660.93364019255</v>
      </c>
      <c r="X31" s="14">
        <f>W31</f>
        <v>444660.93364019255</v>
      </c>
    </row>
    <row r="32" spans="2:28" x14ac:dyDescent="0.35">
      <c r="W32" s="34">
        <f>SUM(W26:W31)</f>
        <v>226205.34063804284</v>
      </c>
      <c r="X32" s="35">
        <f>SUM(X26:X31)</f>
        <v>158091.06441575289</v>
      </c>
    </row>
    <row r="33" spans="2:28" x14ac:dyDescent="0.35">
      <c r="U33" s="1" t="s">
        <v>52</v>
      </c>
      <c r="V33" s="1">
        <f>F62</f>
        <v>834346.2167675345</v>
      </c>
    </row>
    <row r="34" spans="2:28" x14ac:dyDescent="0.35">
      <c r="X34" s="10" t="s">
        <v>55</v>
      </c>
      <c r="Y34" s="11">
        <v>67896.760268964106</v>
      </c>
      <c r="Z34" s="1" t="s">
        <v>33</v>
      </c>
    </row>
    <row r="35" spans="2:28" x14ac:dyDescent="0.35">
      <c r="B35" s="10">
        <v>1</v>
      </c>
      <c r="C35" s="19" t="s">
        <v>25</v>
      </c>
      <c r="D35" s="8">
        <v>41</v>
      </c>
      <c r="E35" s="8" t="s">
        <v>56</v>
      </c>
      <c r="F35" s="31">
        <v>234956511.44766599</v>
      </c>
      <c r="H35" s="10">
        <v>8</v>
      </c>
      <c r="I35" s="19" t="s">
        <v>9</v>
      </c>
      <c r="J35" s="8">
        <v>12</v>
      </c>
      <c r="K35" s="8" t="s">
        <v>57</v>
      </c>
      <c r="L35" s="16">
        <v>0</v>
      </c>
      <c r="T35" s="1" t="s">
        <v>53</v>
      </c>
      <c r="U35" s="1" t="s">
        <v>54</v>
      </c>
      <c r="V35" s="13">
        <f>X16/V33</f>
        <v>0.3260255532110069</v>
      </c>
      <c r="X35" s="10" t="s">
        <v>38</v>
      </c>
      <c r="Y35" s="11">
        <v>246603.75933469599</v>
      </c>
      <c r="Z35" s="1" t="s">
        <v>33</v>
      </c>
    </row>
    <row r="36" spans="2:28" x14ac:dyDescent="0.35">
      <c r="B36" s="10">
        <v>2</v>
      </c>
      <c r="C36" s="19" t="s">
        <v>9</v>
      </c>
      <c r="D36" s="8">
        <v>10</v>
      </c>
      <c r="E36" s="8" t="s">
        <v>59</v>
      </c>
      <c r="F36" s="31">
        <v>221495362.62818301</v>
      </c>
      <c r="H36" s="10">
        <v>9</v>
      </c>
      <c r="I36" s="19" t="s">
        <v>25</v>
      </c>
      <c r="J36" s="8">
        <v>45</v>
      </c>
      <c r="K36" s="8" t="s">
        <v>60</v>
      </c>
      <c r="L36" s="16">
        <v>0</v>
      </c>
      <c r="U36" s="1" t="s">
        <v>58</v>
      </c>
      <c r="V36" s="36">
        <f>W32/V33</f>
        <v>0.27111687701350023</v>
      </c>
      <c r="Y36" s="1">
        <f>Y35/Y34</f>
        <v>3.6320401497480521</v>
      </c>
      <c r="Z36" s="247" t="s">
        <v>62</v>
      </c>
      <c r="AA36" s="247"/>
      <c r="AB36" s="247"/>
    </row>
    <row r="37" spans="2:28" x14ac:dyDescent="0.35">
      <c r="B37" s="10">
        <v>3</v>
      </c>
      <c r="C37" s="19" t="s">
        <v>10</v>
      </c>
      <c r="D37" s="8">
        <v>42</v>
      </c>
      <c r="E37" s="8" t="s">
        <v>63</v>
      </c>
      <c r="F37" s="38"/>
      <c r="G37" s="31">
        <v>4834309.8615491996</v>
      </c>
      <c r="H37" s="10">
        <v>10</v>
      </c>
      <c r="I37" s="19" t="s">
        <v>25</v>
      </c>
      <c r="J37" s="2">
        <v>46</v>
      </c>
      <c r="K37" s="39" t="s">
        <v>64</v>
      </c>
      <c r="L37" s="31">
        <v>104482629.02086601</v>
      </c>
      <c r="U37" s="1" t="s">
        <v>61</v>
      </c>
      <c r="V37" s="37">
        <f>X32/V33</f>
        <v>0.18947897316324766</v>
      </c>
    </row>
    <row r="38" spans="2:28" x14ac:dyDescent="0.35">
      <c r="B38" s="10">
        <v>4</v>
      </c>
      <c r="C38" s="19" t="s">
        <v>9</v>
      </c>
      <c r="D38" s="8">
        <v>11</v>
      </c>
      <c r="E38" s="8" t="s">
        <v>63</v>
      </c>
      <c r="F38" s="38"/>
      <c r="H38" s="10">
        <v>11</v>
      </c>
      <c r="I38" s="19" t="s">
        <v>25</v>
      </c>
      <c r="J38" s="8">
        <v>48</v>
      </c>
      <c r="K38" s="8" t="s">
        <v>65</v>
      </c>
      <c r="L38" s="31">
        <v>38336005964.624901</v>
      </c>
    </row>
    <row r="39" spans="2:28" x14ac:dyDescent="0.35">
      <c r="B39" s="10">
        <v>5</v>
      </c>
      <c r="C39" s="19" t="s">
        <v>25</v>
      </c>
      <c r="D39" s="8">
        <v>44</v>
      </c>
      <c r="E39" s="8" t="s">
        <v>66</v>
      </c>
      <c r="F39" s="31">
        <v>4162628.0452337801</v>
      </c>
      <c r="H39" s="10">
        <v>12</v>
      </c>
      <c r="I39" s="132" t="s">
        <v>8</v>
      </c>
      <c r="J39" s="8">
        <v>15</v>
      </c>
      <c r="K39" s="8" t="s">
        <v>67</v>
      </c>
      <c r="L39" s="31">
        <v>38296138116.397003</v>
      </c>
    </row>
    <row r="40" spans="2:28" x14ac:dyDescent="0.35">
      <c r="B40" s="10">
        <v>6</v>
      </c>
      <c r="C40" s="19" t="s">
        <v>9</v>
      </c>
      <c r="D40" s="8">
        <v>9</v>
      </c>
      <c r="E40" s="8" t="s">
        <v>68</v>
      </c>
      <c r="F40" s="31">
        <v>106955533.810533</v>
      </c>
      <c r="H40" s="10">
        <v>13</v>
      </c>
      <c r="I40" s="19" t="s">
        <v>25</v>
      </c>
      <c r="J40" s="8">
        <v>47</v>
      </c>
      <c r="K40" s="8" t="s">
        <v>69</v>
      </c>
      <c r="L40" s="31">
        <v>1341445.2556465699</v>
      </c>
    </row>
    <row r="41" spans="2:28" x14ac:dyDescent="0.35">
      <c r="B41" s="10">
        <v>7</v>
      </c>
      <c r="C41" s="19" t="s">
        <v>25</v>
      </c>
      <c r="D41" s="8">
        <v>43</v>
      </c>
      <c r="E41" s="8" t="s">
        <v>70</v>
      </c>
      <c r="F41" s="31">
        <v>109192879.163745</v>
      </c>
      <c r="H41" s="10">
        <v>14</v>
      </c>
      <c r="I41" s="132" t="s">
        <v>8</v>
      </c>
      <c r="J41" s="8">
        <v>13</v>
      </c>
      <c r="K41" s="8" t="s">
        <v>71</v>
      </c>
      <c r="L41" s="31"/>
    </row>
    <row r="42" spans="2:28" x14ac:dyDescent="0.35">
      <c r="H42" s="10">
        <v>15</v>
      </c>
      <c r="I42" s="132" t="s">
        <v>8</v>
      </c>
      <c r="J42" s="8">
        <v>14</v>
      </c>
      <c r="K42" s="8" t="s">
        <v>72</v>
      </c>
      <c r="L42" s="31"/>
    </row>
    <row r="43" spans="2:28" x14ac:dyDescent="0.35">
      <c r="B43" s="1" t="s">
        <v>21</v>
      </c>
      <c r="C43" s="1">
        <f>L41+L42+L39</f>
        <v>38296138116.397003</v>
      </c>
    </row>
    <row r="44" spans="2:28" x14ac:dyDescent="0.35">
      <c r="B44" s="1" t="s">
        <v>73</v>
      </c>
      <c r="C44" s="1">
        <f>F35+F39+F41+L36+L37+L38+L40</f>
        <v>38790142057.55806</v>
      </c>
    </row>
    <row r="45" spans="2:28" x14ac:dyDescent="0.35">
      <c r="B45" s="1" t="s">
        <v>74</v>
      </c>
      <c r="C45" s="1">
        <f>F36+F40+F38+L35</f>
        <v>328450896.43871599</v>
      </c>
    </row>
    <row r="46" spans="2:28" x14ac:dyDescent="0.35">
      <c r="B46" s="1" t="s">
        <v>10</v>
      </c>
      <c r="C46" s="1">
        <f>F37</f>
        <v>0</v>
      </c>
    </row>
    <row r="47" spans="2:28" x14ac:dyDescent="0.35">
      <c r="O47" s="28" t="s">
        <v>87</v>
      </c>
    </row>
    <row r="49" spans="2:22" x14ac:dyDescent="0.35">
      <c r="C49" s="229" t="s">
        <v>76</v>
      </c>
      <c r="D49" s="229"/>
      <c r="G49" s="28" t="s">
        <v>89</v>
      </c>
      <c r="H49" s="28" t="s">
        <v>86</v>
      </c>
      <c r="I49" s="31">
        <v>92402693.350589201</v>
      </c>
      <c r="O49" s="31">
        <v>668580399.65412903</v>
      </c>
    </row>
    <row r="51" spans="2:22" x14ac:dyDescent="0.35">
      <c r="B51" s="248" t="s">
        <v>77</v>
      </c>
      <c r="C51" s="248"/>
      <c r="G51" s="31">
        <v>1106721747.3959401</v>
      </c>
      <c r="O51" s="10"/>
      <c r="P51" s="230" t="s">
        <v>78</v>
      </c>
      <c r="Q51" s="230"/>
      <c r="R51" s="10"/>
      <c r="S51" s="10"/>
      <c r="T51" s="10"/>
      <c r="U51" s="10"/>
      <c r="V51" s="10"/>
    </row>
    <row r="52" spans="2:22" x14ac:dyDescent="0.35">
      <c r="B52" s="10"/>
      <c r="C52" s="10" t="s">
        <v>79</v>
      </c>
      <c r="D52" s="10"/>
      <c r="E52" s="10" t="s">
        <v>80</v>
      </c>
      <c r="F52" s="10"/>
      <c r="G52" s="10" t="s">
        <v>81</v>
      </c>
      <c r="H52" s="10"/>
      <c r="I52" s="10" t="s">
        <v>82</v>
      </c>
      <c r="K52" s="132" t="s">
        <v>83</v>
      </c>
      <c r="L52" s="10">
        <f>I58+P53</f>
        <v>1645980774.9862726</v>
      </c>
      <c r="O52" s="10"/>
      <c r="P52" s="10" t="s">
        <v>82</v>
      </c>
      <c r="Q52" s="10"/>
      <c r="R52" s="10" t="s">
        <v>79</v>
      </c>
      <c r="S52" s="10"/>
      <c r="T52" s="10" t="s">
        <v>8</v>
      </c>
      <c r="U52" s="10"/>
      <c r="V52" s="10" t="s">
        <v>80</v>
      </c>
    </row>
    <row r="53" spans="2:22" x14ac:dyDescent="0.35">
      <c r="B53" s="15" t="s">
        <v>84</v>
      </c>
      <c r="C53" s="31">
        <v>701013134.94734395</v>
      </c>
      <c r="D53" s="15" t="s">
        <v>85</v>
      </c>
      <c r="E53" s="31">
        <v>1262540.6350139501</v>
      </c>
      <c r="F53" s="15" t="s">
        <v>86</v>
      </c>
      <c r="G53" s="41">
        <v>0</v>
      </c>
      <c r="H53" s="42" t="s">
        <v>86</v>
      </c>
      <c r="I53" s="41">
        <v>0</v>
      </c>
      <c r="K53" s="132" t="s">
        <v>8</v>
      </c>
      <c r="L53" s="10">
        <f>G56</f>
        <v>20715012.559861802</v>
      </c>
      <c r="O53" s="15" t="s">
        <v>87</v>
      </c>
      <c r="P53" s="43">
        <v>668580399.65412903</v>
      </c>
      <c r="Q53" s="15" t="s">
        <v>88</v>
      </c>
      <c r="R53" s="31">
        <v>441900000.92674297</v>
      </c>
      <c r="S53" s="42" t="s">
        <v>89</v>
      </c>
      <c r="T53" s="41">
        <v>0</v>
      </c>
      <c r="U53" s="15" t="s">
        <v>90</v>
      </c>
      <c r="V53" s="31">
        <v>3758653.18493417</v>
      </c>
    </row>
    <row r="54" spans="2:22" x14ac:dyDescent="0.35">
      <c r="B54" s="15" t="s">
        <v>91</v>
      </c>
      <c r="C54" s="31">
        <v>594951828.56507504</v>
      </c>
      <c r="D54" s="15" t="s">
        <v>92</v>
      </c>
      <c r="E54" s="31">
        <v>80704055.253638804</v>
      </c>
      <c r="F54" s="15" t="s">
        <v>93</v>
      </c>
      <c r="G54" s="31">
        <v>20715012.559861802</v>
      </c>
      <c r="H54" s="15" t="s">
        <v>94</v>
      </c>
      <c r="I54" s="31">
        <v>716026938.91168904</v>
      </c>
    </row>
    <row r="55" spans="2:22" x14ac:dyDescent="0.35">
      <c r="B55" s="31"/>
      <c r="C55" s="10">
        <f>SUM(C53:C54)</f>
        <v>1295964963.512419</v>
      </c>
      <c r="D55" s="15" t="s">
        <v>98</v>
      </c>
      <c r="E55" s="31">
        <v>51304617.691635102</v>
      </c>
      <c r="F55" s="15" t="s">
        <v>89</v>
      </c>
      <c r="G55" s="41">
        <v>0</v>
      </c>
      <c r="H55" s="15" t="s">
        <v>99</v>
      </c>
      <c r="I55" s="31">
        <v>130658504.043367</v>
      </c>
      <c r="Q55" s="28" t="s">
        <v>88</v>
      </c>
      <c r="R55" s="31">
        <v>441900000.92674297</v>
      </c>
    </row>
    <row r="56" spans="2:22" x14ac:dyDescent="0.35">
      <c r="B56" s="31"/>
      <c r="C56" s="10"/>
      <c r="D56" s="15" t="s">
        <v>100</v>
      </c>
      <c r="E56" s="31">
        <v>55736.569246749903</v>
      </c>
      <c r="F56" s="10"/>
      <c r="G56" s="10">
        <f>SUM(G53:G55)</f>
        <v>20715012.559861802</v>
      </c>
      <c r="H56" s="15" t="s">
        <v>101</v>
      </c>
      <c r="I56" s="31">
        <v>72958966.064059705</v>
      </c>
      <c r="K56" s="28" t="s">
        <v>84</v>
      </c>
      <c r="L56" s="28" t="s">
        <v>95</v>
      </c>
      <c r="M56" s="28" t="s">
        <v>96</v>
      </c>
      <c r="N56" s="28" t="s">
        <v>97</v>
      </c>
      <c r="O56" s="28" t="s">
        <v>102</v>
      </c>
      <c r="P56" s="28" t="s">
        <v>103</v>
      </c>
      <c r="Q56" s="28" t="s">
        <v>86</v>
      </c>
    </row>
    <row r="57" spans="2:22" x14ac:dyDescent="0.35">
      <c r="E57" s="44">
        <f>SUM(E53:E56)</f>
        <v>133326950.14953461</v>
      </c>
      <c r="F57" s="10"/>
      <c r="G57" s="10"/>
      <c r="H57" s="15" t="s">
        <v>104</v>
      </c>
      <c r="I57" s="31">
        <v>57755966.313027702</v>
      </c>
    </row>
    <row r="58" spans="2:22" x14ac:dyDescent="0.35">
      <c r="I58" s="1">
        <f>SUM(I53:I57)</f>
        <v>977400375.33214355</v>
      </c>
      <c r="K58" s="31">
        <v>723852031.66336596</v>
      </c>
      <c r="L58" s="31">
        <v>85227400.321852401</v>
      </c>
      <c r="M58" s="31">
        <v>46478534.517125003</v>
      </c>
      <c r="N58" s="31">
        <v>95860943.135125101</v>
      </c>
      <c r="O58" s="31">
        <v>102946911.84525301</v>
      </c>
      <c r="P58" s="31">
        <v>72408720.794285402</v>
      </c>
      <c r="Q58" s="31">
        <v>92402680.947663605</v>
      </c>
    </row>
    <row r="59" spans="2:22" x14ac:dyDescent="0.35">
      <c r="B59" s="28" t="s">
        <v>105</v>
      </c>
      <c r="C59" s="1">
        <f>C55+R53</f>
        <v>1737864964.439162</v>
      </c>
      <c r="E59" s="1" t="s">
        <v>47</v>
      </c>
      <c r="F59" s="1">
        <v>44238.434477058603</v>
      </c>
      <c r="G59" s="1" t="s">
        <v>106</v>
      </c>
      <c r="I59" s="1">
        <f>I58+P53</f>
        <v>1645980774.9862726</v>
      </c>
    </row>
    <row r="60" spans="2:22" x14ac:dyDescent="0.35">
      <c r="B60" s="28" t="s">
        <v>107</v>
      </c>
      <c r="C60" s="1">
        <f>E57+V53</f>
        <v>137085603.33446878</v>
      </c>
      <c r="E60" s="1" t="s">
        <v>108</v>
      </c>
      <c r="F60" s="1">
        <v>67896.760268964106</v>
      </c>
      <c r="G60" s="1" t="s">
        <v>109</v>
      </c>
      <c r="J60" s="1">
        <f>I59/F61</f>
        <v>0.54799419324031162</v>
      </c>
    </row>
    <row r="61" spans="2:22" x14ac:dyDescent="0.35">
      <c r="B61" s="31" t="s">
        <v>31</v>
      </c>
      <c r="C61" s="1">
        <f>C59-C60</f>
        <v>1600779361.1046932</v>
      </c>
      <c r="D61" s="30">
        <f>C61/3600</f>
        <v>444660.93364019255</v>
      </c>
      <c r="E61" s="1" t="s">
        <v>110</v>
      </c>
      <c r="F61" s="1">
        <f>F59*F60</f>
        <v>3003646380.3631244</v>
      </c>
      <c r="G61" s="1" t="s">
        <v>4</v>
      </c>
      <c r="H61" s="30">
        <f>F61/3600</f>
        <v>834346.2167675345</v>
      </c>
      <c r="I61" s="1" t="s">
        <v>5</v>
      </c>
    </row>
    <row r="62" spans="2:22" x14ac:dyDescent="0.35">
      <c r="B62" s="47" t="s">
        <v>39</v>
      </c>
      <c r="C62" s="10">
        <f>C61/F61</f>
        <v>0.53294534655280146</v>
      </c>
      <c r="E62" s="1" t="s">
        <v>110</v>
      </c>
      <c r="F62" s="1">
        <f>F61/3600</f>
        <v>834346.2167675345</v>
      </c>
      <c r="G62" s="1" t="s">
        <v>5</v>
      </c>
      <c r="H62" s="1">
        <f>H61/1000</f>
        <v>834.34621676753454</v>
      </c>
    </row>
    <row r="63" spans="2:22" x14ac:dyDescent="0.35">
      <c r="B63" s="48" t="s">
        <v>113</v>
      </c>
      <c r="C63" s="10">
        <f>C62/C64</f>
        <v>0.6438790301424735</v>
      </c>
      <c r="G63" s="1" t="s">
        <v>114</v>
      </c>
      <c r="H63" s="1">
        <f>1399.19319887969+1399.4555404377</f>
        <v>2798.6487393173902</v>
      </c>
      <c r="K63" s="28" t="s">
        <v>89</v>
      </c>
      <c r="L63" s="28" t="s">
        <v>90</v>
      </c>
      <c r="M63" s="28" t="s">
        <v>92</v>
      </c>
      <c r="N63" s="28" t="s">
        <v>94</v>
      </c>
      <c r="O63" s="28" t="s">
        <v>98</v>
      </c>
      <c r="P63" s="28" t="s">
        <v>99</v>
      </c>
      <c r="Q63" s="28" t="s">
        <v>93</v>
      </c>
      <c r="R63" s="28" t="s">
        <v>101</v>
      </c>
      <c r="S63" s="28" t="s">
        <v>104</v>
      </c>
      <c r="T63" s="28" t="s">
        <v>100</v>
      </c>
      <c r="U63" s="28" t="s">
        <v>91</v>
      </c>
    </row>
    <row r="64" spans="2:22" x14ac:dyDescent="0.35">
      <c r="B64" s="48" t="s">
        <v>115</v>
      </c>
      <c r="C64" s="10">
        <f>(H65-H66)/H65</f>
        <v>0.82771036421992916</v>
      </c>
      <c r="H64" s="1">
        <f>H63/2</f>
        <v>1399.3243696586951</v>
      </c>
    </row>
    <row r="65" spans="2:21" x14ac:dyDescent="0.35">
      <c r="C65" s="248" t="s">
        <v>116</v>
      </c>
      <c r="D65" s="248"/>
      <c r="G65" s="1" t="s">
        <v>114</v>
      </c>
      <c r="H65" s="1">
        <f>H64+273.15</f>
        <v>1672.4743696586952</v>
      </c>
      <c r="K65" s="31">
        <v>1106721747.3959401</v>
      </c>
      <c r="L65" s="31">
        <v>3758653.18493417</v>
      </c>
      <c r="M65" s="31">
        <v>80704055.253638804</v>
      </c>
      <c r="N65" s="31">
        <v>716026938.91168904</v>
      </c>
      <c r="O65" s="31">
        <v>51304617.691635102</v>
      </c>
      <c r="P65" s="31">
        <v>130658504.043367</v>
      </c>
      <c r="Q65" s="31">
        <v>20715012.559861802</v>
      </c>
      <c r="R65" s="31">
        <v>-72958966.064059705</v>
      </c>
      <c r="S65" s="31">
        <v>57755966.313027702</v>
      </c>
      <c r="T65" s="31">
        <v>55736.569246749903</v>
      </c>
      <c r="U65" s="31">
        <v>594951828.56507504</v>
      </c>
    </row>
    <row r="66" spans="2:21" x14ac:dyDescent="0.35">
      <c r="C66" s="1" t="s">
        <v>9</v>
      </c>
      <c r="F66" s="1" t="s">
        <v>25</v>
      </c>
      <c r="G66" s="1" t="s">
        <v>117</v>
      </c>
      <c r="H66" s="1">
        <f>15+273.15</f>
        <v>288.14999999999998</v>
      </c>
    </row>
    <row r="67" spans="2:21" x14ac:dyDescent="0.35">
      <c r="B67" s="28" t="s">
        <v>95</v>
      </c>
      <c r="C67" s="31">
        <v>85227400.321852401</v>
      </c>
      <c r="E67" s="28" t="s">
        <v>96</v>
      </c>
      <c r="F67" s="31">
        <v>46478534.517125003</v>
      </c>
    </row>
    <row r="68" spans="2:21" x14ac:dyDescent="0.35">
      <c r="B68" s="28" t="s">
        <v>97</v>
      </c>
      <c r="C68" s="31">
        <v>95860943.135125101</v>
      </c>
      <c r="E68" s="28" t="s">
        <v>102</v>
      </c>
      <c r="F68" s="31">
        <v>102946911.84525301</v>
      </c>
    </row>
    <row r="69" spans="2:21" x14ac:dyDescent="0.35">
      <c r="B69" s="28" t="s">
        <v>118</v>
      </c>
      <c r="C69" s="31">
        <v>1805887.29350383</v>
      </c>
      <c r="E69" s="28" t="s">
        <v>103</v>
      </c>
      <c r="F69" s="31">
        <v>72408720.794285402</v>
      </c>
    </row>
    <row r="70" spans="2:21" x14ac:dyDescent="0.35">
      <c r="B70" s="28" t="s">
        <v>119</v>
      </c>
      <c r="C70" s="31">
        <v>91739662.063730806</v>
      </c>
      <c r="E70" s="28" t="s">
        <v>120</v>
      </c>
      <c r="F70" s="31">
        <v>21614552.221679602</v>
      </c>
    </row>
    <row r="71" spans="2:21" x14ac:dyDescent="0.35">
      <c r="B71" s="28" t="s">
        <v>121</v>
      </c>
      <c r="C71" s="31">
        <v>16479156.7700452</v>
      </c>
      <c r="F71" s="1">
        <f>SUM(F67:F70)</f>
        <v>243448719.37834302</v>
      </c>
    </row>
    <row r="72" spans="2:21" x14ac:dyDescent="0.35">
      <c r="C72" s="1">
        <f>SUM(C67:C71)</f>
        <v>291113049.5842573</v>
      </c>
    </row>
  </sheetData>
  <mergeCells count="11">
    <mergeCell ref="E18:F18"/>
    <mergeCell ref="D8:F8"/>
    <mergeCell ref="N8:N9"/>
    <mergeCell ref="O8:S8"/>
    <mergeCell ref="T8:X8"/>
    <mergeCell ref="D14:F14"/>
    <mergeCell ref="Z36:AB36"/>
    <mergeCell ref="C49:D49"/>
    <mergeCell ref="B51:C51"/>
    <mergeCell ref="P51:Q51"/>
    <mergeCell ref="C65:D6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ED79-DE6E-4FFC-9C2B-75EAC4F3EFB6}">
  <dimension ref="A2:AZ74"/>
  <sheetViews>
    <sheetView zoomScale="43" zoomScaleNormal="70" workbookViewId="0">
      <selection activeCell="L20" sqref="L20"/>
    </sheetView>
  </sheetViews>
  <sheetFormatPr baseColWidth="10" defaultColWidth="11.54296875" defaultRowHeight="15.5" x14ac:dyDescent="0.35"/>
  <cols>
    <col min="1" max="1" width="11.7265625" style="1" bestFit="1" customWidth="1"/>
    <col min="2" max="2" width="11.54296875" style="1"/>
    <col min="3" max="3" width="11.7265625" style="1" bestFit="1" customWidth="1"/>
    <col min="4" max="4" width="13" style="1" bestFit="1" customWidth="1"/>
    <col min="5" max="8" width="11.7265625" style="1" bestFit="1" customWidth="1"/>
    <col min="9" max="9" width="16.1796875" style="1" bestFit="1" customWidth="1"/>
    <col min="10" max="10" width="11.7265625" style="1" bestFit="1" customWidth="1"/>
    <col min="11" max="11" width="16" style="1" bestFit="1" customWidth="1"/>
    <col min="12" max="12" width="19.7265625" style="1" bestFit="1" customWidth="1"/>
    <col min="13" max="14" width="15" style="1" bestFit="1" customWidth="1"/>
    <col min="15" max="16" width="11.7265625" style="1" bestFit="1" customWidth="1"/>
    <col min="17" max="17" width="20.26953125" style="1" bestFit="1" customWidth="1"/>
    <col min="18" max="18" width="11.7265625" style="1" bestFit="1" customWidth="1"/>
    <col min="19" max="19" width="16" style="1" bestFit="1" customWidth="1"/>
    <col min="20" max="20" width="18" style="1" bestFit="1" customWidth="1"/>
    <col min="21" max="49" width="11.7265625" style="1" bestFit="1" customWidth="1"/>
    <col min="50" max="50" width="12.26953125" style="1" bestFit="1" customWidth="1"/>
    <col min="51" max="51" width="11.7265625" style="1" bestFit="1" customWidth="1"/>
    <col min="52" max="52" width="13.26953125" style="1" bestFit="1" customWidth="1"/>
    <col min="53" max="16384" width="11.54296875" style="1"/>
  </cols>
  <sheetData>
    <row r="2" spans="1:52" x14ac:dyDescent="0.35">
      <c r="B2" s="25" t="s">
        <v>41</v>
      </c>
      <c r="C2" s="15" t="s">
        <v>26</v>
      </c>
      <c r="D2" s="15" t="s">
        <v>42</v>
      </c>
      <c r="E2" s="15" t="s">
        <v>34</v>
      </c>
      <c r="F2" s="15" t="s">
        <v>14</v>
      </c>
      <c r="G2" s="15" t="s">
        <v>16</v>
      </c>
      <c r="H2" s="15" t="s">
        <v>123</v>
      </c>
      <c r="I2" s="15" t="s">
        <v>22</v>
      </c>
      <c r="J2" s="15" t="s">
        <v>124</v>
      </c>
      <c r="K2" s="15" t="s">
        <v>125</v>
      </c>
      <c r="L2" s="15" t="s">
        <v>126</v>
      </c>
      <c r="M2" s="15" t="s">
        <v>127</v>
      </c>
      <c r="N2" s="15" t="s">
        <v>128</v>
      </c>
      <c r="O2" s="15" t="s">
        <v>129</v>
      </c>
      <c r="P2" s="15" t="s">
        <v>63</v>
      </c>
      <c r="Q2" s="15" t="s">
        <v>59</v>
      </c>
      <c r="R2" s="15" t="s">
        <v>56</v>
      </c>
      <c r="S2" s="15" t="s">
        <v>68</v>
      </c>
      <c r="T2" s="15" t="s">
        <v>70</v>
      </c>
      <c r="U2" s="15" t="s">
        <v>66</v>
      </c>
      <c r="V2" s="15" t="s">
        <v>57</v>
      </c>
      <c r="W2" s="15" t="s">
        <v>60</v>
      </c>
      <c r="X2" s="15" t="s">
        <v>64</v>
      </c>
      <c r="Y2" s="15" t="s">
        <v>65</v>
      </c>
      <c r="Z2" s="15" t="s">
        <v>67</v>
      </c>
      <c r="AA2" s="15" t="s">
        <v>69</v>
      </c>
      <c r="AB2" s="15" t="s">
        <v>71</v>
      </c>
      <c r="AC2" s="15" t="s">
        <v>72</v>
      </c>
      <c r="AD2" s="15" t="s">
        <v>130</v>
      </c>
      <c r="AE2" s="15" t="s">
        <v>131</v>
      </c>
      <c r="AF2" s="15" t="s">
        <v>132</v>
      </c>
      <c r="AG2" s="15" t="s">
        <v>133</v>
      </c>
      <c r="AH2" s="15" t="s">
        <v>134</v>
      </c>
      <c r="AI2" s="15" t="s">
        <v>91</v>
      </c>
      <c r="AJ2" s="15" t="s">
        <v>135</v>
      </c>
      <c r="AK2" s="15" t="s">
        <v>136</v>
      </c>
      <c r="AL2" s="15" t="s">
        <v>137</v>
      </c>
      <c r="AM2" s="15" t="s">
        <v>138</v>
      </c>
      <c r="AN2" s="15" t="s">
        <v>139</v>
      </c>
      <c r="AO2" s="15" t="s">
        <v>140</v>
      </c>
      <c r="AP2" s="15" t="s">
        <v>141</v>
      </c>
      <c r="AQ2" s="15" t="s">
        <v>87</v>
      </c>
      <c r="AR2" s="15" t="s">
        <v>142</v>
      </c>
      <c r="AS2" s="15" t="s">
        <v>143</v>
      </c>
      <c r="AT2" s="15" t="s">
        <v>144</v>
      </c>
      <c r="AU2" s="15" t="s">
        <v>88</v>
      </c>
      <c r="AV2" s="15" t="s">
        <v>145</v>
      </c>
      <c r="AW2" s="15" t="s">
        <v>146</v>
      </c>
      <c r="AX2" s="15" t="s">
        <v>147</v>
      </c>
      <c r="AY2" s="15" t="s">
        <v>148</v>
      </c>
      <c r="AZ2" s="15" t="s">
        <v>84</v>
      </c>
    </row>
    <row r="3" spans="1:52" x14ac:dyDescent="0.35">
      <c r="A3" s="150" t="s">
        <v>46</v>
      </c>
      <c r="B3" s="25" t="s">
        <v>4</v>
      </c>
      <c r="C3" s="16">
        <v>12001687.5782787</v>
      </c>
      <c r="D3" s="16">
        <v>71294975.019490898</v>
      </c>
      <c r="E3" s="16">
        <v>54753012.441372298</v>
      </c>
      <c r="F3" s="16">
        <v>1949942.2735939701</v>
      </c>
      <c r="G3" s="16">
        <v>1303605.65094848</v>
      </c>
      <c r="H3" s="16">
        <v>443208.12765810703</v>
      </c>
      <c r="I3" s="16">
        <v>1608650.4245611301</v>
      </c>
      <c r="J3" s="16">
        <v>27849.109738131501</v>
      </c>
      <c r="K3" s="16">
        <v>-932327.14347943501</v>
      </c>
      <c r="L3" s="16">
        <v>249713.45480690699</v>
      </c>
      <c r="M3" s="16">
        <v>6705142.6414350402</v>
      </c>
      <c r="N3" s="16">
        <v>22860.947705878199</v>
      </c>
      <c r="O3" s="16">
        <v>8249425.2769391499</v>
      </c>
      <c r="P3" s="16">
        <v>3414616.6356199598</v>
      </c>
      <c r="Q3" s="16">
        <v>144920950.24085501</v>
      </c>
      <c r="R3" s="16">
        <v>152427273.30235499</v>
      </c>
      <c r="S3" s="16">
        <v>67593673.283887595</v>
      </c>
      <c r="T3" s="16">
        <v>68841281.290115997</v>
      </c>
      <c r="U3" s="16">
        <v>2890303.6828227299</v>
      </c>
      <c r="V3" s="16">
        <v>322800261.61255598</v>
      </c>
      <c r="W3" s="16">
        <v>445057829.093795</v>
      </c>
      <c r="X3" s="16">
        <v>58073294.524023302</v>
      </c>
      <c r="Y3" s="16">
        <v>85025947.421444595</v>
      </c>
      <c r="Z3" s="16">
        <v>42636757.496370703</v>
      </c>
      <c r="AA3" s="16">
        <v>1341769.3724078999</v>
      </c>
      <c r="AB3" s="16">
        <v>-1419809.14233444</v>
      </c>
      <c r="AC3" s="16">
        <v>-17060763.145964399</v>
      </c>
      <c r="AD3" s="16">
        <v>13739630.9267313</v>
      </c>
      <c r="AE3" s="16">
        <v>14636476.395493699</v>
      </c>
      <c r="AF3" s="16">
        <v>988103.19100108102</v>
      </c>
      <c r="AG3" s="16">
        <v>4456247.5212533399</v>
      </c>
      <c r="AH3" s="16">
        <v>6356909.5934998896</v>
      </c>
      <c r="AI3" s="16">
        <v>917076322.66663301</v>
      </c>
      <c r="AJ3" s="16">
        <v>129400677.80604801</v>
      </c>
      <c r="AK3" s="16">
        <v>739704290.91753697</v>
      </c>
      <c r="AL3" s="16">
        <v>419002137.91307402</v>
      </c>
      <c r="AM3" s="16">
        <v>3624535.5483703301</v>
      </c>
      <c r="AN3" s="16">
        <v>75386635.547498003</v>
      </c>
      <c r="AO3" s="16">
        <v>14666151.009678399</v>
      </c>
      <c r="AP3" s="16">
        <v>1917.29652840876</v>
      </c>
      <c r="AQ3" s="16">
        <v>690339486.05754197</v>
      </c>
      <c r="AR3" s="16">
        <v>-13268620.225165701</v>
      </c>
      <c r="AS3" s="16">
        <v>-7946789.5758261904</v>
      </c>
      <c r="AT3" s="16">
        <v>9114314.6830566302</v>
      </c>
      <c r="AU3" s="16">
        <v>321756014.02605098</v>
      </c>
      <c r="AV3" s="16">
        <v>277393252.24110401</v>
      </c>
      <c r="AW3" s="16">
        <v>141657784.00977299</v>
      </c>
      <c r="AX3" s="16">
        <v>1089492114.0950301</v>
      </c>
      <c r="AY3" s="16">
        <v>849777416.95716906</v>
      </c>
      <c r="AZ3" s="16">
        <v>708322277.62549996</v>
      </c>
    </row>
    <row r="5" spans="1:52" x14ac:dyDescent="0.35">
      <c r="B5" s="10"/>
      <c r="C5" s="15" t="s">
        <v>95</v>
      </c>
      <c r="D5" s="15" t="s">
        <v>96</v>
      </c>
      <c r="E5" s="15" t="s">
        <v>97</v>
      </c>
      <c r="F5" s="15" t="s">
        <v>102</v>
      </c>
      <c r="G5" s="15" t="s">
        <v>149</v>
      </c>
      <c r="H5" s="15" t="s">
        <v>103</v>
      </c>
      <c r="I5" s="15" t="s">
        <v>150</v>
      </c>
      <c r="J5" s="15" t="s">
        <v>151</v>
      </c>
      <c r="K5" s="15" t="s">
        <v>152</v>
      </c>
    </row>
    <row r="6" spans="1:52" x14ac:dyDescent="0.35">
      <c r="A6" s="150" t="s">
        <v>46</v>
      </c>
      <c r="B6" s="25" t="s">
        <v>4</v>
      </c>
      <c r="C6" s="16">
        <v>11309152.043521799</v>
      </c>
      <c r="D6" s="16">
        <v>11565308.054452401</v>
      </c>
      <c r="E6" s="16">
        <v>11191770.521398099</v>
      </c>
      <c r="F6" s="16">
        <v>11977596.634846199</v>
      </c>
      <c r="G6" s="16">
        <v>14409880.849811601</v>
      </c>
      <c r="H6" s="16">
        <v>42054074.377405196</v>
      </c>
      <c r="I6" s="16">
        <v>2491937.0932948799</v>
      </c>
      <c r="J6" s="16">
        <v>7068505.3865936399</v>
      </c>
      <c r="K6" s="16">
        <v>31015420.988060098</v>
      </c>
    </row>
    <row r="8" spans="1:52" s="149" customFormat="1" ht="15" x14ac:dyDescent="0.3">
      <c r="I8" s="253" t="s">
        <v>153</v>
      </c>
      <c r="J8" s="253"/>
      <c r="K8" s="253"/>
      <c r="L8" s="253"/>
      <c r="M8" s="253"/>
      <c r="N8" s="253"/>
    </row>
    <row r="9" spans="1:52" x14ac:dyDescent="0.35">
      <c r="D9" s="31" t="s">
        <v>46</v>
      </c>
      <c r="G9" s="31" t="s">
        <v>46</v>
      </c>
      <c r="S9" s="31" t="s">
        <v>46</v>
      </c>
      <c r="V9" s="31" t="s">
        <v>46</v>
      </c>
    </row>
    <row r="10" spans="1:52" x14ac:dyDescent="0.35">
      <c r="B10" s="27" t="s">
        <v>41</v>
      </c>
      <c r="D10" s="27" t="s">
        <v>4</v>
      </c>
      <c r="G10" s="27" t="s">
        <v>4</v>
      </c>
      <c r="I10" s="254" t="s">
        <v>23</v>
      </c>
      <c r="J10" s="254"/>
      <c r="K10" s="254"/>
      <c r="M10" s="254" t="s">
        <v>27</v>
      </c>
      <c r="N10" s="254"/>
      <c r="Q10" s="27" t="s">
        <v>41</v>
      </c>
      <c r="S10" s="27" t="s">
        <v>4</v>
      </c>
      <c r="V10" s="27" t="s">
        <v>4</v>
      </c>
    </row>
    <row r="11" spans="1:52" x14ac:dyDescent="0.35">
      <c r="A11" s="1">
        <v>1</v>
      </c>
      <c r="B11" s="28" t="s">
        <v>26</v>
      </c>
      <c r="D11" s="31">
        <v>12001687.5782787</v>
      </c>
      <c r="E11" s="54" t="s">
        <v>95</v>
      </c>
      <c r="F11" s="1">
        <f>A67+1</f>
        <v>51</v>
      </c>
      <c r="G11" s="31">
        <v>11309152.043521799</v>
      </c>
      <c r="H11" s="1">
        <v>1</v>
      </c>
      <c r="I11" s="28" t="s">
        <v>14</v>
      </c>
      <c r="K11" s="31">
        <v>1949942.2735939701</v>
      </c>
      <c r="L11" s="1">
        <f>36+1</f>
        <v>37</v>
      </c>
      <c r="M11" s="28" t="s">
        <v>34</v>
      </c>
      <c r="N11" s="31">
        <v>54753012.441372298</v>
      </c>
      <c r="Q11" s="28" t="s">
        <v>26</v>
      </c>
      <c r="S11" s="31">
        <v>12001687.5782787</v>
      </c>
      <c r="T11" s="28" t="s">
        <v>95</v>
      </c>
      <c r="V11" s="31">
        <v>11226505.4196692</v>
      </c>
    </row>
    <row r="12" spans="1:52" x14ac:dyDescent="0.35">
      <c r="A12" s="1">
        <v>2</v>
      </c>
      <c r="B12" s="28" t="s">
        <v>42</v>
      </c>
      <c r="D12" s="31">
        <v>71294975.019490898</v>
      </c>
      <c r="E12" s="54" t="s">
        <v>96</v>
      </c>
      <c r="F12" s="1">
        <f t="shared" ref="F12:F19" si="0">F11+1</f>
        <v>52</v>
      </c>
      <c r="G12" s="31">
        <v>11565308.054452401</v>
      </c>
      <c r="H12" s="1">
        <v>2</v>
      </c>
      <c r="I12" s="28" t="s">
        <v>16</v>
      </c>
      <c r="K12" s="31">
        <v>1303605.65094848</v>
      </c>
      <c r="L12" s="1">
        <f>L11+1</f>
        <v>38</v>
      </c>
      <c r="M12" s="28" t="s">
        <v>26</v>
      </c>
      <c r="N12" s="31">
        <v>12001687.5782787</v>
      </c>
      <c r="Q12" s="28" t="s">
        <v>42</v>
      </c>
      <c r="S12" s="31">
        <v>71294975.019490898</v>
      </c>
      <c r="T12" s="28" t="s">
        <v>96</v>
      </c>
      <c r="V12" s="31">
        <v>11480789.4574049</v>
      </c>
    </row>
    <row r="13" spans="1:52" x14ac:dyDescent="0.35">
      <c r="A13" s="1">
        <v>3</v>
      </c>
      <c r="B13" s="28" t="s">
        <v>34</v>
      </c>
      <c r="D13" s="31">
        <v>54753012.441372298</v>
      </c>
      <c r="E13" s="54" t="s">
        <v>97</v>
      </c>
      <c r="F13" s="1">
        <f t="shared" si="0"/>
        <v>53</v>
      </c>
      <c r="G13" s="31">
        <v>11191770.521398099</v>
      </c>
      <c r="H13" s="1">
        <v>3</v>
      </c>
      <c r="I13" s="28" t="s">
        <v>124</v>
      </c>
      <c r="K13" s="31">
        <v>27849.109738131501</v>
      </c>
      <c r="L13" s="1">
        <f t="shared" ref="L13:L36" si="1">L12+1</f>
        <v>39</v>
      </c>
      <c r="M13" s="28" t="s">
        <v>123</v>
      </c>
      <c r="N13" s="31">
        <v>443208.12765810703</v>
      </c>
      <c r="Q13" s="28" t="s">
        <v>34</v>
      </c>
      <c r="S13" s="31">
        <v>54753012.441372298</v>
      </c>
      <c r="T13" s="28" t="s">
        <v>97</v>
      </c>
      <c r="V13" s="31">
        <v>11109981.7148664</v>
      </c>
    </row>
    <row r="14" spans="1:52" x14ac:dyDescent="0.35">
      <c r="A14" s="1">
        <f>A13+1</f>
        <v>4</v>
      </c>
      <c r="B14" s="28" t="s">
        <v>14</v>
      </c>
      <c r="D14" s="31">
        <v>1949942.2735939701</v>
      </c>
      <c r="E14" s="54" t="s">
        <v>102</v>
      </c>
      <c r="F14" s="1">
        <f t="shared" si="0"/>
        <v>54</v>
      </c>
      <c r="G14" s="31">
        <v>11977596.634846199</v>
      </c>
      <c r="H14" s="1">
        <f>H13+1</f>
        <v>4</v>
      </c>
      <c r="I14" s="28" t="s">
        <v>126</v>
      </c>
      <c r="K14" s="31">
        <v>249713.45480690699</v>
      </c>
      <c r="L14" s="1">
        <f t="shared" si="1"/>
        <v>40</v>
      </c>
      <c r="M14" s="28" t="s">
        <v>129</v>
      </c>
      <c r="N14" s="31">
        <v>8249425.2769391499</v>
      </c>
      <c r="Q14" s="28" t="s">
        <v>14</v>
      </c>
      <c r="S14" s="31">
        <v>1949942.2735939701</v>
      </c>
      <c r="T14" s="28" t="s">
        <v>102</v>
      </c>
      <c r="V14" s="31">
        <v>11890065.0568882</v>
      </c>
    </row>
    <row r="15" spans="1:52" x14ac:dyDescent="0.35">
      <c r="A15" s="1">
        <f t="shared" ref="A15:A44" si="2">A14+1</f>
        <v>5</v>
      </c>
      <c r="B15" s="28" t="s">
        <v>16</v>
      </c>
      <c r="D15" s="31">
        <v>1303605.65094848</v>
      </c>
      <c r="E15" s="54" t="s">
        <v>149</v>
      </c>
      <c r="F15" s="1">
        <f t="shared" si="0"/>
        <v>55</v>
      </c>
      <c r="G15" s="31">
        <v>14409880.849811601</v>
      </c>
      <c r="H15" s="1">
        <f t="shared" ref="H15:H46" si="3">H14+1</f>
        <v>5</v>
      </c>
      <c r="I15" s="28" t="s">
        <v>127</v>
      </c>
      <c r="K15" s="31">
        <v>6705142.6414350402</v>
      </c>
      <c r="L15" s="1">
        <f t="shared" si="1"/>
        <v>41</v>
      </c>
      <c r="M15" s="28" t="s">
        <v>56</v>
      </c>
      <c r="N15" s="31">
        <v>152427273.30235499</v>
      </c>
      <c r="Q15" s="28" t="s">
        <v>16</v>
      </c>
      <c r="S15" s="31">
        <v>1303605.65094848</v>
      </c>
      <c r="T15" s="28" t="s">
        <v>149</v>
      </c>
      <c r="V15" s="31">
        <v>14304574.280603601</v>
      </c>
    </row>
    <row r="16" spans="1:52" x14ac:dyDescent="0.35">
      <c r="A16" s="1">
        <f t="shared" si="2"/>
        <v>6</v>
      </c>
      <c r="B16" s="28" t="s">
        <v>123</v>
      </c>
      <c r="D16" s="31">
        <v>443208.12765810703</v>
      </c>
      <c r="E16" s="54" t="s">
        <v>103</v>
      </c>
      <c r="F16" s="1">
        <f t="shared" si="0"/>
        <v>56</v>
      </c>
      <c r="G16" s="31">
        <v>42054074.377405196</v>
      </c>
      <c r="H16" s="1">
        <f t="shared" si="3"/>
        <v>6</v>
      </c>
      <c r="I16" s="28" t="s">
        <v>22</v>
      </c>
      <c r="K16" s="31">
        <v>1608650.4245611301</v>
      </c>
      <c r="L16" s="1">
        <f t="shared" si="1"/>
        <v>42</v>
      </c>
      <c r="M16" s="55" t="s">
        <v>63</v>
      </c>
      <c r="N16" s="43">
        <v>3414616.6356199598</v>
      </c>
      <c r="Q16" s="28" t="s">
        <v>123</v>
      </c>
      <c r="S16" s="31">
        <v>443208.12765810703</v>
      </c>
      <c r="T16" s="28" t="s">
        <v>103</v>
      </c>
      <c r="V16" s="31">
        <v>41746745.653451197</v>
      </c>
    </row>
    <row r="17" spans="1:22" x14ac:dyDescent="0.35">
      <c r="A17" s="1">
        <f t="shared" si="2"/>
        <v>7</v>
      </c>
      <c r="B17" s="28" t="s">
        <v>22</v>
      </c>
      <c r="D17" s="31">
        <v>1608650.4245611301</v>
      </c>
      <c r="E17" s="54" t="s">
        <v>150</v>
      </c>
      <c r="F17" s="1">
        <f t="shared" si="0"/>
        <v>57</v>
      </c>
      <c r="G17" s="31">
        <v>2491937.0932948799</v>
      </c>
      <c r="H17" s="1">
        <f t="shared" si="3"/>
        <v>7</v>
      </c>
      <c r="I17" s="28" t="s">
        <v>42</v>
      </c>
      <c r="K17" s="31">
        <v>71294975.019490898</v>
      </c>
      <c r="L17" s="1">
        <f t="shared" si="1"/>
        <v>43</v>
      </c>
      <c r="M17" s="28" t="s">
        <v>70</v>
      </c>
      <c r="N17" s="31">
        <v>68841281.290115997</v>
      </c>
      <c r="Q17" s="28" t="s">
        <v>22</v>
      </c>
      <c r="S17" s="31">
        <v>1608650.4245611301</v>
      </c>
      <c r="T17" s="28" t="s">
        <v>150</v>
      </c>
      <c r="V17" s="31">
        <v>2473726.1622877498</v>
      </c>
    </row>
    <row r="18" spans="1:22" x14ac:dyDescent="0.35">
      <c r="A18" s="1">
        <f t="shared" si="2"/>
        <v>8</v>
      </c>
      <c r="B18" s="28" t="s">
        <v>124</v>
      </c>
      <c r="D18" s="31">
        <v>27849.109738131501</v>
      </c>
      <c r="E18" s="54" t="s">
        <v>151</v>
      </c>
      <c r="F18" s="1">
        <f t="shared" si="0"/>
        <v>58</v>
      </c>
      <c r="G18" s="31">
        <v>7068505.3865936399</v>
      </c>
      <c r="H18" s="1">
        <f t="shared" si="3"/>
        <v>8</v>
      </c>
      <c r="I18" s="28" t="s">
        <v>128</v>
      </c>
      <c r="K18" s="31">
        <v>22860.947705878199</v>
      </c>
      <c r="L18" s="1">
        <f t="shared" si="1"/>
        <v>44</v>
      </c>
      <c r="M18" s="28" t="s">
        <v>66</v>
      </c>
      <c r="N18" s="31">
        <v>2890303.6828227299</v>
      </c>
      <c r="Q18" s="28" t="s">
        <v>124</v>
      </c>
      <c r="S18" s="31">
        <v>27849.109738131501</v>
      </c>
      <c r="T18" s="28" t="s">
        <v>151</v>
      </c>
      <c r="V18" s="31">
        <v>7071064.7834166503</v>
      </c>
    </row>
    <row r="19" spans="1:22" x14ac:dyDescent="0.35">
      <c r="A19" s="1">
        <f t="shared" si="2"/>
        <v>9</v>
      </c>
      <c r="B19" s="56" t="s">
        <v>125</v>
      </c>
      <c r="C19" s="57"/>
      <c r="D19" s="58">
        <v>-932327.14347943501</v>
      </c>
      <c r="E19" s="54" t="s">
        <v>152</v>
      </c>
      <c r="F19" s="1">
        <f t="shared" si="0"/>
        <v>59</v>
      </c>
      <c r="G19" s="31">
        <v>31015420.988060098</v>
      </c>
      <c r="H19" s="1">
        <f t="shared" si="3"/>
        <v>9</v>
      </c>
      <c r="I19" s="59" t="s">
        <v>68</v>
      </c>
      <c r="J19" s="60"/>
      <c r="K19" s="45">
        <v>67593673.283887595</v>
      </c>
      <c r="L19" s="1">
        <f t="shared" si="1"/>
        <v>45</v>
      </c>
      <c r="M19" s="28" t="s">
        <v>60</v>
      </c>
      <c r="N19" s="31">
        <v>445057829.093795</v>
      </c>
      <c r="Q19" s="56" t="s">
        <v>125</v>
      </c>
      <c r="R19" s="57"/>
      <c r="S19" s="58">
        <v>-932327.14347943501</v>
      </c>
      <c r="T19" s="28" t="s">
        <v>152</v>
      </c>
      <c r="V19" s="31">
        <v>31026651.193824898</v>
      </c>
    </row>
    <row r="20" spans="1:22" x14ac:dyDescent="0.35">
      <c r="A20" s="1">
        <f t="shared" si="2"/>
        <v>10</v>
      </c>
      <c r="B20" s="28" t="s">
        <v>126</v>
      </c>
      <c r="D20" s="31">
        <v>249713.45480690699</v>
      </c>
      <c r="H20" s="1">
        <f t="shared" si="3"/>
        <v>10</v>
      </c>
      <c r="I20" s="28" t="s">
        <v>59</v>
      </c>
      <c r="K20" s="31">
        <v>144920950.24085501</v>
      </c>
      <c r="L20" s="1">
        <f t="shared" si="1"/>
        <v>46</v>
      </c>
      <c r="M20" s="28" t="s">
        <v>64</v>
      </c>
      <c r="N20" s="31">
        <v>58073294.524023302</v>
      </c>
      <c r="Q20" s="28" t="s">
        <v>126</v>
      </c>
      <c r="S20" s="31">
        <v>249713.45480690699</v>
      </c>
    </row>
    <row r="21" spans="1:22" x14ac:dyDescent="0.35">
      <c r="A21" s="1">
        <f t="shared" si="2"/>
        <v>11</v>
      </c>
      <c r="B21" s="28" t="s">
        <v>127</v>
      </c>
      <c r="D21" s="31">
        <v>6705142.6414350402</v>
      </c>
      <c r="H21" s="1">
        <f t="shared" si="3"/>
        <v>11</v>
      </c>
      <c r="I21" s="55" t="s">
        <v>63</v>
      </c>
      <c r="J21" s="30"/>
      <c r="K21" s="43">
        <v>3414616.6356199598</v>
      </c>
      <c r="L21" s="1">
        <f t="shared" si="1"/>
        <v>47</v>
      </c>
      <c r="M21" s="28" t="s">
        <v>69</v>
      </c>
      <c r="N21" s="31">
        <v>1341769.3724078999</v>
      </c>
      <c r="Q21" s="28" t="s">
        <v>127</v>
      </c>
      <c r="S21" s="31">
        <v>6705142.6414350402</v>
      </c>
    </row>
    <row r="22" spans="1:22" x14ac:dyDescent="0.35">
      <c r="A22" s="1">
        <f t="shared" si="2"/>
        <v>12</v>
      </c>
      <c r="B22" s="28" t="s">
        <v>128</v>
      </c>
      <c r="D22" s="31">
        <v>22860.947705878199</v>
      </c>
      <c r="H22" s="1">
        <f t="shared" si="3"/>
        <v>12</v>
      </c>
      <c r="I22" s="28" t="s">
        <v>57</v>
      </c>
      <c r="K22" s="31">
        <v>322800261.61255598</v>
      </c>
      <c r="L22" s="1">
        <f t="shared" si="1"/>
        <v>48</v>
      </c>
      <c r="M22" s="59" t="s">
        <v>65</v>
      </c>
      <c r="N22" s="45">
        <v>85025947.421444595</v>
      </c>
      <c r="Q22" s="28" t="s">
        <v>128</v>
      </c>
      <c r="S22" s="31">
        <v>22860.947705878199</v>
      </c>
    </row>
    <row r="23" spans="1:22" x14ac:dyDescent="0.35">
      <c r="A23" s="1">
        <f t="shared" si="2"/>
        <v>13</v>
      </c>
      <c r="B23" s="28" t="s">
        <v>129</v>
      </c>
      <c r="D23" s="31">
        <v>8249425.2769391499</v>
      </c>
      <c r="H23" s="1">
        <f t="shared" si="3"/>
        <v>13</v>
      </c>
      <c r="I23" s="56" t="s">
        <v>71</v>
      </c>
      <c r="J23" s="57"/>
      <c r="K23" s="58">
        <v>1419809.14233444</v>
      </c>
      <c r="L23" s="1">
        <f t="shared" si="1"/>
        <v>49</v>
      </c>
      <c r="M23" s="61" t="s">
        <v>91</v>
      </c>
      <c r="N23" s="62">
        <v>913039522.86670697</v>
      </c>
      <c r="Q23" s="28" t="s">
        <v>129</v>
      </c>
      <c r="S23" s="31">
        <v>8249425.2769391499</v>
      </c>
    </row>
    <row r="24" spans="1:22" x14ac:dyDescent="0.35">
      <c r="A24" s="1">
        <f t="shared" si="2"/>
        <v>14</v>
      </c>
      <c r="B24" s="28" t="s">
        <v>63</v>
      </c>
      <c r="D24" s="31">
        <v>3414616.6356199598</v>
      </c>
      <c r="H24" s="1">
        <f t="shared" si="3"/>
        <v>14</v>
      </c>
      <c r="I24" s="56" t="s">
        <v>72</v>
      </c>
      <c r="J24" s="57"/>
      <c r="K24" s="58">
        <v>17060763.145964399</v>
      </c>
      <c r="L24" s="1">
        <f t="shared" si="1"/>
        <v>50</v>
      </c>
      <c r="M24" s="28" t="s">
        <v>135</v>
      </c>
      <c r="N24" s="62">
        <v>129400677.80604801</v>
      </c>
      <c r="Q24" s="28" t="s">
        <v>63</v>
      </c>
      <c r="S24" s="31">
        <v>3414616.6356199598</v>
      </c>
    </row>
    <row r="25" spans="1:22" x14ac:dyDescent="0.35">
      <c r="A25" s="1">
        <f t="shared" si="2"/>
        <v>15</v>
      </c>
      <c r="B25" s="28" t="s">
        <v>59</v>
      </c>
      <c r="D25" s="31">
        <v>144920950.24085501</v>
      </c>
      <c r="H25" s="1">
        <f t="shared" si="3"/>
        <v>15</v>
      </c>
      <c r="I25" s="28" t="s">
        <v>67</v>
      </c>
      <c r="K25" s="31">
        <v>42636757.496370703</v>
      </c>
      <c r="L25" s="1">
        <f t="shared" si="1"/>
        <v>51</v>
      </c>
      <c r="M25" s="28" t="s">
        <v>84</v>
      </c>
      <c r="N25" s="62">
        <v>702954104.74287701</v>
      </c>
      <c r="Q25" s="28" t="s">
        <v>59</v>
      </c>
      <c r="S25" s="31">
        <v>144920950.24085501</v>
      </c>
    </row>
    <row r="26" spans="1:22" x14ac:dyDescent="0.35">
      <c r="A26" s="1">
        <f t="shared" si="2"/>
        <v>16</v>
      </c>
      <c r="B26" s="28" t="s">
        <v>56</v>
      </c>
      <c r="D26" s="31">
        <v>152427273.30235499</v>
      </c>
      <c r="H26" s="1">
        <f t="shared" si="3"/>
        <v>16</v>
      </c>
      <c r="I26" s="28" t="s">
        <v>152</v>
      </c>
      <c r="K26" s="31">
        <v>31015420.988060098</v>
      </c>
      <c r="L26" s="1">
        <f t="shared" si="1"/>
        <v>52</v>
      </c>
      <c r="M26" s="55" t="s">
        <v>147</v>
      </c>
      <c r="N26" s="62">
        <v>1075322765.44208</v>
      </c>
      <c r="Q26" s="28" t="s">
        <v>56</v>
      </c>
      <c r="S26" s="31">
        <v>152427273.30235499</v>
      </c>
    </row>
    <row r="27" spans="1:22" x14ac:dyDescent="0.35">
      <c r="A27" s="1">
        <f t="shared" si="2"/>
        <v>17</v>
      </c>
      <c r="B27" s="59" t="s">
        <v>68</v>
      </c>
      <c r="C27" s="60"/>
      <c r="D27" s="45">
        <v>67593673.283887595</v>
      </c>
      <c r="H27" s="1">
        <f t="shared" si="3"/>
        <v>17</v>
      </c>
      <c r="I27" s="28" t="s">
        <v>130</v>
      </c>
      <c r="K27" s="31">
        <v>13739630.9267313</v>
      </c>
      <c r="L27" s="1">
        <f t="shared" si="1"/>
        <v>53</v>
      </c>
      <c r="M27" s="55" t="s">
        <v>146</v>
      </c>
      <c r="N27" s="62">
        <v>140580238.12302399</v>
      </c>
      <c r="Q27" s="28" t="s">
        <v>68</v>
      </c>
      <c r="S27" s="31">
        <v>67593673.283887595</v>
      </c>
    </row>
    <row r="28" spans="1:22" x14ac:dyDescent="0.35">
      <c r="A28" s="1">
        <f t="shared" si="2"/>
        <v>18</v>
      </c>
      <c r="B28" s="28" t="s">
        <v>70</v>
      </c>
      <c r="D28" s="31">
        <v>68841281.290115997</v>
      </c>
      <c r="H28" s="1">
        <f t="shared" si="3"/>
        <v>18</v>
      </c>
      <c r="I28" s="28" t="s">
        <v>151</v>
      </c>
      <c r="K28" s="31">
        <v>7068505.3865936399</v>
      </c>
      <c r="L28" s="1">
        <f t="shared" si="1"/>
        <v>54</v>
      </c>
      <c r="M28" s="28" t="s">
        <v>88</v>
      </c>
      <c r="N28" s="62">
        <v>315810221.38398498</v>
      </c>
      <c r="Q28" s="28" t="s">
        <v>70</v>
      </c>
      <c r="S28" s="31">
        <v>68841281.290115997</v>
      </c>
    </row>
    <row r="29" spans="1:22" x14ac:dyDescent="0.35">
      <c r="A29" s="1">
        <f t="shared" si="2"/>
        <v>19</v>
      </c>
      <c r="B29" s="28" t="s">
        <v>66</v>
      </c>
      <c r="D29" s="31">
        <v>2890303.6828227299</v>
      </c>
      <c r="H29" s="1">
        <f t="shared" si="3"/>
        <v>19</v>
      </c>
      <c r="I29" s="61" t="s">
        <v>131</v>
      </c>
      <c r="J29" s="53"/>
      <c r="K29" s="62">
        <v>14641776.037941201</v>
      </c>
      <c r="L29" s="1">
        <f t="shared" si="1"/>
        <v>55</v>
      </c>
      <c r="M29" s="28" t="s">
        <v>145</v>
      </c>
      <c r="N29" s="63">
        <v>268092150.343472</v>
      </c>
      <c r="Q29" s="28" t="s">
        <v>66</v>
      </c>
      <c r="S29" s="31">
        <v>2890303.6828227299</v>
      </c>
    </row>
    <row r="30" spans="1:22" x14ac:dyDescent="0.35">
      <c r="A30" s="1">
        <f t="shared" si="2"/>
        <v>20</v>
      </c>
      <c r="B30" s="28" t="s">
        <v>57</v>
      </c>
      <c r="D30" s="31">
        <v>322800261.61255598</v>
      </c>
      <c r="H30" s="1">
        <f t="shared" si="3"/>
        <v>20</v>
      </c>
      <c r="I30" s="28" t="s">
        <v>132</v>
      </c>
      <c r="K30" s="31">
        <v>988103.19100108102</v>
      </c>
      <c r="L30" s="1">
        <f t="shared" si="1"/>
        <v>56</v>
      </c>
      <c r="M30" s="28" t="s">
        <v>87</v>
      </c>
      <c r="N30" s="62">
        <v>690339486.05754197</v>
      </c>
      <c r="Q30" s="28" t="s">
        <v>57</v>
      </c>
      <c r="S30" s="31">
        <v>322800261.61255598</v>
      </c>
    </row>
    <row r="31" spans="1:22" x14ac:dyDescent="0.35">
      <c r="A31" s="1">
        <f t="shared" si="2"/>
        <v>21</v>
      </c>
      <c r="B31" s="28" t="s">
        <v>60</v>
      </c>
      <c r="D31" s="31">
        <v>445057829.093795</v>
      </c>
      <c r="H31" s="1">
        <f t="shared" si="3"/>
        <v>21</v>
      </c>
      <c r="I31" s="28" t="s">
        <v>133</v>
      </c>
      <c r="K31" s="31">
        <v>4456247.5212533399</v>
      </c>
      <c r="L31" s="1">
        <f t="shared" si="1"/>
        <v>57</v>
      </c>
      <c r="M31" s="28" t="s">
        <v>96</v>
      </c>
      <c r="N31" s="31">
        <v>11565308.054452401</v>
      </c>
      <c r="Q31" s="28" t="s">
        <v>60</v>
      </c>
      <c r="S31" s="31">
        <v>445057829.093795</v>
      </c>
    </row>
    <row r="32" spans="1:22" x14ac:dyDescent="0.35">
      <c r="A32" s="1">
        <f t="shared" si="2"/>
        <v>22</v>
      </c>
      <c r="B32" s="28" t="s">
        <v>64</v>
      </c>
      <c r="D32" s="31">
        <v>58073294.524023302</v>
      </c>
      <c r="H32" s="1">
        <f t="shared" si="3"/>
        <v>22</v>
      </c>
      <c r="I32" s="61" t="s">
        <v>134</v>
      </c>
      <c r="J32" s="53"/>
      <c r="K32" s="64">
        <v>6356909.5934998896</v>
      </c>
      <c r="L32" s="1">
        <f t="shared" si="1"/>
        <v>58</v>
      </c>
      <c r="M32" s="28" t="s">
        <v>102</v>
      </c>
      <c r="N32" s="31">
        <v>11977596.634846199</v>
      </c>
      <c r="Q32" s="28" t="s">
        <v>64</v>
      </c>
      <c r="S32" s="31">
        <v>58073294.524023302</v>
      </c>
    </row>
    <row r="33" spans="1:19" x14ac:dyDescent="0.35">
      <c r="A33" s="1">
        <f t="shared" si="2"/>
        <v>23</v>
      </c>
      <c r="B33" s="59" t="s">
        <v>65</v>
      </c>
      <c r="C33" s="60"/>
      <c r="D33" s="45">
        <v>85025947.421444595</v>
      </c>
      <c r="H33" s="1">
        <f t="shared" si="3"/>
        <v>23</v>
      </c>
      <c r="I33" s="61" t="s">
        <v>136</v>
      </c>
      <c r="J33" s="53"/>
      <c r="K33" s="62">
        <v>727132347.04304504</v>
      </c>
      <c r="L33" s="1">
        <f t="shared" si="1"/>
        <v>59</v>
      </c>
      <c r="M33" s="28" t="s">
        <v>149</v>
      </c>
      <c r="N33" s="31">
        <v>14409880.849811601</v>
      </c>
      <c r="Q33" s="28" t="s">
        <v>65</v>
      </c>
      <c r="S33" s="31">
        <v>85025947.421444595</v>
      </c>
    </row>
    <row r="34" spans="1:19" x14ac:dyDescent="0.35">
      <c r="A34" s="1">
        <f t="shared" si="2"/>
        <v>24</v>
      </c>
      <c r="B34" s="28" t="s">
        <v>67</v>
      </c>
      <c r="D34" s="31">
        <v>42636757.496370703</v>
      </c>
      <c r="H34" s="1">
        <f t="shared" si="3"/>
        <v>24</v>
      </c>
      <c r="I34" s="61" t="s">
        <v>148</v>
      </c>
      <c r="J34" s="53"/>
      <c r="K34" s="62">
        <v>835859398.07709801</v>
      </c>
      <c r="L34" s="1">
        <f t="shared" si="1"/>
        <v>60</v>
      </c>
      <c r="M34" s="28" t="s">
        <v>103</v>
      </c>
      <c r="N34" s="31">
        <v>42054074.377405196</v>
      </c>
      <c r="Q34" s="28" t="s">
        <v>67</v>
      </c>
      <c r="S34" s="31">
        <v>42636757.496370703</v>
      </c>
    </row>
    <row r="35" spans="1:19" x14ac:dyDescent="0.35">
      <c r="A35" s="1">
        <f t="shared" si="2"/>
        <v>25</v>
      </c>
      <c r="B35" s="28" t="s">
        <v>69</v>
      </c>
      <c r="D35" s="31">
        <v>1341769.3724078999</v>
      </c>
      <c r="H35" s="1">
        <f t="shared" si="3"/>
        <v>25</v>
      </c>
      <c r="I35" s="28" t="s">
        <v>144</v>
      </c>
      <c r="K35" s="62">
        <v>9114314.6830566302</v>
      </c>
      <c r="L35" s="1">
        <f t="shared" si="1"/>
        <v>61</v>
      </c>
      <c r="M35" s="55" t="s">
        <v>137</v>
      </c>
      <c r="N35" s="43">
        <v>404618333.637196</v>
      </c>
      <c r="Q35" s="28" t="s">
        <v>69</v>
      </c>
      <c r="S35" s="31">
        <v>1341769.3724078999</v>
      </c>
    </row>
    <row r="36" spans="1:19" x14ac:dyDescent="0.35">
      <c r="A36" s="1">
        <f t="shared" si="2"/>
        <v>26</v>
      </c>
      <c r="B36" s="56" t="s">
        <v>71</v>
      </c>
      <c r="C36" s="57"/>
      <c r="D36" s="58">
        <v>-1419809.14233444</v>
      </c>
      <c r="H36" s="1">
        <f t="shared" si="3"/>
        <v>26</v>
      </c>
      <c r="I36" s="28" t="s">
        <v>139</v>
      </c>
      <c r="K36" s="62">
        <v>74037122.811379194</v>
      </c>
      <c r="L36" s="1">
        <f t="shared" si="1"/>
        <v>62</v>
      </c>
      <c r="M36" s="56" t="s">
        <v>125</v>
      </c>
      <c r="N36" s="58">
        <v>932327.14347943501</v>
      </c>
      <c r="Q36" s="56" t="s">
        <v>71</v>
      </c>
      <c r="R36" s="57"/>
      <c r="S36" s="58">
        <v>-1419809.14233444</v>
      </c>
    </row>
    <row r="37" spans="1:19" x14ac:dyDescent="0.35">
      <c r="A37" s="1">
        <f t="shared" si="2"/>
        <v>27</v>
      </c>
      <c r="B37" s="56" t="s">
        <v>72</v>
      </c>
      <c r="C37" s="57"/>
      <c r="D37" s="58">
        <v>-17060763.145964399</v>
      </c>
      <c r="H37" s="1">
        <f t="shared" si="3"/>
        <v>27</v>
      </c>
      <c r="I37" s="28" t="s">
        <v>140</v>
      </c>
      <c r="K37" s="62">
        <v>14554586.1365129</v>
      </c>
      <c r="Q37" s="56" t="s">
        <v>72</v>
      </c>
      <c r="R37" s="57"/>
      <c r="S37" s="58">
        <v>-17060763.145964399</v>
      </c>
    </row>
    <row r="38" spans="1:19" x14ac:dyDescent="0.35">
      <c r="A38" s="1">
        <f t="shared" si="2"/>
        <v>28</v>
      </c>
      <c r="B38" s="28" t="s">
        <v>130</v>
      </c>
      <c r="D38" s="31">
        <v>13739630.9267313</v>
      </c>
      <c r="H38" s="1">
        <f t="shared" si="3"/>
        <v>28</v>
      </c>
      <c r="I38" s="55" t="s">
        <v>147</v>
      </c>
      <c r="J38" s="30"/>
      <c r="K38" s="62">
        <v>1075322765.44208</v>
      </c>
      <c r="Q38" s="28" t="s">
        <v>130</v>
      </c>
      <c r="S38" s="31">
        <v>13744605.835261401</v>
      </c>
    </row>
    <row r="39" spans="1:19" x14ac:dyDescent="0.35">
      <c r="A39" s="1">
        <f t="shared" si="2"/>
        <v>29</v>
      </c>
      <c r="B39" s="28" t="s">
        <v>131</v>
      </c>
      <c r="D39" s="31">
        <v>14636476.395493699</v>
      </c>
      <c r="H39" s="1">
        <f t="shared" si="3"/>
        <v>29</v>
      </c>
      <c r="I39" s="55" t="s">
        <v>146</v>
      </c>
      <c r="J39" s="30"/>
      <c r="K39" s="62">
        <v>140580238.12302399</v>
      </c>
      <c r="Q39" s="61" t="s">
        <v>131</v>
      </c>
      <c r="R39" s="53"/>
      <c r="S39" s="62">
        <v>14641776.037941201</v>
      </c>
    </row>
    <row r="40" spans="1:19" x14ac:dyDescent="0.35">
      <c r="A40" s="1">
        <f t="shared" si="2"/>
        <v>30</v>
      </c>
      <c r="B40" s="28" t="s">
        <v>132</v>
      </c>
      <c r="D40" s="31">
        <v>988103.19100108102</v>
      </c>
      <c r="H40" s="1">
        <f t="shared" si="3"/>
        <v>30</v>
      </c>
      <c r="I40" s="28" t="s">
        <v>141</v>
      </c>
      <c r="K40" s="62">
        <v>1917.29652840876</v>
      </c>
      <c r="Q40" s="28" t="s">
        <v>132</v>
      </c>
      <c r="S40" s="31">
        <v>988103.19100108102</v>
      </c>
    </row>
    <row r="41" spans="1:19" x14ac:dyDescent="0.35">
      <c r="A41" s="1">
        <f t="shared" si="2"/>
        <v>31</v>
      </c>
      <c r="B41" s="28" t="s">
        <v>133</v>
      </c>
      <c r="D41" s="31">
        <v>4456247.5212533399</v>
      </c>
      <c r="H41" s="1">
        <f t="shared" si="3"/>
        <v>31</v>
      </c>
      <c r="I41" s="28" t="s">
        <v>95</v>
      </c>
      <c r="K41" s="31">
        <v>11309152.043521799</v>
      </c>
      <c r="M41" s="28" t="s">
        <v>154</v>
      </c>
      <c r="N41" s="1">
        <f>SUM(N11:N36)</f>
        <v>5613616336.2097569</v>
      </c>
      <c r="Q41" s="28" t="s">
        <v>133</v>
      </c>
      <c r="S41" s="31">
        <v>4456247.5212533399</v>
      </c>
    </row>
    <row r="42" spans="1:19" x14ac:dyDescent="0.35">
      <c r="A42" s="1">
        <f t="shared" si="2"/>
        <v>32</v>
      </c>
      <c r="B42" s="28" t="s">
        <v>134</v>
      </c>
      <c r="D42" s="31">
        <v>6356909.5934998896</v>
      </c>
      <c r="H42" s="1">
        <f t="shared" si="3"/>
        <v>32</v>
      </c>
      <c r="I42" s="28" t="s">
        <v>97</v>
      </c>
      <c r="K42" s="31">
        <v>11191770.521398099</v>
      </c>
      <c r="Q42" s="61" t="s">
        <v>134</v>
      </c>
      <c r="R42" s="53"/>
      <c r="S42" s="64">
        <v>6356909.5934998896</v>
      </c>
    </row>
    <row r="43" spans="1:19" x14ac:dyDescent="0.35">
      <c r="A43" s="1">
        <f t="shared" si="2"/>
        <v>33</v>
      </c>
      <c r="B43" s="28" t="s">
        <v>91</v>
      </c>
      <c r="D43" s="31">
        <v>917076322.66663301</v>
      </c>
      <c r="H43" s="1">
        <f t="shared" si="3"/>
        <v>33</v>
      </c>
      <c r="I43" s="28" t="s">
        <v>150</v>
      </c>
      <c r="K43" s="31">
        <v>2491937.0932948799</v>
      </c>
      <c r="Q43" s="61" t="s">
        <v>91</v>
      </c>
      <c r="R43" s="53"/>
      <c r="S43" s="62">
        <v>913039522.86670697</v>
      </c>
    </row>
    <row r="44" spans="1:19" x14ac:dyDescent="0.35">
      <c r="A44" s="1">
        <f t="shared" si="2"/>
        <v>34</v>
      </c>
      <c r="B44" s="28" t="s">
        <v>135</v>
      </c>
      <c r="D44" s="31">
        <v>129400677.80604801</v>
      </c>
      <c r="H44" s="1">
        <f t="shared" si="3"/>
        <v>34</v>
      </c>
      <c r="I44" s="61" t="s">
        <v>138</v>
      </c>
      <c r="J44" s="53"/>
      <c r="K44" s="62">
        <v>3597073.350019</v>
      </c>
      <c r="Q44" s="61" t="s">
        <v>135</v>
      </c>
      <c r="R44" s="53"/>
      <c r="S44" s="62">
        <v>129400677.80604801</v>
      </c>
    </row>
    <row r="45" spans="1:19" x14ac:dyDescent="0.35">
      <c r="A45" s="1">
        <f>A44+1</f>
        <v>35</v>
      </c>
      <c r="B45" s="28" t="s">
        <v>136</v>
      </c>
      <c r="D45" s="31">
        <v>739704290.91753697</v>
      </c>
      <c r="H45" s="1">
        <f t="shared" si="3"/>
        <v>35</v>
      </c>
      <c r="I45" s="28" t="s">
        <v>143</v>
      </c>
      <c r="K45" s="65">
        <v>-7868147.4680132195</v>
      </c>
      <c r="Q45" s="61" t="s">
        <v>136</v>
      </c>
      <c r="R45" s="53"/>
      <c r="S45" s="62">
        <v>727132347.04304504</v>
      </c>
    </row>
    <row r="46" spans="1:19" x14ac:dyDescent="0.35">
      <c r="A46" s="1">
        <f>A45+1</f>
        <v>36</v>
      </c>
      <c r="B46" s="55" t="s">
        <v>137</v>
      </c>
      <c r="C46" s="30"/>
      <c r="D46" s="43">
        <v>419002137.91307402</v>
      </c>
      <c r="H46" s="1">
        <f t="shared" si="3"/>
        <v>36</v>
      </c>
      <c r="I46" s="28" t="s">
        <v>142</v>
      </c>
      <c r="K46" s="65">
        <v>-12745314.0720657</v>
      </c>
      <c r="Q46" s="61" t="s">
        <v>137</v>
      </c>
      <c r="R46" s="53"/>
      <c r="S46" s="62">
        <v>404618333.637196</v>
      </c>
    </row>
    <row r="47" spans="1:19" x14ac:dyDescent="0.35">
      <c r="B47" s="28"/>
      <c r="D47" s="31"/>
      <c r="Q47" s="61" t="s">
        <v>138</v>
      </c>
      <c r="R47" s="53"/>
      <c r="S47" s="62">
        <v>3597073.350019</v>
      </c>
    </row>
    <row r="48" spans="1:19" x14ac:dyDescent="0.35">
      <c r="B48" s="28"/>
      <c r="D48" s="31"/>
      <c r="I48" s="28" t="s">
        <v>28</v>
      </c>
      <c r="K48" s="1">
        <f>SUM(K11:K46)</f>
        <v>3645855325.8058281</v>
      </c>
      <c r="Q48" s="61" t="s">
        <v>139</v>
      </c>
      <c r="R48" s="53"/>
      <c r="S48" s="62">
        <v>74037122.811379194</v>
      </c>
    </row>
    <row r="49" spans="1:19" x14ac:dyDescent="0.35">
      <c r="B49" s="28"/>
      <c r="D49" s="31"/>
      <c r="I49" s="28"/>
      <c r="Q49" s="61" t="s">
        <v>140</v>
      </c>
      <c r="R49" s="53"/>
      <c r="S49" s="62">
        <v>14554586.1365129</v>
      </c>
    </row>
    <row r="50" spans="1:19" x14ac:dyDescent="0.35">
      <c r="B50" s="28"/>
      <c r="D50" s="31"/>
      <c r="I50" s="28"/>
      <c r="Q50" s="28" t="s">
        <v>141</v>
      </c>
      <c r="S50" s="62">
        <v>1917.29652840876</v>
      </c>
    </row>
    <row r="51" spans="1:19" x14ac:dyDescent="0.35">
      <c r="B51" s="28"/>
      <c r="D51" s="31"/>
      <c r="I51" s="28"/>
      <c r="Q51" s="28" t="s">
        <v>87</v>
      </c>
      <c r="S51" s="62">
        <v>690339486.05754197</v>
      </c>
    </row>
    <row r="52" spans="1:19" x14ac:dyDescent="0.35">
      <c r="B52" s="28"/>
      <c r="D52" s="31"/>
      <c r="I52" s="28"/>
      <c r="Q52" s="56" t="s">
        <v>142</v>
      </c>
      <c r="R52" s="57"/>
      <c r="S52" s="58">
        <v>-12745314.0720657</v>
      </c>
    </row>
    <row r="53" spans="1:19" x14ac:dyDescent="0.35">
      <c r="B53" s="28"/>
      <c r="D53" s="31"/>
      <c r="I53" s="28"/>
      <c r="Q53" s="56" t="s">
        <v>143</v>
      </c>
      <c r="R53" s="57"/>
      <c r="S53" s="58">
        <v>-7868147.4680132195</v>
      </c>
    </row>
    <row r="54" spans="1:19" ht="16" thickBot="1" x14ac:dyDescent="0.4">
      <c r="A54" s="1">
        <f>A46+1</f>
        <v>37</v>
      </c>
      <c r="B54" s="28" t="s">
        <v>138</v>
      </c>
      <c r="D54" s="31">
        <v>3624535.5483703301</v>
      </c>
      <c r="Q54" s="61" t="s">
        <v>144</v>
      </c>
      <c r="R54" s="53"/>
      <c r="S54" s="62">
        <v>9114314.6830566302</v>
      </c>
    </row>
    <row r="55" spans="1:19" ht="16" thickBot="1" x14ac:dyDescent="0.4">
      <c r="A55" s="1">
        <f t="shared" ref="A55:A67" si="4">A54+1</f>
        <v>38</v>
      </c>
      <c r="B55" s="28" t="s">
        <v>139</v>
      </c>
      <c r="D55" s="31">
        <v>75386635.547498003</v>
      </c>
      <c r="J55" s="66" t="s">
        <v>155</v>
      </c>
      <c r="K55" s="67">
        <f>K48-N41</f>
        <v>-1967761010.4039288</v>
      </c>
      <c r="L55" s="1" t="s">
        <v>4</v>
      </c>
      <c r="Q55" s="61" t="s">
        <v>88</v>
      </c>
      <c r="R55" s="53"/>
      <c r="S55" s="62">
        <v>315810221.38398498</v>
      </c>
    </row>
    <row r="56" spans="1:19" x14ac:dyDescent="0.35">
      <c r="A56" s="1">
        <f t="shared" si="4"/>
        <v>39</v>
      </c>
      <c r="B56" s="28" t="s">
        <v>140</v>
      </c>
      <c r="D56" s="31">
        <v>14666151.009678399</v>
      </c>
      <c r="K56" s="1">
        <f>K55/3600</f>
        <v>-546600.28066775796</v>
      </c>
      <c r="Q56" s="68" t="s">
        <v>145</v>
      </c>
      <c r="R56" s="69"/>
      <c r="S56" s="63">
        <v>268092150.343472</v>
      </c>
    </row>
    <row r="57" spans="1:19" x14ac:dyDescent="0.35">
      <c r="A57" s="1">
        <f t="shared" si="4"/>
        <v>40</v>
      </c>
      <c r="B57" s="28" t="s">
        <v>141</v>
      </c>
      <c r="D57" s="31">
        <v>1917.29652840876</v>
      </c>
      <c r="Q57" s="61" t="s">
        <v>146</v>
      </c>
      <c r="R57" s="53"/>
      <c r="S57" s="62">
        <v>140580238.12302399</v>
      </c>
    </row>
    <row r="58" spans="1:19" x14ac:dyDescent="0.35">
      <c r="A58" s="1">
        <f t="shared" si="4"/>
        <v>41</v>
      </c>
      <c r="B58" s="28" t="s">
        <v>87</v>
      </c>
      <c r="D58" s="31">
        <v>690339486.05754197</v>
      </c>
      <c r="Q58" s="61" t="s">
        <v>147</v>
      </c>
      <c r="R58" s="53"/>
      <c r="S58" s="62">
        <v>1075322765.44208</v>
      </c>
    </row>
    <row r="59" spans="1:19" x14ac:dyDescent="0.35">
      <c r="A59" s="1">
        <f t="shared" si="4"/>
        <v>42</v>
      </c>
      <c r="B59" s="28" t="s">
        <v>142</v>
      </c>
      <c r="D59" s="31">
        <v>-13268620.225165701</v>
      </c>
      <c r="Q59" s="61" t="s">
        <v>148</v>
      </c>
      <c r="R59" s="53"/>
      <c r="S59" s="62">
        <v>835859398.07709801</v>
      </c>
    </row>
    <row r="60" spans="1:19" x14ac:dyDescent="0.35">
      <c r="A60" s="1">
        <f t="shared" si="4"/>
        <v>43</v>
      </c>
      <c r="B60" s="28" t="s">
        <v>143</v>
      </c>
      <c r="D60" s="31">
        <v>-7946789.5758261904</v>
      </c>
      <c r="Q60" s="61" t="s">
        <v>84</v>
      </c>
      <c r="R60" s="53"/>
      <c r="S60" s="62">
        <v>702954104.74287701</v>
      </c>
    </row>
    <row r="61" spans="1:19" x14ac:dyDescent="0.35">
      <c r="A61" s="1">
        <f t="shared" si="4"/>
        <v>44</v>
      </c>
      <c r="B61" s="59" t="s">
        <v>144</v>
      </c>
      <c r="C61" s="60"/>
      <c r="D61" s="45">
        <v>9114314.6830566302</v>
      </c>
    </row>
    <row r="62" spans="1:19" x14ac:dyDescent="0.35">
      <c r="A62" s="1">
        <f t="shared" si="4"/>
        <v>45</v>
      </c>
      <c r="B62" s="28" t="s">
        <v>88</v>
      </c>
      <c r="D62" s="31">
        <v>321756014.02605098</v>
      </c>
    </row>
    <row r="63" spans="1:19" x14ac:dyDescent="0.35">
      <c r="A63" s="1">
        <f t="shared" si="4"/>
        <v>46</v>
      </c>
      <c r="B63" s="28" t="s">
        <v>145</v>
      </c>
      <c r="D63" s="31">
        <v>277393252.24110401</v>
      </c>
    </row>
    <row r="64" spans="1:19" x14ac:dyDescent="0.35">
      <c r="A64" s="1">
        <f t="shared" si="4"/>
        <v>47</v>
      </c>
      <c r="B64" s="28" t="s">
        <v>146</v>
      </c>
      <c r="D64" s="31">
        <v>141657784.00977299</v>
      </c>
    </row>
    <row r="65" spans="1:52" x14ac:dyDescent="0.35">
      <c r="A65" s="1">
        <f t="shared" si="4"/>
        <v>48</v>
      </c>
      <c r="B65" s="28" t="s">
        <v>147</v>
      </c>
      <c r="D65" s="31">
        <v>1089492114.0950301</v>
      </c>
    </row>
    <row r="66" spans="1:52" x14ac:dyDescent="0.35">
      <c r="A66" s="1">
        <f t="shared" si="4"/>
        <v>49</v>
      </c>
      <c r="B66" s="28" t="s">
        <v>148</v>
      </c>
      <c r="D66" s="31">
        <v>849777416.95716906</v>
      </c>
    </row>
    <row r="67" spans="1:52" x14ac:dyDescent="0.35">
      <c r="A67" s="1">
        <f t="shared" si="4"/>
        <v>50</v>
      </c>
      <c r="B67" s="28" t="s">
        <v>84</v>
      </c>
      <c r="D67" s="31">
        <v>708322277.62549996</v>
      </c>
    </row>
    <row r="70" spans="1:52" x14ac:dyDescent="0.35">
      <c r="B70" s="147" t="s">
        <v>41</v>
      </c>
      <c r="C70" s="148" t="s">
        <v>26</v>
      </c>
      <c r="D70" s="148" t="s">
        <v>42</v>
      </c>
      <c r="E70" s="148" t="s">
        <v>34</v>
      </c>
      <c r="F70" s="148" t="s">
        <v>14</v>
      </c>
      <c r="G70" s="148" t="s">
        <v>16</v>
      </c>
      <c r="H70" s="148" t="s">
        <v>123</v>
      </c>
      <c r="I70" s="148" t="s">
        <v>22</v>
      </c>
      <c r="J70" s="148" t="s">
        <v>124</v>
      </c>
      <c r="K70" s="148" t="s">
        <v>125</v>
      </c>
      <c r="L70" s="148" t="s">
        <v>126</v>
      </c>
      <c r="M70" s="148" t="s">
        <v>127</v>
      </c>
      <c r="N70" s="148" t="s">
        <v>128</v>
      </c>
      <c r="O70" s="148" t="s">
        <v>129</v>
      </c>
      <c r="P70" s="148" t="s">
        <v>63</v>
      </c>
      <c r="Q70" s="148" t="s">
        <v>59</v>
      </c>
      <c r="R70" s="148" t="s">
        <v>56</v>
      </c>
      <c r="S70" s="148" t="s">
        <v>68</v>
      </c>
      <c r="T70" s="148" t="s">
        <v>70</v>
      </c>
      <c r="U70" s="148" t="s">
        <v>66</v>
      </c>
      <c r="V70" s="148" t="s">
        <v>57</v>
      </c>
      <c r="W70" s="148" t="s">
        <v>60</v>
      </c>
      <c r="X70" s="148" t="s">
        <v>64</v>
      </c>
      <c r="Y70" s="148" t="s">
        <v>65</v>
      </c>
      <c r="Z70" s="148" t="s">
        <v>67</v>
      </c>
      <c r="AA70" s="148" t="s">
        <v>69</v>
      </c>
      <c r="AB70" s="148" t="s">
        <v>71</v>
      </c>
      <c r="AC70" s="148" t="s">
        <v>72</v>
      </c>
      <c r="AD70" s="148" t="s">
        <v>130</v>
      </c>
      <c r="AE70" s="148" t="s">
        <v>131</v>
      </c>
      <c r="AF70" s="148" t="s">
        <v>132</v>
      </c>
      <c r="AG70" s="148" t="s">
        <v>133</v>
      </c>
      <c r="AH70" s="148" t="s">
        <v>134</v>
      </c>
      <c r="AI70" s="148" t="s">
        <v>91</v>
      </c>
      <c r="AJ70" s="148" t="s">
        <v>135</v>
      </c>
      <c r="AK70" s="148" t="s">
        <v>136</v>
      </c>
      <c r="AL70" s="148" t="s">
        <v>137</v>
      </c>
      <c r="AM70" s="148" t="s">
        <v>138</v>
      </c>
      <c r="AN70" s="148" t="s">
        <v>139</v>
      </c>
      <c r="AO70" s="148" t="s">
        <v>140</v>
      </c>
      <c r="AP70" s="148" t="s">
        <v>141</v>
      </c>
      <c r="AQ70" s="148" t="s">
        <v>87</v>
      </c>
      <c r="AR70" s="148" t="s">
        <v>142</v>
      </c>
      <c r="AS70" s="148" t="s">
        <v>143</v>
      </c>
      <c r="AT70" s="148" t="s">
        <v>144</v>
      </c>
      <c r="AU70" s="148" t="s">
        <v>88</v>
      </c>
      <c r="AV70" s="148" t="s">
        <v>145</v>
      </c>
      <c r="AW70" s="148" t="s">
        <v>146</v>
      </c>
      <c r="AX70" s="148" t="s">
        <v>147</v>
      </c>
      <c r="AY70" s="148" t="s">
        <v>148</v>
      </c>
      <c r="AZ70" s="148" t="s">
        <v>84</v>
      </c>
    </row>
    <row r="71" spans="1:52" x14ac:dyDescent="0.35">
      <c r="A71" s="16" t="s">
        <v>46</v>
      </c>
      <c r="B71" s="25" t="s">
        <v>4</v>
      </c>
      <c r="C71" s="16">
        <v>12001687.5782787</v>
      </c>
      <c r="D71" s="16">
        <v>71294975.019490898</v>
      </c>
      <c r="E71" s="16">
        <v>54753012.441372298</v>
      </c>
      <c r="F71" s="16">
        <v>1949942.2735939701</v>
      </c>
      <c r="G71" s="16">
        <v>1303605.65094848</v>
      </c>
      <c r="H71" s="16">
        <v>443208.12765810703</v>
      </c>
      <c r="I71" s="16">
        <v>1608650.4245611301</v>
      </c>
      <c r="J71" s="16">
        <v>27849.109738131501</v>
      </c>
      <c r="K71" s="16">
        <v>-932327.14347943501</v>
      </c>
      <c r="L71" s="16">
        <v>249713.45480690699</v>
      </c>
      <c r="M71" s="16">
        <v>6705142.6414350402</v>
      </c>
      <c r="N71" s="16">
        <v>22860.947705878199</v>
      </c>
      <c r="O71" s="16">
        <v>8249425.2769391499</v>
      </c>
      <c r="P71" s="16">
        <v>3414616.6356199598</v>
      </c>
      <c r="Q71" s="16">
        <v>144920950.24085501</v>
      </c>
      <c r="R71" s="16">
        <v>152427273.30235499</v>
      </c>
      <c r="S71" s="16">
        <v>67593673.283887595</v>
      </c>
      <c r="T71" s="16">
        <v>68841281.290115997</v>
      </c>
      <c r="U71" s="16">
        <v>2890303.6828227299</v>
      </c>
      <c r="V71" s="16">
        <v>322800261.61255598</v>
      </c>
      <c r="W71" s="16">
        <v>445057829.093795</v>
      </c>
      <c r="X71" s="16">
        <v>58073294.524023302</v>
      </c>
      <c r="Y71" s="16">
        <v>85025947.421444595</v>
      </c>
      <c r="Z71" s="16">
        <v>42636757.496370703</v>
      </c>
      <c r="AA71" s="16">
        <v>1341769.3724078999</v>
      </c>
      <c r="AB71" s="16">
        <v>-1419809.14233444</v>
      </c>
      <c r="AC71" s="16">
        <v>-17060763.145964399</v>
      </c>
      <c r="AD71" s="16">
        <v>13744605.835261401</v>
      </c>
      <c r="AE71" s="16">
        <v>14641776.037941201</v>
      </c>
      <c r="AF71" s="16">
        <v>988103.19100108102</v>
      </c>
      <c r="AG71" s="16">
        <v>4456247.5212533399</v>
      </c>
      <c r="AH71" s="16">
        <v>6356909.5934998896</v>
      </c>
      <c r="AI71" s="16">
        <v>913039522.86670697</v>
      </c>
      <c r="AJ71" s="16">
        <v>129400677.80604801</v>
      </c>
      <c r="AK71" s="16">
        <v>727132347.04304504</v>
      </c>
      <c r="AL71" s="16">
        <v>404618333.637196</v>
      </c>
      <c r="AM71" s="16">
        <v>3597073.350019</v>
      </c>
      <c r="AN71" s="16">
        <v>74037122.811379194</v>
      </c>
      <c r="AO71" s="16">
        <v>14554586.1365129</v>
      </c>
      <c r="AP71" s="16">
        <v>1917.29652840876</v>
      </c>
      <c r="AQ71" s="16">
        <v>690339486.05754197</v>
      </c>
      <c r="AR71" s="16">
        <v>-12745314.0720657</v>
      </c>
      <c r="AS71" s="16">
        <v>-7868147.4680132195</v>
      </c>
      <c r="AT71" s="16">
        <v>9114314.6830566302</v>
      </c>
      <c r="AU71" s="16">
        <v>315810221.38398498</v>
      </c>
      <c r="AV71" s="16">
        <v>268092150.343472</v>
      </c>
      <c r="AW71" s="16">
        <v>140580238.12302399</v>
      </c>
      <c r="AX71" s="16">
        <v>1075322765.44208</v>
      </c>
      <c r="AY71" s="16">
        <v>835859398.07709801</v>
      </c>
      <c r="AZ71" s="16">
        <v>702954104.74287701</v>
      </c>
    </row>
    <row r="73" spans="1:52" x14ac:dyDescent="0.35">
      <c r="C73" s="15" t="s">
        <v>95</v>
      </c>
      <c r="D73" s="15" t="s">
        <v>96</v>
      </c>
      <c r="E73" s="15" t="s">
        <v>97</v>
      </c>
      <c r="F73" s="15" t="s">
        <v>102</v>
      </c>
      <c r="G73" s="15" t="s">
        <v>149</v>
      </c>
      <c r="H73" s="15" t="s">
        <v>103</v>
      </c>
      <c r="I73" s="15" t="s">
        <v>150</v>
      </c>
      <c r="J73" s="15" t="s">
        <v>151</v>
      </c>
      <c r="K73" s="15" t="s">
        <v>152</v>
      </c>
    </row>
    <row r="74" spans="1:52" x14ac:dyDescent="0.35">
      <c r="A74" s="16" t="s">
        <v>46</v>
      </c>
      <c r="B74" s="25" t="s">
        <v>4</v>
      </c>
      <c r="C74" s="16">
        <v>11226505.4196692</v>
      </c>
      <c r="D74" s="16">
        <v>11480789.4574049</v>
      </c>
      <c r="E74" s="16">
        <v>11109981.7148664</v>
      </c>
      <c r="F74" s="16">
        <v>11890065.0568882</v>
      </c>
      <c r="G74" s="16">
        <v>14304574.280603601</v>
      </c>
      <c r="H74" s="16">
        <v>41746745.653451197</v>
      </c>
      <c r="I74" s="16">
        <v>2473726.1622877498</v>
      </c>
      <c r="J74" s="16">
        <v>7071064.7834166503</v>
      </c>
      <c r="K74" s="16">
        <v>31026651.193824898</v>
      </c>
    </row>
  </sheetData>
  <mergeCells count="3">
    <mergeCell ref="I8:N8"/>
    <mergeCell ref="I10:K10"/>
    <mergeCell ref="M10:N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D9FA-2E9F-4857-A61D-3C6A0DDCEEA8}">
  <dimension ref="B1:BO81"/>
  <sheetViews>
    <sheetView zoomScale="70" zoomScaleNormal="70" workbookViewId="0">
      <selection activeCell="C78" sqref="C78"/>
    </sheetView>
  </sheetViews>
  <sheetFormatPr baseColWidth="10" defaultColWidth="11.54296875" defaultRowHeight="15.5" x14ac:dyDescent="0.35"/>
  <cols>
    <col min="1" max="1" width="11.54296875" style="1"/>
    <col min="2" max="3" width="17.1796875" style="1" bestFit="1" customWidth="1"/>
    <col min="4" max="4" width="17" style="1" customWidth="1"/>
    <col min="5" max="5" width="15.1796875" style="1" bestFit="1" customWidth="1"/>
    <col min="6" max="6" width="15" style="1" bestFit="1" customWidth="1"/>
    <col min="7" max="7" width="19.7265625" style="1" bestFit="1" customWidth="1"/>
    <col min="8" max="8" width="17.26953125" style="1" bestFit="1" customWidth="1"/>
    <col min="9" max="9" width="19.7265625" style="1" bestFit="1" customWidth="1"/>
    <col min="10" max="10" width="16.453125" style="1" bestFit="1" customWidth="1"/>
    <col min="11" max="11" width="15" style="1" bestFit="1" customWidth="1"/>
    <col min="12" max="12" width="16" style="1" bestFit="1" customWidth="1"/>
    <col min="13" max="13" width="16.1796875" style="1" bestFit="1" customWidth="1"/>
    <col min="14" max="14" width="11.7265625" style="1" bestFit="1" customWidth="1"/>
    <col min="15" max="15" width="11.54296875" style="1"/>
    <col min="16" max="16" width="11.7265625" style="1" bestFit="1" customWidth="1"/>
    <col min="17" max="17" width="15" style="1" bestFit="1" customWidth="1"/>
    <col min="18" max="19" width="11.54296875" style="1"/>
    <col min="20" max="20" width="15.453125" style="1" bestFit="1" customWidth="1"/>
    <col min="21" max="21" width="11.7265625" style="1" bestFit="1" customWidth="1"/>
    <col min="22" max="22" width="16.1796875" style="1" bestFit="1" customWidth="1"/>
    <col min="23" max="23" width="16" style="1" bestFit="1" customWidth="1"/>
    <col min="24" max="24" width="16.1796875" style="1" bestFit="1" customWidth="1"/>
    <col min="25" max="25" width="15" style="1" bestFit="1" customWidth="1"/>
    <col min="26" max="26" width="13.54296875" style="1" bestFit="1" customWidth="1"/>
    <col min="27" max="28" width="11.7265625" style="1" bestFit="1" customWidth="1"/>
    <col min="29" max="29" width="15" style="1" bestFit="1" customWidth="1"/>
    <col min="30" max="30" width="13.453125" style="1" bestFit="1" customWidth="1"/>
    <col min="31" max="31" width="11.7265625" style="1" bestFit="1" customWidth="1"/>
    <col min="32" max="32" width="14.81640625" style="1" bestFit="1" customWidth="1"/>
    <col min="33" max="33" width="11.54296875" style="1"/>
    <col min="34" max="34" width="15.81640625" style="1" bestFit="1" customWidth="1"/>
    <col min="35" max="42" width="11.54296875" style="1"/>
    <col min="43" max="43" width="11.7265625" style="1" bestFit="1" customWidth="1"/>
    <col min="44" max="44" width="14.7265625" style="1" bestFit="1" customWidth="1"/>
    <col min="45" max="45" width="17.1796875" style="1" bestFit="1" customWidth="1"/>
    <col min="46" max="47" width="16.1796875" style="1" bestFit="1" customWidth="1"/>
    <col min="48" max="48" width="16.7265625" style="1" bestFit="1" customWidth="1"/>
    <col min="49" max="49" width="15" style="1" bestFit="1" customWidth="1"/>
    <col min="50" max="50" width="12.26953125" style="1" bestFit="1" customWidth="1"/>
    <col min="51" max="51" width="14.7265625" style="1" bestFit="1" customWidth="1"/>
    <col min="52" max="52" width="16.7265625" style="1" bestFit="1" customWidth="1"/>
    <col min="53" max="53" width="16.1796875" style="1" bestFit="1" customWidth="1"/>
    <col min="54" max="54" width="26" style="1" bestFit="1" customWidth="1"/>
    <col min="55" max="55" width="15" style="1" bestFit="1" customWidth="1"/>
    <col min="56" max="56" width="16" style="1" bestFit="1" customWidth="1"/>
    <col min="57" max="57" width="20.7265625" style="1" bestFit="1" customWidth="1"/>
    <col min="58" max="58" width="21.26953125" style="1" bestFit="1" customWidth="1"/>
    <col min="59" max="59" width="21.7265625" style="1" bestFit="1" customWidth="1"/>
    <col min="60" max="60" width="16" style="1" bestFit="1" customWidth="1"/>
    <col min="61" max="61" width="15.81640625" style="1" bestFit="1" customWidth="1"/>
    <col min="62" max="62" width="13.1796875" style="1" bestFit="1" customWidth="1"/>
    <col min="63" max="63" width="28" style="1" bestFit="1" customWidth="1"/>
    <col min="64" max="64" width="14.7265625" style="1" bestFit="1" customWidth="1"/>
    <col min="65" max="66" width="16" style="1" bestFit="1" customWidth="1"/>
    <col min="67" max="68" width="15.81640625" style="1" bestFit="1" customWidth="1"/>
    <col min="69" max="16384" width="11.54296875" style="1"/>
  </cols>
  <sheetData>
    <row r="1" spans="2:57" ht="16" thickBot="1" x14ac:dyDescent="0.4"/>
    <row r="2" spans="2:57" ht="16" thickBot="1" x14ac:dyDescent="0.4">
      <c r="B2" s="133"/>
      <c r="C2" s="134" t="s">
        <v>41</v>
      </c>
      <c r="D2" s="135" t="s">
        <v>26</v>
      </c>
      <c r="E2" s="135" t="s">
        <v>42</v>
      </c>
      <c r="F2" s="135" t="s">
        <v>34</v>
      </c>
      <c r="G2" s="135" t="s">
        <v>14</v>
      </c>
      <c r="H2" s="135" t="s">
        <v>16</v>
      </c>
      <c r="I2" s="135" t="s">
        <v>123</v>
      </c>
      <c r="J2" s="135" t="s">
        <v>22</v>
      </c>
      <c r="K2" s="135" t="s">
        <v>124</v>
      </c>
      <c r="L2" s="135" t="s">
        <v>125</v>
      </c>
      <c r="M2" s="152" t="s">
        <v>126</v>
      </c>
      <c r="V2" s="261" t="s">
        <v>153</v>
      </c>
      <c r="W2" s="262"/>
      <c r="X2" s="262"/>
      <c r="Y2" s="262"/>
      <c r="Z2" s="263"/>
    </row>
    <row r="3" spans="2:57" ht="16" thickBot="1" x14ac:dyDescent="0.4">
      <c r="B3" s="138"/>
      <c r="E3" s="1">
        <v>7</v>
      </c>
      <c r="G3" s="1">
        <v>1</v>
      </c>
      <c r="H3" s="1">
        <v>2</v>
      </c>
      <c r="J3" s="1">
        <v>6</v>
      </c>
      <c r="K3" s="1">
        <v>3</v>
      </c>
      <c r="M3" s="139">
        <v>4</v>
      </c>
    </row>
    <row r="4" spans="2:57" ht="16" thickBot="1" x14ac:dyDescent="0.4">
      <c r="B4" s="156" t="s">
        <v>46</v>
      </c>
      <c r="C4" s="157" t="s">
        <v>4</v>
      </c>
      <c r="D4" s="115">
        <v>12001687.5782787</v>
      </c>
      <c r="E4" s="154">
        <v>71294975.019490898</v>
      </c>
      <c r="F4" s="115">
        <v>54753012.441372298</v>
      </c>
      <c r="G4" s="154">
        <v>1949942.2735939701</v>
      </c>
      <c r="H4" s="154">
        <v>1303605.65094848</v>
      </c>
      <c r="I4" s="115">
        <v>443208.12765810703</v>
      </c>
      <c r="J4" s="154">
        <v>1608650.4245611301</v>
      </c>
      <c r="K4" s="154">
        <v>27849.109738131501</v>
      </c>
      <c r="L4" s="158">
        <v>-932327.14347943501</v>
      </c>
      <c r="M4" s="159">
        <v>249713.45480690699</v>
      </c>
      <c r="W4" s="70" t="s">
        <v>23</v>
      </c>
      <c r="Z4" s="70" t="s">
        <v>27</v>
      </c>
    </row>
    <row r="5" spans="2:57" x14ac:dyDescent="0.35">
      <c r="U5" s="71">
        <v>1</v>
      </c>
      <c r="V5" s="72" t="s">
        <v>14</v>
      </c>
      <c r="W5" s="73">
        <v>1949942.2735939701</v>
      </c>
      <c r="X5" s="74">
        <v>37</v>
      </c>
      <c r="Y5" s="75" t="s">
        <v>34</v>
      </c>
      <c r="Z5" s="76">
        <v>54753012.441372298</v>
      </c>
    </row>
    <row r="6" spans="2:57" x14ac:dyDescent="0.35">
      <c r="B6" s="133"/>
      <c r="C6" s="136"/>
      <c r="D6" s="136"/>
      <c r="E6" s="135" t="s">
        <v>152</v>
      </c>
      <c r="F6" s="135" t="s">
        <v>118</v>
      </c>
      <c r="G6" s="135" t="s">
        <v>119</v>
      </c>
      <c r="H6" s="135" t="s">
        <v>121</v>
      </c>
      <c r="I6" s="152" t="s">
        <v>120</v>
      </c>
      <c r="U6" s="77">
        <v>2</v>
      </c>
      <c r="V6" s="78" t="s">
        <v>16</v>
      </c>
      <c r="W6" s="73">
        <v>1303605.65094848</v>
      </c>
      <c r="X6" s="79">
        <v>38</v>
      </c>
      <c r="Y6" s="80" t="s">
        <v>26</v>
      </c>
      <c r="Z6" s="81">
        <v>12001687.5782787</v>
      </c>
    </row>
    <row r="7" spans="2:57" x14ac:dyDescent="0.35">
      <c r="B7" s="156" t="s">
        <v>46</v>
      </c>
      <c r="C7" s="157" t="s">
        <v>4</v>
      </c>
      <c r="D7" s="145"/>
      <c r="E7" s="115">
        <v>31026651.930164602</v>
      </c>
      <c r="F7" s="115">
        <v>1305527.6365004799</v>
      </c>
      <c r="G7" s="115">
        <v>11258395.704487201</v>
      </c>
      <c r="H7" s="115">
        <v>10138806.592915701</v>
      </c>
      <c r="I7" s="155">
        <v>10721329.2132503</v>
      </c>
      <c r="U7" s="77">
        <v>3</v>
      </c>
      <c r="V7" s="78" t="s">
        <v>124</v>
      </c>
      <c r="W7" s="73">
        <v>27849.109738131501</v>
      </c>
      <c r="X7" s="79">
        <v>39</v>
      </c>
      <c r="Y7" s="80" t="s">
        <v>123</v>
      </c>
      <c r="Z7" s="81">
        <v>443208.12765810703</v>
      </c>
      <c r="AA7" s="1" t="s">
        <v>13</v>
      </c>
    </row>
    <row r="8" spans="2:57" x14ac:dyDescent="0.35">
      <c r="U8" s="77">
        <v>4</v>
      </c>
      <c r="V8" s="78" t="s">
        <v>126</v>
      </c>
      <c r="W8" s="73">
        <v>249713.45480690699</v>
      </c>
      <c r="X8" s="79">
        <v>40</v>
      </c>
      <c r="Y8" s="80" t="s">
        <v>129</v>
      </c>
      <c r="Z8" s="81">
        <v>8249425.2769391499</v>
      </c>
      <c r="AA8" s="1" t="s">
        <v>8</v>
      </c>
    </row>
    <row r="9" spans="2:57" x14ac:dyDescent="0.35">
      <c r="U9" s="77">
        <v>5</v>
      </c>
      <c r="V9" s="78" t="s">
        <v>127</v>
      </c>
      <c r="W9" s="73">
        <v>6705142.6414350402</v>
      </c>
      <c r="X9" s="79">
        <v>41</v>
      </c>
      <c r="Y9" s="80" t="s">
        <v>56</v>
      </c>
      <c r="Z9" s="81">
        <v>152427273.30235499</v>
      </c>
    </row>
    <row r="10" spans="2:57" x14ac:dyDescent="0.35">
      <c r="B10" s="151" t="s">
        <v>127</v>
      </c>
      <c r="C10" s="135" t="s">
        <v>128</v>
      </c>
      <c r="D10" s="135" t="s">
        <v>129</v>
      </c>
      <c r="E10" s="135" t="s">
        <v>63</v>
      </c>
      <c r="F10" s="135" t="s">
        <v>59</v>
      </c>
      <c r="G10" s="135" t="s">
        <v>56</v>
      </c>
      <c r="H10" s="135" t="s">
        <v>68</v>
      </c>
      <c r="I10" s="135" t="s">
        <v>70</v>
      </c>
      <c r="J10" s="135" t="s">
        <v>66</v>
      </c>
      <c r="K10" s="135" t="s">
        <v>57</v>
      </c>
      <c r="L10" s="135" t="s">
        <v>60</v>
      </c>
      <c r="M10" s="152" t="s">
        <v>64</v>
      </c>
      <c r="U10" s="77">
        <v>6</v>
      </c>
      <c r="V10" s="78" t="s">
        <v>22</v>
      </c>
      <c r="W10" s="82">
        <v>1608650.4245611301</v>
      </c>
      <c r="X10" s="79">
        <v>42</v>
      </c>
      <c r="Y10" s="83" t="s">
        <v>63</v>
      </c>
      <c r="Z10" s="84">
        <v>3414616.6356199598</v>
      </c>
    </row>
    <row r="11" spans="2:57" x14ac:dyDescent="0.35">
      <c r="B11" s="138">
        <v>5</v>
      </c>
      <c r="C11" s="1">
        <v>8</v>
      </c>
      <c r="E11" s="1">
        <v>11</v>
      </c>
      <c r="F11" s="1">
        <v>10</v>
      </c>
      <c r="H11" s="1">
        <v>9</v>
      </c>
      <c r="K11" s="1">
        <v>12</v>
      </c>
      <c r="M11" s="139"/>
      <c r="U11" s="77">
        <v>7</v>
      </c>
      <c r="V11" s="78" t="s">
        <v>42</v>
      </c>
      <c r="W11" s="73">
        <v>71294975.019490898</v>
      </c>
      <c r="X11" s="79">
        <v>43</v>
      </c>
      <c r="Y11" s="80" t="s">
        <v>70</v>
      </c>
      <c r="Z11" s="81">
        <v>68841281.290115997</v>
      </c>
    </row>
    <row r="12" spans="2:57" x14ac:dyDescent="0.35">
      <c r="B12" s="153">
        <v>6705142.6414350402</v>
      </c>
      <c r="C12" s="154">
        <v>22860.947705878199</v>
      </c>
      <c r="D12" s="115">
        <v>8249425.2769391499</v>
      </c>
      <c r="E12" s="154">
        <v>3414616.6356199598</v>
      </c>
      <c r="F12" s="154">
        <v>144920950.24085501</v>
      </c>
      <c r="G12" s="115">
        <v>152427273.30235499</v>
      </c>
      <c r="H12" s="154">
        <v>67593673.283887595</v>
      </c>
      <c r="I12" s="115">
        <v>68841281.290115997</v>
      </c>
      <c r="J12" s="115">
        <v>2890303.6828227299</v>
      </c>
      <c r="K12" s="154">
        <v>322800261.61255598</v>
      </c>
      <c r="L12" s="115">
        <v>445057829.093795</v>
      </c>
      <c r="M12" s="155">
        <v>58073294.524023302</v>
      </c>
      <c r="U12" s="77">
        <v>8</v>
      </c>
      <c r="V12" s="78" t="s">
        <v>128</v>
      </c>
      <c r="W12" s="57">
        <v>22860.947705878199</v>
      </c>
      <c r="X12" s="79">
        <v>44</v>
      </c>
      <c r="Y12" s="80" t="s">
        <v>66</v>
      </c>
      <c r="Z12" s="81">
        <v>2890303.6828227299</v>
      </c>
    </row>
    <row r="13" spans="2:57" x14ac:dyDescent="0.35">
      <c r="U13" s="85">
        <v>9</v>
      </c>
      <c r="V13" s="86" t="s">
        <v>68</v>
      </c>
      <c r="W13" s="87">
        <v>67593673.283887595</v>
      </c>
      <c r="X13" s="79">
        <v>45</v>
      </c>
      <c r="Y13" s="80" t="s">
        <v>60</v>
      </c>
      <c r="Z13" s="81">
        <v>445057829.093795</v>
      </c>
    </row>
    <row r="14" spans="2:57" x14ac:dyDescent="0.35">
      <c r="U14" s="77">
        <v>10</v>
      </c>
      <c r="V14" s="78" t="s">
        <v>59</v>
      </c>
      <c r="W14" s="73">
        <v>144920950.24085501</v>
      </c>
      <c r="X14" s="79">
        <v>46</v>
      </c>
      <c r="Y14" s="80" t="s">
        <v>64</v>
      </c>
      <c r="Z14" s="81">
        <v>58073294.524023302</v>
      </c>
    </row>
    <row r="15" spans="2:57" x14ac:dyDescent="0.35">
      <c r="B15" s="151" t="s">
        <v>65</v>
      </c>
      <c r="C15" s="135" t="s">
        <v>67</v>
      </c>
      <c r="D15" s="135" t="s">
        <v>69</v>
      </c>
      <c r="E15" s="135" t="s">
        <v>71</v>
      </c>
      <c r="F15" s="152" t="s">
        <v>72</v>
      </c>
      <c r="U15" s="77">
        <v>11</v>
      </c>
      <c r="V15" s="88" t="s">
        <v>63</v>
      </c>
      <c r="W15" s="73">
        <v>3414616.6356199598</v>
      </c>
      <c r="X15" s="79">
        <v>47</v>
      </c>
      <c r="Y15" s="80" t="s">
        <v>69</v>
      </c>
      <c r="Z15" s="81">
        <v>1341769.3724078999</v>
      </c>
    </row>
    <row r="16" spans="2:57" x14ac:dyDescent="0.35">
      <c r="B16" s="138"/>
      <c r="F16" s="139"/>
      <c r="U16" s="77">
        <v>12</v>
      </c>
      <c r="V16" s="78" t="s">
        <v>57</v>
      </c>
      <c r="W16" s="57">
        <v>322800261.61255598</v>
      </c>
      <c r="X16" s="79">
        <v>48</v>
      </c>
      <c r="Y16" s="89" t="s">
        <v>65</v>
      </c>
      <c r="Z16" s="90">
        <v>85025947.421444595</v>
      </c>
      <c r="AR16" s="239" t="s">
        <v>156</v>
      </c>
      <c r="AS16" s="239"/>
      <c r="AT16" s="40"/>
      <c r="AU16" s="239" t="s">
        <v>157</v>
      </c>
      <c r="AV16" s="239"/>
      <c r="AW16" s="40"/>
      <c r="AX16" s="239" t="s">
        <v>158</v>
      </c>
      <c r="AY16" s="239"/>
      <c r="AZ16" s="40"/>
      <c r="BA16" s="239" t="s">
        <v>159</v>
      </c>
      <c r="BB16" s="239"/>
      <c r="BC16" s="40"/>
      <c r="BD16" s="258" t="s">
        <v>160</v>
      </c>
      <c r="BE16" s="259"/>
    </row>
    <row r="17" spans="2:61" x14ac:dyDescent="0.35">
      <c r="B17" s="156">
        <v>85025947.421444595</v>
      </c>
      <c r="C17" s="115">
        <v>42636757.496370703</v>
      </c>
      <c r="D17" s="115">
        <v>1341769.3724078999</v>
      </c>
      <c r="E17" s="115">
        <v>-1419809.14233444</v>
      </c>
      <c r="F17" s="155">
        <v>-17060763.145964399</v>
      </c>
      <c r="U17" s="77">
        <v>13</v>
      </c>
      <c r="V17" s="91" t="s">
        <v>71</v>
      </c>
      <c r="W17" s="82">
        <v>1419809.14233444</v>
      </c>
      <c r="X17" s="79">
        <v>49</v>
      </c>
      <c r="Y17" s="92" t="s">
        <v>91</v>
      </c>
      <c r="Z17" s="93">
        <v>913039522.86670697</v>
      </c>
      <c r="AQ17" s="1">
        <v>31</v>
      </c>
      <c r="AR17" s="10" t="s">
        <v>95</v>
      </c>
      <c r="AS17" s="10">
        <v>11720413.5276278</v>
      </c>
      <c r="AT17" s="1">
        <v>33</v>
      </c>
      <c r="AU17" s="10" t="s">
        <v>97</v>
      </c>
      <c r="AV17" s="10">
        <v>11609854.410024101</v>
      </c>
      <c r="AW17" s="94">
        <v>35</v>
      </c>
      <c r="AX17" s="10" t="s">
        <v>119</v>
      </c>
      <c r="AY17" s="10">
        <v>9445633.8862038199</v>
      </c>
      <c r="AZ17" s="94">
        <v>37</v>
      </c>
      <c r="BA17" s="10" t="s">
        <v>121</v>
      </c>
      <c r="BB17" s="10">
        <v>8506314.5436912794</v>
      </c>
      <c r="BC17" s="94">
        <v>39</v>
      </c>
      <c r="BD17" s="10" t="s">
        <v>118</v>
      </c>
      <c r="BE17" s="10">
        <v>1159749.6571339599</v>
      </c>
    </row>
    <row r="18" spans="2:61" x14ac:dyDescent="0.35">
      <c r="U18" s="77">
        <v>14</v>
      </c>
      <c r="V18" s="91" t="s">
        <v>72</v>
      </c>
      <c r="W18" s="82">
        <v>17060763.145964399</v>
      </c>
      <c r="X18" s="79">
        <v>50</v>
      </c>
      <c r="Y18" s="80" t="s">
        <v>135</v>
      </c>
      <c r="Z18" s="95">
        <v>129400677.80604801</v>
      </c>
      <c r="AQ18" s="1">
        <v>32</v>
      </c>
      <c r="AR18" s="10" t="s">
        <v>96</v>
      </c>
      <c r="AS18" s="10">
        <v>12009490.7005916</v>
      </c>
      <c r="AT18" s="1">
        <v>34</v>
      </c>
      <c r="AU18" s="10" t="s">
        <v>102</v>
      </c>
      <c r="AV18" s="10">
        <v>12494814.353839399</v>
      </c>
      <c r="AW18" s="94">
        <v>36</v>
      </c>
      <c r="AX18" s="10" t="s">
        <v>120</v>
      </c>
      <c r="AY18" s="10">
        <v>9282749.8636629693</v>
      </c>
      <c r="AZ18" s="94">
        <v>38</v>
      </c>
      <c r="BA18" s="10" t="s">
        <v>103</v>
      </c>
      <c r="BB18" s="10">
        <v>37048600.320381001</v>
      </c>
    </row>
    <row r="19" spans="2:61" ht="16" thickBot="1" x14ac:dyDescent="0.4">
      <c r="U19" s="77">
        <v>15</v>
      </c>
      <c r="V19" s="78" t="s">
        <v>67</v>
      </c>
      <c r="W19" s="96">
        <v>42636757.496370703</v>
      </c>
      <c r="X19" s="79">
        <v>51</v>
      </c>
      <c r="Y19" s="80" t="s">
        <v>84</v>
      </c>
      <c r="Z19" s="95">
        <v>702954104.74287701</v>
      </c>
    </row>
    <row r="20" spans="2:61" x14ac:dyDescent="0.35">
      <c r="U20" s="77">
        <v>16</v>
      </c>
      <c r="V20" s="78" t="s">
        <v>152</v>
      </c>
      <c r="W20" s="96">
        <v>31015420.988060098</v>
      </c>
      <c r="X20" s="79">
        <v>52</v>
      </c>
      <c r="Y20" s="83" t="s">
        <v>147</v>
      </c>
      <c r="Z20" s="95">
        <v>1075322765.44208</v>
      </c>
      <c r="AS20" s="270" t="s">
        <v>161</v>
      </c>
      <c r="AT20" s="272" t="s">
        <v>4</v>
      </c>
      <c r="AU20" s="161" t="s">
        <v>25</v>
      </c>
      <c r="AV20" s="162">
        <f>AS18+AV18+AY18+BB18</f>
        <v>70835655.238474965</v>
      </c>
    </row>
    <row r="21" spans="2:61" ht="16" thickBot="1" x14ac:dyDescent="0.4">
      <c r="U21" s="77">
        <v>17</v>
      </c>
      <c r="V21" s="78" t="s">
        <v>130</v>
      </c>
      <c r="W21" s="96">
        <v>13739630.9267313</v>
      </c>
      <c r="X21" s="79">
        <v>53</v>
      </c>
      <c r="Y21" s="83" t="s">
        <v>146</v>
      </c>
      <c r="Z21" s="95">
        <v>140580238.12302399</v>
      </c>
      <c r="AS21" s="271"/>
      <c r="AT21" s="273"/>
      <c r="AU21" s="163" t="s">
        <v>162</v>
      </c>
      <c r="AV21" s="164">
        <f>AS17+AV17+AY17+BB17+BE17</f>
        <v>42441966.024680957</v>
      </c>
    </row>
    <row r="22" spans="2:61" x14ac:dyDescent="0.35">
      <c r="U22" s="77">
        <v>18</v>
      </c>
      <c r="V22" s="78" t="s">
        <v>151</v>
      </c>
      <c r="W22" s="96">
        <v>7068505.3865936399</v>
      </c>
      <c r="X22" s="79">
        <v>54</v>
      </c>
      <c r="Y22" s="80" t="s">
        <v>88</v>
      </c>
      <c r="Z22" s="95">
        <v>315810221.38398498</v>
      </c>
    </row>
    <row r="23" spans="2:61" x14ac:dyDescent="0.35">
      <c r="U23" s="77">
        <v>19</v>
      </c>
      <c r="V23" s="97" t="s">
        <v>131</v>
      </c>
      <c r="W23" s="98">
        <v>14641776.037941201</v>
      </c>
      <c r="X23" s="79">
        <v>55</v>
      </c>
      <c r="Y23" s="80" t="s">
        <v>145</v>
      </c>
      <c r="Z23" s="99">
        <v>268092150.343472</v>
      </c>
    </row>
    <row r="24" spans="2:61" x14ac:dyDescent="0.35">
      <c r="U24" s="77">
        <v>20</v>
      </c>
      <c r="V24" s="78" t="s">
        <v>132</v>
      </c>
      <c r="W24" s="96">
        <v>988103.19100108102</v>
      </c>
      <c r="X24" s="79">
        <v>56</v>
      </c>
      <c r="Y24" s="80" t="s">
        <v>87</v>
      </c>
      <c r="Z24" s="95">
        <v>690339486.05754197</v>
      </c>
    </row>
    <row r="25" spans="2:61" ht="16" thickBot="1" x14ac:dyDescent="0.4">
      <c r="U25" s="77">
        <v>21</v>
      </c>
      <c r="V25" s="78" t="s">
        <v>133</v>
      </c>
      <c r="W25" s="96">
        <v>4456247.5212533399</v>
      </c>
      <c r="X25" s="79">
        <v>57</v>
      </c>
      <c r="Y25" s="80" t="s">
        <v>96</v>
      </c>
      <c r="Z25" s="81">
        <v>11565308.054452401</v>
      </c>
    </row>
    <row r="26" spans="2:61" x14ac:dyDescent="0.35">
      <c r="U26" s="77">
        <v>22</v>
      </c>
      <c r="V26" s="97" t="s">
        <v>134</v>
      </c>
      <c r="W26" s="100">
        <v>6356909.5934998896</v>
      </c>
      <c r="X26" s="79">
        <v>58</v>
      </c>
      <c r="Y26" s="80" t="s">
        <v>102</v>
      </c>
      <c r="Z26" s="81">
        <v>11977596.634846199</v>
      </c>
      <c r="AS26" s="264" t="s">
        <v>161</v>
      </c>
      <c r="AT26" s="265"/>
      <c r="AU26" s="165"/>
    </row>
    <row r="27" spans="2:61" ht="16" thickBot="1" x14ac:dyDescent="0.4">
      <c r="U27" s="77">
        <v>23</v>
      </c>
      <c r="V27" s="97" t="s">
        <v>136</v>
      </c>
      <c r="W27" s="98">
        <v>727132347.04304504</v>
      </c>
      <c r="X27" s="79">
        <v>59</v>
      </c>
      <c r="Y27" s="80" t="s">
        <v>149</v>
      </c>
      <c r="Z27" s="81">
        <v>14409880.849811601</v>
      </c>
      <c r="AS27" s="266"/>
      <c r="AT27" s="267"/>
      <c r="AU27" s="166">
        <f>AX35-AV38</f>
        <v>324036427.63290429</v>
      </c>
      <c r="AZ27" s="1">
        <v>40</v>
      </c>
      <c r="BA27" s="1">
        <v>41</v>
      </c>
      <c r="BB27" s="1">
        <v>42</v>
      </c>
      <c r="BC27" s="1">
        <v>43</v>
      </c>
      <c r="BD27" s="1">
        <v>44</v>
      </c>
      <c r="BE27" s="1">
        <v>45</v>
      </c>
      <c r="BF27" s="1">
        <v>46</v>
      </c>
      <c r="BG27" s="1">
        <v>47</v>
      </c>
    </row>
    <row r="28" spans="2:61" x14ac:dyDescent="0.35">
      <c r="U28" s="77">
        <v>24</v>
      </c>
      <c r="V28" s="97" t="s">
        <v>148</v>
      </c>
      <c r="W28" s="98">
        <v>835859398.07709801</v>
      </c>
      <c r="X28" s="79">
        <v>60</v>
      </c>
      <c r="Y28" s="80" t="s">
        <v>103</v>
      </c>
      <c r="Z28" s="81">
        <v>42054074.377405196</v>
      </c>
    </row>
    <row r="29" spans="2:61" x14ac:dyDescent="0.35">
      <c r="U29" s="77">
        <v>25</v>
      </c>
      <c r="V29" s="78" t="s">
        <v>144</v>
      </c>
      <c r="W29" s="98">
        <v>9114314.6830566302</v>
      </c>
      <c r="X29" s="79">
        <v>61</v>
      </c>
      <c r="Y29" s="83" t="s">
        <v>137</v>
      </c>
      <c r="Z29" s="84">
        <v>404618333.637196</v>
      </c>
    </row>
    <row r="30" spans="2:61" x14ac:dyDescent="0.35">
      <c r="U30" s="77">
        <v>26</v>
      </c>
      <c r="V30" s="78" t="s">
        <v>139</v>
      </c>
      <c r="W30" s="98">
        <v>74037122.811379194</v>
      </c>
      <c r="X30" s="79">
        <v>62</v>
      </c>
      <c r="Y30" s="101" t="s">
        <v>125</v>
      </c>
      <c r="Z30" s="102">
        <v>932327.14347943501</v>
      </c>
      <c r="AB30" s="230" t="s">
        <v>163</v>
      </c>
      <c r="AC30" s="230"/>
      <c r="AD30" s="230"/>
      <c r="AY30" s="230" t="s">
        <v>9</v>
      </c>
      <c r="AZ30" s="15" t="s">
        <v>151</v>
      </c>
      <c r="BA30" s="15" t="s">
        <v>134</v>
      </c>
      <c r="BB30" s="15" t="s">
        <v>144</v>
      </c>
      <c r="BC30" s="15" t="s">
        <v>136</v>
      </c>
      <c r="BD30" s="15" t="s">
        <v>138</v>
      </c>
      <c r="BE30" s="15" t="s">
        <v>139</v>
      </c>
      <c r="BF30" s="15" t="s">
        <v>140</v>
      </c>
      <c r="BG30" s="15" t="s">
        <v>141</v>
      </c>
      <c r="BH30" s="15" t="s">
        <v>28</v>
      </c>
    </row>
    <row r="31" spans="2:61" x14ac:dyDescent="0.35">
      <c r="U31" s="77">
        <v>27</v>
      </c>
      <c r="V31" s="78" t="s">
        <v>140</v>
      </c>
      <c r="W31" s="98">
        <v>14554586.1365129</v>
      </c>
      <c r="X31" s="79"/>
      <c r="Y31" s="103"/>
      <c r="Z31" s="104"/>
      <c r="AY31" s="230"/>
      <c r="AZ31" s="16">
        <v>27148233.589977</v>
      </c>
      <c r="BA31" s="16">
        <v>9066935.0042654108</v>
      </c>
      <c r="BB31" s="16">
        <v>2819323.8103918601</v>
      </c>
      <c r="BC31" s="16">
        <v>224432641.48668399</v>
      </c>
      <c r="BD31" s="16">
        <v>147087742.466059</v>
      </c>
      <c r="BE31" s="16">
        <v>55601417.322070204</v>
      </c>
      <c r="BF31" s="16">
        <v>15013917.730846999</v>
      </c>
      <c r="BG31" s="16">
        <v>1691.73223141115</v>
      </c>
      <c r="BH31" s="24">
        <f>SUM(AZ31:BG31)</f>
        <v>481171903.14252591</v>
      </c>
      <c r="BI31" s="1" t="s">
        <v>4</v>
      </c>
    </row>
    <row r="32" spans="2:61" ht="13.5" customHeight="1" thickBot="1" x14ac:dyDescent="0.4">
      <c r="U32" s="77">
        <v>28</v>
      </c>
      <c r="V32" s="88" t="s">
        <v>147</v>
      </c>
      <c r="W32" s="98">
        <v>1075322765.44208</v>
      </c>
      <c r="X32" s="105"/>
      <c r="Y32" s="106" t="s">
        <v>154</v>
      </c>
      <c r="Z32" s="107">
        <v>5613616336.2097569</v>
      </c>
      <c r="AT32" s="1">
        <v>9</v>
      </c>
    </row>
    <row r="33" spans="3:67" ht="16" thickBot="1" x14ac:dyDescent="0.4">
      <c r="U33" s="77">
        <v>29</v>
      </c>
      <c r="V33" s="88" t="s">
        <v>146</v>
      </c>
      <c r="W33" s="108">
        <v>140580238.12302399</v>
      </c>
      <c r="AT33" s="1">
        <v>48</v>
      </c>
    </row>
    <row r="34" spans="3:67" ht="16" thickBot="1" x14ac:dyDescent="0.4">
      <c r="D34" s="255" t="s">
        <v>153</v>
      </c>
      <c r="E34" s="256"/>
      <c r="F34" s="256"/>
      <c r="G34" s="256"/>
      <c r="H34" s="257"/>
      <c r="U34" s="77">
        <v>30</v>
      </c>
      <c r="V34" s="78" t="s">
        <v>141</v>
      </c>
      <c r="W34" s="108">
        <v>1917.29652840876</v>
      </c>
      <c r="AS34" s="239" t="s">
        <v>25</v>
      </c>
      <c r="AT34" s="15" t="s">
        <v>137</v>
      </c>
      <c r="AU34" s="15" t="s">
        <v>143</v>
      </c>
      <c r="AV34" s="15" t="s">
        <v>142</v>
      </c>
      <c r="AW34" s="15" t="s">
        <v>87</v>
      </c>
      <c r="AX34" s="15" t="s">
        <v>28</v>
      </c>
      <c r="BB34" s="230" t="s">
        <v>10</v>
      </c>
      <c r="BC34" s="15" t="s">
        <v>91</v>
      </c>
      <c r="BD34" s="15" t="s">
        <v>84</v>
      </c>
      <c r="BE34" s="15" t="s">
        <v>135</v>
      </c>
      <c r="BF34" s="15" t="s">
        <v>88</v>
      </c>
      <c r="BG34" s="15" t="s">
        <v>28</v>
      </c>
      <c r="BI34" s="268" t="s">
        <v>31</v>
      </c>
      <c r="BJ34" s="44" t="s">
        <v>4</v>
      </c>
      <c r="BM34" s="10" t="s">
        <v>113</v>
      </c>
      <c r="BN34" s="10">
        <f>BE39/BL40</f>
        <v>0.51983077284950252</v>
      </c>
    </row>
    <row r="35" spans="3:67" ht="16" thickBot="1" x14ac:dyDescent="0.4">
      <c r="U35" s="77">
        <v>31</v>
      </c>
      <c r="V35" s="78" t="s">
        <v>95</v>
      </c>
      <c r="W35" s="109">
        <v>11309152.043521799</v>
      </c>
      <c r="AS35" s="239"/>
      <c r="AT35" s="16">
        <v>373352649.54623598</v>
      </c>
      <c r="AU35" s="16">
        <v>4256880.7546583898</v>
      </c>
      <c r="AV35" s="16">
        <v>30713047.254737802</v>
      </c>
      <c r="AW35" s="16">
        <v>623185987.75589502</v>
      </c>
      <c r="AX35" s="24">
        <f>SUM(AT35:AW35)</f>
        <v>1031508565.3115273</v>
      </c>
      <c r="BA35" s="248" t="s">
        <v>4</v>
      </c>
      <c r="BB35" s="230"/>
      <c r="BC35" s="10">
        <v>461243248.115403</v>
      </c>
      <c r="BD35" s="16">
        <v>527989929.89955401</v>
      </c>
      <c r="BE35" s="16">
        <v>50837451.936163798</v>
      </c>
      <c r="BF35" s="16">
        <v>142625004.14261499</v>
      </c>
      <c r="BG35" s="24">
        <f>SUM(BC35:BF35)</f>
        <v>1182695634.0937357</v>
      </c>
      <c r="BH35" s="1" t="s">
        <v>4</v>
      </c>
      <c r="BI35" s="269"/>
      <c r="BJ35" s="110">
        <f>BG35-BH31</f>
        <v>701523730.95120978</v>
      </c>
      <c r="BK35" s="1">
        <v>0.96784000000000003</v>
      </c>
      <c r="BM35" s="44" t="s">
        <v>164</v>
      </c>
      <c r="BN35" s="44">
        <f>BL40*BC41</f>
        <v>1349523282.5593219</v>
      </c>
      <c r="BO35" s="1" t="s">
        <v>165</v>
      </c>
    </row>
    <row r="36" spans="3:67" ht="16" thickBot="1" x14ac:dyDescent="0.4">
      <c r="E36" s="70" t="s">
        <v>23</v>
      </c>
      <c r="H36" s="70" t="s">
        <v>27</v>
      </c>
      <c r="J36" s="251" t="s">
        <v>6</v>
      </c>
      <c r="K36" s="251"/>
      <c r="L36" s="251"/>
      <c r="U36" s="77">
        <v>32</v>
      </c>
      <c r="V36" s="78" t="s">
        <v>97</v>
      </c>
      <c r="W36" s="109">
        <v>11191770.521398099</v>
      </c>
      <c r="AT36" s="1">
        <v>58</v>
      </c>
      <c r="AU36" s="1">
        <v>59</v>
      </c>
      <c r="BA36" s="248"/>
      <c r="BK36" s="1">
        <v>0.96745019495990003</v>
      </c>
      <c r="BM36" s="1" t="s">
        <v>166</v>
      </c>
      <c r="BN36" s="111">
        <f>BN35-BJ35</f>
        <v>647999551.6081121</v>
      </c>
    </row>
    <row r="37" spans="3:67" ht="16" thickBot="1" x14ac:dyDescent="0.4">
      <c r="C37" s="71">
        <v>1</v>
      </c>
      <c r="D37" s="72" t="s">
        <v>14</v>
      </c>
      <c r="E37" s="73">
        <v>1949942.2735939701</v>
      </c>
      <c r="F37" s="74">
        <f>36+1</f>
        <v>37</v>
      </c>
      <c r="G37" s="75" t="s">
        <v>34</v>
      </c>
      <c r="H37" s="76">
        <v>54753012.441372298</v>
      </c>
      <c r="U37" s="77">
        <v>33</v>
      </c>
      <c r="V37" s="78" t="s">
        <v>150</v>
      </c>
      <c r="W37" s="109">
        <v>2491937.0932948799</v>
      </c>
      <c r="AS37" s="239" t="s">
        <v>86</v>
      </c>
      <c r="AT37" s="112" t="s">
        <v>147</v>
      </c>
      <c r="AU37" s="112" t="s">
        <v>146</v>
      </c>
      <c r="AV37" s="15" t="s">
        <v>28</v>
      </c>
      <c r="BN37" s="1">
        <f>BC38/BN35</f>
        <v>0.51983077284950241</v>
      </c>
    </row>
    <row r="38" spans="3:67" ht="16" thickBot="1" x14ac:dyDescent="0.4">
      <c r="C38" s="77">
        <v>2</v>
      </c>
      <c r="D38" s="78" t="s">
        <v>16</v>
      </c>
      <c r="E38" s="73">
        <v>1303605.65094848</v>
      </c>
      <c r="F38" s="79">
        <f>F37+1</f>
        <v>38</v>
      </c>
      <c r="G38" s="80" t="s">
        <v>26</v>
      </c>
      <c r="H38" s="81">
        <v>12001687.5782787</v>
      </c>
      <c r="K38" s="70" t="s">
        <v>23</v>
      </c>
      <c r="O38" s="258" t="s">
        <v>30</v>
      </c>
      <c r="P38" s="259"/>
      <c r="U38" s="77">
        <v>34</v>
      </c>
      <c r="V38" s="97" t="s">
        <v>138</v>
      </c>
      <c r="W38" s="108">
        <v>3597073.350019</v>
      </c>
      <c r="AS38" s="239"/>
      <c r="AT38" s="113">
        <v>536433915.38151503</v>
      </c>
      <c r="AU38" s="113">
        <v>171038222.29710799</v>
      </c>
      <c r="AV38" s="24">
        <f>SUM(AT38:AU38)</f>
        <v>707472137.67862296</v>
      </c>
      <c r="BB38" s="8" t="s">
        <v>31</v>
      </c>
      <c r="BC38" s="8">
        <f>BG35-BH31</f>
        <v>701523730.95120978</v>
      </c>
      <c r="BD38" s="8">
        <f>BC38/1000</f>
        <v>701523.73095120979</v>
      </c>
      <c r="BE38" s="8" t="s">
        <v>167</v>
      </c>
    </row>
    <row r="39" spans="3:67" x14ac:dyDescent="0.35">
      <c r="C39" s="77">
        <v>3</v>
      </c>
      <c r="D39" s="78" t="s">
        <v>124</v>
      </c>
      <c r="E39" s="73">
        <v>27849.109738131501</v>
      </c>
      <c r="F39" s="79">
        <f t="shared" ref="F39:F62" si="0">F38+1</f>
        <v>39</v>
      </c>
      <c r="G39" s="80" t="s">
        <v>123</v>
      </c>
      <c r="H39" s="81">
        <v>443208.12765810703</v>
      </c>
      <c r="I39" s="1" t="s">
        <v>13</v>
      </c>
      <c r="J39" s="15" t="s">
        <v>14</v>
      </c>
      <c r="K39" s="16">
        <v>1949942.2735939701</v>
      </c>
      <c r="L39" s="10" t="s">
        <v>15</v>
      </c>
      <c r="N39" s="1" t="s">
        <v>25</v>
      </c>
      <c r="O39" s="114" t="s">
        <v>34</v>
      </c>
      <c r="P39" s="115">
        <v>54753012.441372298</v>
      </c>
      <c r="Q39" s="70" t="s">
        <v>27</v>
      </c>
      <c r="U39" s="77">
        <v>35</v>
      </c>
      <c r="V39" s="78" t="s">
        <v>143</v>
      </c>
      <c r="W39" s="116">
        <v>-7868147.4680132195</v>
      </c>
      <c r="AT39" s="1">
        <v>19</v>
      </c>
      <c r="AU39" s="1">
        <v>20</v>
      </c>
      <c r="AX39" s="1">
        <f>AX35-AV38</f>
        <v>324036427.63290429</v>
      </c>
      <c r="BB39" s="1" t="s">
        <v>168</v>
      </c>
      <c r="BC39" s="1">
        <v>1191404.18414056</v>
      </c>
      <c r="BD39" s="10" t="s">
        <v>39</v>
      </c>
      <c r="BE39" s="10">
        <f>BC38/BC41</f>
        <v>0.43143209467672095</v>
      </c>
    </row>
    <row r="40" spans="3:67" x14ac:dyDescent="0.35">
      <c r="C40" s="77">
        <f>C39+1</f>
        <v>4</v>
      </c>
      <c r="D40" s="78" t="s">
        <v>126</v>
      </c>
      <c r="E40" s="73">
        <v>249713.45480690699</v>
      </c>
      <c r="F40" s="79">
        <f t="shared" si="0"/>
        <v>40</v>
      </c>
      <c r="G40" s="80" t="s">
        <v>129</v>
      </c>
      <c r="H40" s="81">
        <v>8249425.2769391499</v>
      </c>
      <c r="I40" s="1" t="s">
        <v>8</v>
      </c>
      <c r="J40" s="15" t="s">
        <v>16</v>
      </c>
      <c r="K40" s="16">
        <v>1303605.65094848</v>
      </c>
      <c r="L40" s="10" t="s">
        <v>17</v>
      </c>
      <c r="U40" s="77">
        <v>36</v>
      </c>
      <c r="V40" s="78" t="s">
        <v>142</v>
      </c>
      <c r="W40" s="116">
        <v>-12745314.0720657</v>
      </c>
      <c r="BB40" s="1" t="s">
        <v>169</v>
      </c>
      <c r="BC40" s="1">
        <v>1364.80560138945</v>
      </c>
      <c r="BK40" s="19" t="s">
        <v>170</v>
      </c>
      <c r="BL40" s="10">
        <f>(BL41-BL42)/BL41</f>
        <v>0.82994720053178905</v>
      </c>
    </row>
    <row r="41" spans="3:67" x14ac:dyDescent="0.35">
      <c r="C41" s="77">
        <f t="shared" ref="C41:C72" si="1">C40+1</f>
        <v>5</v>
      </c>
      <c r="D41" s="78" t="s">
        <v>127</v>
      </c>
      <c r="E41" s="73">
        <v>6705142.6414350402</v>
      </c>
      <c r="F41" s="79">
        <f t="shared" si="0"/>
        <v>41</v>
      </c>
      <c r="G41" s="80" t="s">
        <v>56</v>
      </c>
      <c r="H41" s="81">
        <v>152427273.30235499</v>
      </c>
      <c r="U41" s="77"/>
      <c r="V41" s="117"/>
      <c r="W41" s="103"/>
      <c r="BB41" s="1" t="s">
        <v>171</v>
      </c>
      <c r="BC41" s="1">
        <f>BC39*BC40</f>
        <v>1626035104.033864</v>
      </c>
      <c r="BK41" s="19" t="s">
        <v>114</v>
      </c>
      <c r="BL41" s="10">
        <f>1421.32372169763+273.15</f>
        <v>1694.47372169763</v>
      </c>
      <c r="BM41" s="1">
        <f>1425.93069978442+273.15</f>
        <v>1699.0806997844202</v>
      </c>
      <c r="BN41" s="1">
        <f>AVERAGE(BL41:BM41)</f>
        <v>1696.7772107410251</v>
      </c>
    </row>
    <row r="42" spans="3:67" ht="16" thickBot="1" x14ac:dyDescent="0.4">
      <c r="C42" s="77">
        <f t="shared" si="1"/>
        <v>6</v>
      </c>
      <c r="D42" s="78" t="s">
        <v>22</v>
      </c>
      <c r="E42" s="82">
        <v>1608650.4245611301</v>
      </c>
      <c r="F42" s="79">
        <f t="shared" si="0"/>
        <v>42</v>
      </c>
      <c r="G42" s="83" t="s">
        <v>63</v>
      </c>
      <c r="H42" s="84">
        <v>3414616.6356199598</v>
      </c>
      <c r="U42" s="118"/>
      <c r="V42" s="119" t="s">
        <v>28</v>
      </c>
      <c r="W42" s="120">
        <v>3645855325.8058281</v>
      </c>
      <c r="BB42" s="1" t="s">
        <v>39</v>
      </c>
      <c r="BK42" s="19" t="s">
        <v>117</v>
      </c>
      <c r="BL42" s="10">
        <f>15+273.15</f>
        <v>288.14999999999998</v>
      </c>
    </row>
    <row r="43" spans="3:67" x14ac:dyDescent="0.35">
      <c r="C43" s="77">
        <f t="shared" si="1"/>
        <v>7</v>
      </c>
      <c r="D43" s="78" t="s">
        <v>42</v>
      </c>
      <c r="E43" s="73">
        <v>71294975.019490898</v>
      </c>
      <c r="F43" s="79">
        <f t="shared" si="0"/>
        <v>43</v>
      </c>
      <c r="G43" s="80" t="s">
        <v>70</v>
      </c>
      <c r="H43" s="81">
        <v>68841281.290115997</v>
      </c>
      <c r="M43" s="230" t="s">
        <v>19</v>
      </c>
      <c r="N43" s="230"/>
      <c r="O43" s="230"/>
    </row>
    <row r="44" spans="3:67" ht="16" thickBot="1" x14ac:dyDescent="0.4">
      <c r="C44" s="77">
        <f t="shared" si="1"/>
        <v>8</v>
      </c>
      <c r="D44" s="78" t="s">
        <v>128</v>
      </c>
      <c r="E44" s="57">
        <v>22860.947705878199</v>
      </c>
      <c r="F44" s="79">
        <f t="shared" si="0"/>
        <v>44</v>
      </c>
      <c r="G44" s="80" t="s">
        <v>66</v>
      </c>
      <c r="H44" s="81">
        <v>2890303.6828227299</v>
      </c>
      <c r="K44" s="10">
        <v>22</v>
      </c>
      <c r="L44" s="10" t="s">
        <v>21</v>
      </c>
      <c r="M44" s="121" t="s">
        <v>22</v>
      </c>
      <c r="N44" s="122">
        <v>1608650.4245611301</v>
      </c>
      <c r="O44" s="123" t="s">
        <v>23</v>
      </c>
    </row>
    <row r="45" spans="3:67" x14ac:dyDescent="0.35">
      <c r="C45" s="85">
        <f t="shared" si="1"/>
        <v>9</v>
      </c>
      <c r="D45" s="86" t="s">
        <v>68</v>
      </c>
      <c r="E45" s="87">
        <v>67593673.283887595</v>
      </c>
      <c r="F45" s="79">
        <f t="shared" si="0"/>
        <v>45</v>
      </c>
      <c r="G45" s="80" t="s">
        <v>60</v>
      </c>
      <c r="H45" s="81">
        <v>445057829.093795</v>
      </c>
      <c r="K45" s="10">
        <v>23</v>
      </c>
      <c r="L45" s="10" t="s">
        <v>25</v>
      </c>
      <c r="M45" s="124" t="s">
        <v>26</v>
      </c>
      <c r="N45" s="81">
        <v>12001687.5782787</v>
      </c>
      <c r="O45" s="70" t="s">
        <v>27</v>
      </c>
      <c r="AA45" s="8">
        <v>27</v>
      </c>
      <c r="AB45" s="8" t="s">
        <v>9</v>
      </c>
      <c r="AC45" s="8">
        <v>8</v>
      </c>
      <c r="AD45" s="8" t="s">
        <v>128</v>
      </c>
      <c r="AE45" s="8">
        <v>22860.947705878199</v>
      </c>
    </row>
    <row r="46" spans="3:67" x14ac:dyDescent="0.35">
      <c r="C46" s="77">
        <f t="shared" si="1"/>
        <v>10</v>
      </c>
      <c r="D46" s="78" t="s">
        <v>59</v>
      </c>
      <c r="E46" s="73">
        <v>144920950.24085501</v>
      </c>
      <c r="F46" s="79">
        <f t="shared" si="0"/>
        <v>46</v>
      </c>
      <c r="G46" s="80" t="s">
        <v>64</v>
      </c>
      <c r="H46" s="81">
        <v>58073294.524023302</v>
      </c>
      <c r="T46" s="241" t="s">
        <v>3</v>
      </c>
      <c r="AA46" s="8">
        <v>28</v>
      </c>
      <c r="AB46" s="8" t="s">
        <v>8</v>
      </c>
      <c r="AC46" s="8">
        <v>5</v>
      </c>
      <c r="AD46" s="8" t="s">
        <v>127</v>
      </c>
      <c r="AE46" s="8">
        <v>6705142.6414350402</v>
      </c>
    </row>
    <row r="47" spans="3:67" x14ac:dyDescent="0.35">
      <c r="C47" s="77">
        <f t="shared" si="1"/>
        <v>11</v>
      </c>
      <c r="D47" s="88" t="s">
        <v>63</v>
      </c>
      <c r="E47" s="73">
        <v>3414616.6356199598</v>
      </c>
      <c r="F47" s="79">
        <f t="shared" si="0"/>
        <v>47</v>
      </c>
      <c r="G47" s="80" t="s">
        <v>69</v>
      </c>
      <c r="H47" s="81">
        <v>1341769.3724078999</v>
      </c>
      <c r="J47" s="10">
        <v>24</v>
      </c>
      <c r="K47" s="10" t="s">
        <v>172</v>
      </c>
      <c r="T47" s="242"/>
      <c r="U47" s="4"/>
      <c r="V47" s="4" t="s">
        <v>7</v>
      </c>
      <c r="W47" s="4" t="s">
        <v>8</v>
      </c>
      <c r="X47" s="4" t="s">
        <v>9</v>
      </c>
      <c r="Y47" s="4" t="s">
        <v>10</v>
      </c>
      <c r="AA47" s="8">
        <v>29</v>
      </c>
      <c r="AB47" s="8" t="s">
        <v>25</v>
      </c>
      <c r="AC47" s="8">
        <v>40</v>
      </c>
      <c r="AD47" s="8" t="s">
        <v>129</v>
      </c>
      <c r="AE47" s="8">
        <v>8249425.2769391499</v>
      </c>
    </row>
    <row r="48" spans="3:67" x14ac:dyDescent="0.35">
      <c r="C48" s="77">
        <f t="shared" si="1"/>
        <v>12</v>
      </c>
      <c r="D48" s="78" t="s">
        <v>57</v>
      </c>
      <c r="E48" s="57">
        <v>322800261.61255598</v>
      </c>
      <c r="F48" s="79">
        <f t="shared" si="0"/>
        <v>48</v>
      </c>
      <c r="G48" s="89" t="s">
        <v>65</v>
      </c>
      <c r="H48" s="90">
        <v>85025947.421444595</v>
      </c>
      <c r="J48" s="10">
        <v>25</v>
      </c>
      <c r="K48" s="10" t="s">
        <v>8</v>
      </c>
      <c r="L48" s="10">
        <f>N44+K40</f>
        <v>2912256.0755096101</v>
      </c>
      <c r="P48" s="1" t="s">
        <v>29</v>
      </c>
      <c r="Q48" s="1">
        <f>P39+L49+N45-K40-L48-N44</f>
        <v>127684887.88828279</v>
      </c>
      <c r="T48" s="6" t="s">
        <v>12</v>
      </c>
      <c r="U48" s="7">
        <v>1</v>
      </c>
      <c r="V48" s="8">
        <f>P39+L49+N45</f>
        <v>133509400.03930201</v>
      </c>
      <c r="W48" s="8">
        <f>K40+L48+N44</f>
        <v>5824512.1510192202</v>
      </c>
      <c r="X48" s="8">
        <f>K39</f>
        <v>1949942.2735939701</v>
      </c>
      <c r="Y48" s="8">
        <v>0</v>
      </c>
      <c r="Z48" s="1">
        <f t="shared" ref="Z48:Z53" si="2">V48-W48</f>
        <v>127684887.88828279</v>
      </c>
      <c r="AA48" s="8">
        <v>30</v>
      </c>
      <c r="AB48" s="8" t="s">
        <v>8</v>
      </c>
      <c r="AC48" s="8">
        <v>71</v>
      </c>
      <c r="AD48" s="8" t="s">
        <v>132</v>
      </c>
      <c r="AE48" s="8">
        <v>988103.19100108102</v>
      </c>
    </row>
    <row r="49" spans="3:29" x14ac:dyDescent="0.35">
      <c r="C49" s="77">
        <f t="shared" si="1"/>
        <v>13</v>
      </c>
      <c r="D49" s="91" t="s">
        <v>71</v>
      </c>
      <c r="E49" s="82">
        <v>1419809.14233444</v>
      </c>
      <c r="F49" s="79">
        <f t="shared" si="0"/>
        <v>49</v>
      </c>
      <c r="G49" s="92" t="s">
        <v>91</v>
      </c>
      <c r="H49" s="93">
        <v>913039522.86670697</v>
      </c>
      <c r="J49" s="10">
        <v>26</v>
      </c>
      <c r="K49" s="10" t="s">
        <v>7</v>
      </c>
      <c r="L49" s="10">
        <f>P39+N45</f>
        <v>66754700.019650996</v>
      </c>
      <c r="P49" s="1" t="s">
        <v>31</v>
      </c>
      <c r="T49" s="6" t="s">
        <v>173</v>
      </c>
      <c r="U49" s="7">
        <v>2</v>
      </c>
      <c r="V49" s="8">
        <f>I75+I79</f>
        <v>1375535.2711375421</v>
      </c>
      <c r="W49" s="8">
        <f>I76+I80</f>
        <v>1858363.879368037</v>
      </c>
      <c r="X49" s="8">
        <f>I77</f>
        <v>27849.109738131501</v>
      </c>
      <c r="Y49" s="8">
        <v>0</v>
      </c>
      <c r="Z49" s="1">
        <f t="shared" si="2"/>
        <v>-482828.60823049489</v>
      </c>
    </row>
    <row r="50" spans="3:29" x14ac:dyDescent="0.35">
      <c r="C50" s="77">
        <f t="shared" si="1"/>
        <v>14</v>
      </c>
      <c r="D50" s="91" t="s">
        <v>72</v>
      </c>
      <c r="E50" s="82">
        <v>17060763.145964399</v>
      </c>
      <c r="F50" s="79">
        <f t="shared" si="0"/>
        <v>50</v>
      </c>
      <c r="G50" s="80" t="s">
        <v>135</v>
      </c>
      <c r="H50" s="93">
        <v>129400677.80604801</v>
      </c>
      <c r="T50" s="6" t="s">
        <v>18</v>
      </c>
      <c r="U50" s="7">
        <v>3</v>
      </c>
      <c r="V50" s="18" t="e">
        <f>'Calculos definitivos'!#REF!+'Calculos definitivos'!#REF!+'Calculos definitivos'!#REF!+'Calculos definitivos'!#REF!+'Calculos definitivos'!#REF!+'Calculos definitivos'!#REF!+'Calculos definitivos'!#REF!</f>
        <v>#REF!</v>
      </c>
      <c r="W50" s="18" t="e">
        <f>'Calculos definitivos'!#REF!+'Calculos definitivos'!#REF!+'Calculos definitivos'!#REF!</f>
        <v>#REF!</v>
      </c>
      <c r="X50" s="18" t="e">
        <f>'Calculos definitivos'!#REF!+'Calculos definitivos'!#REF!+'Calculos definitivos'!#REF!+'Calculos definitivos'!#REF!</f>
        <v>#REF!</v>
      </c>
      <c r="Y50" s="8" t="e">
        <f>'Calculos definitivos'!#REF!</f>
        <v>#REF!</v>
      </c>
      <c r="Z50" s="1" t="e">
        <f t="shared" si="2"/>
        <v>#REF!</v>
      </c>
      <c r="AB50" s="2" t="s">
        <v>174</v>
      </c>
      <c r="AC50" s="1">
        <f>AE47-(AE46+AE48)</f>
        <v>556179.44450302888</v>
      </c>
    </row>
    <row r="51" spans="3:29" x14ac:dyDescent="0.35">
      <c r="C51" s="77">
        <f t="shared" si="1"/>
        <v>15</v>
      </c>
      <c r="D51" s="78" t="s">
        <v>67</v>
      </c>
      <c r="E51" s="96">
        <v>42636757.496370703</v>
      </c>
      <c r="F51" s="79">
        <f t="shared" si="0"/>
        <v>51</v>
      </c>
      <c r="G51" s="80" t="s">
        <v>84</v>
      </c>
      <c r="H51" s="93">
        <v>702954104.74287701</v>
      </c>
      <c r="T51" s="6" t="s">
        <v>175</v>
      </c>
      <c r="U51" s="7">
        <v>4</v>
      </c>
      <c r="V51" s="8">
        <f>AE47</f>
        <v>8249425.2769391499</v>
      </c>
      <c r="W51" s="8">
        <f>(AE46+AE48)</f>
        <v>7693245.8324361211</v>
      </c>
      <c r="X51" s="8">
        <v>22860.947705878199</v>
      </c>
      <c r="Y51" s="8">
        <v>0</v>
      </c>
      <c r="Z51" s="1">
        <f t="shared" si="2"/>
        <v>556179.44450302888</v>
      </c>
      <c r="AB51" s="2" t="s">
        <v>31</v>
      </c>
      <c r="AC51" s="1">
        <f>AE45</f>
        <v>22860.947705878199</v>
      </c>
    </row>
    <row r="52" spans="3:29" x14ac:dyDescent="0.35">
      <c r="C52" s="77">
        <f t="shared" si="1"/>
        <v>16</v>
      </c>
      <c r="D52" s="78" t="s">
        <v>152</v>
      </c>
      <c r="E52" s="96">
        <v>31015420.988060098</v>
      </c>
      <c r="F52" s="79">
        <f t="shared" si="0"/>
        <v>52</v>
      </c>
      <c r="G52" s="83" t="s">
        <v>147</v>
      </c>
      <c r="H52" s="93">
        <v>1075322765.44208</v>
      </c>
      <c r="T52" s="6" t="s">
        <v>20</v>
      </c>
      <c r="U52" s="7">
        <v>5</v>
      </c>
      <c r="V52" s="18">
        <v>70835655.238474965</v>
      </c>
      <c r="W52" s="18">
        <v>0</v>
      </c>
      <c r="X52" s="18">
        <v>42441966.024681002</v>
      </c>
      <c r="Y52" s="8">
        <v>0</v>
      </c>
      <c r="Z52" s="1">
        <f t="shared" si="2"/>
        <v>70835655.238474965</v>
      </c>
      <c r="AA52" s="1" t="e">
        <f>Y54-X50</f>
        <v>#REF!</v>
      </c>
    </row>
    <row r="53" spans="3:29" x14ac:dyDescent="0.35">
      <c r="C53" s="77">
        <f t="shared" si="1"/>
        <v>17</v>
      </c>
      <c r="D53" s="78" t="s">
        <v>130</v>
      </c>
      <c r="E53" s="96">
        <v>13739630.9267313</v>
      </c>
      <c r="F53" s="79">
        <f t="shared" si="0"/>
        <v>53</v>
      </c>
      <c r="G53" s="83" t="s">
        <v>146</v>
      </c>
      <c r="H53" s="93">
        <v>140580238.12302399</v>
      </c>
      <c r="T53" s="6" t="s">
        <v>176</v>
      </c>
      <c r="U53" s="7">
        <v>6</v>
      </c>
      <c r="V53" s="18">
        <v>1031508565.3115273</v>
      </c>
      <c r="W53" s="1">
        <v>1626035104.03386</v>
      </c>
      <c r="X53" s="18">
        <v>481171903.14252591</v>
      </c>
      <c r="Y53" s="8">
        <v>1182695634.0937357</v>
      </c>
      <c r="Z53" s="1">
        <f t="shared" si="2"/>
        <v>-594526538.72233272</v>
      </c>
      <c r="AA53" s="1" t="e">
        <f>AA52/V60</f>
        <v>#REF!</v>
      </c>
    </row>
    <row r="54" spans="3:29" x14ac:dyDescent="0.35">
      <c r="C54" s="77">
        <f t="shared" si="1"/>
        <v>18</v>
      </c>
      <c r="D54" s="78" t="s">
        <v>151</v>
      </c>
      <c r="E54" s="96">
        <v>7068505.3865936399</v>
      </c>
      <c r="F54" s="79">
        <f t="shared" si="0"/>
        <v>54</v>
      </c>
      <c r="G54" s="80" t="s">
        <v>88</v>
      </c>
      <c r="H54" s="93">
        <v>315810221.38398498</v>
      </c>
      <c r="U54" s="7" t="s">
        <v>28</v>
      </c>
      <c r="V54" s="8" t="e">
        <f>SUM(V48:V53)</f>
        <v>#REF!</v>
      </c>
      <c r="W54" s="8" t="e">
        <f>SUM(W48:W53)</f>
        <v>#REF!</v>
      </c>
      <c r="X54" s="8" t="e">
        <f>SUM(X48:X53)</f>
        <v>#REF!</v>
      </c>
      <c r="Y54" s="8" t="e">
        <f>Y53+Y50</f>
        <v>#REF!</v>
      </c>
      <c r="Z54" s="1" t="e">
        <f>SUM(Z48:Z53)</f>
        <v>#REF!</v>
      </c>
      <c r="AA54" s="1" t="e">
        <f>(X52+X50+X53)</f>
        <v>#REF!</v>
      </c>
    </row>
    <row r="55" spans="3:29" x14ac:dyDescent="0.35">
      <c r="C55" s="77">
        <f t="shared" si="1"/>
        <v>19</v>
      </c>
      <c r="D55" s="97" t="s">
        <v>131</v>
      </c>
      <c r="E55" s="98">
        <v>14641776.037941201</v>
      </c>
      <c r="F55" s="79">
        <f t="shared" si="0"/>
        <v>55</v>
      </c>
      <c r="G55" s="80" t="s">
        <v>145</v>
      </c>
      <c r="H55" s="125">
        <v>268092150.343472</v>
      </c>
      <c r="U55" s="19" t="s">
        <v>29</v>
      </c>
      <c r="V55" s="22" t="e">
        <f>V54-W54</f>
        <v>#REF!</v>
      </c>
      <c r="W55" s="22" t="s">
        <v>4</v>
      </c>
      <c r="AA55" s="1" t="e">
        <f>Y54-AA54</f>
        <v>#REF!</v>
      </c>
      <c r="AB55" s="1" t="e">
        <f>AA55/V60</f>
        <v>#REF!</v>
      </c>
    </row>
    <row r="56" spans="3:29" x14ac:dyDescent="0.35">
      <c r="C56" s="77">
        <f t="shared" si="1"/>
        <v>20</v>
      </c>
      <c r="D56" s="78" t="s">
        <v>132</v>
      </c>
      <c r="E56" s="96">
        <v>988103.19100108102</v>
      </c>
      <c r="F56" s="79">
        <f t="shared" si="0"/>
        <v>56</v>
      </c>
      <c r="G56" s="80" t="s">
        <v>87</v>
      </c>
      <c r="H56" s="93">
        <v>690339486.05754197</v>
      </c>
      <c r="U56" s="19" t="s">
        <v>31</v>
      </c>
      <c r="V56" s="22" t="e">
        <f>Y54-X54</f>
        <v>#REF!</v>
      </c>
      <c r="W56" s="22" t="s">
        <v>4</v>
      </c>
      <c r="Z56" s="1" t="s">
        <v>171</v>
      </c>
    </row>
    <row r="57" spans="3:29" x14ac:dyDescent="0.35">
      <c r="C57" s="77">
        <f t="shared" si="1"/>
        <v>21</v>
      </c>
      <c r="D57" s="78" t="s">
        <v>133</v>
      </c>
      <c r="E57" s="96">
        <v>4456247.5212533399</v>
      </c>
      <c r="F57" s="79">
        <f t="shared" si="0"/>
        <v>57</v>
      </c>
      <c r="G57" s="80" t="s">
        <v>96</v>
      </c>
      <c r="H57" s="81">
        <v>11565308.054452401</v>
      </c>
      <c r="U57" s="19" t="s">
        <v>35</v>
      </c>
      <c r="V57" s="22" t="e">
        <f>V56/3600</f>
        <v>#REF!</v>
      </c>
      <c r="W57" s="22" t="s">
        <v>5</v>
      </c>
      <c r="Z57" s="1" t="s">
        <v>177</v>
      </c>
      <c r="AA57" s="18">
        <v>707472137.67862296</v>
      </c>
    </row>
    <row r="58" spans="3:29" x14ac:dyDescent="0.35">
      <c r="C58" s="77">
        <f t="shared" si="1"/>
        <v>22</v>
      </c>
      <c r="D58" s="97" t="s">
        <v>134</v>
      </c>
      <c r="E58" s="100">
        <v>6356909.5934998896</v>
      </c>
      <c r="F58" s="79">
        <f t="shared" si="0"/>
        <v>58</v>
      </c>
      <c r="G58" s="80" t="s">
        <v>102</v>
      </c>
      <c r="H58" s="81">
        <v>11977596.634846199</v>
      </c>
      <c r="U58" s="19" t="s">
        <v>39</v>
      </c>
      <c r="V58" s="23" t="e">
        <f>V56/W54</f>
        <v>#REF!</v>
      </c>
      <c r="W58" s="22" t="e">
        <f>V58*100</f>
        <v>#REF!</v>
      </c>
      <c r="Z58" s="1" t="s">
        <v>178</v>
      </c>
      <c r="AA58" s="126" t="e">
        <f>(V56+AA57)/W54</f>
        <v>#REF!</v>
      </c>
    </row>
    <row r="59" spans="3:29" x14ac:dyDescent="0.35">
      <c r="C59" s="77">
        <f t="shared" si="1"/>
        <v>23</v>
      </c>
      <c r="D59" s="97" t="s">
        <v>136</v>
      </c>
      <c r="E59" s="98">
        <v>727132347.04304504</v>
      </c>
      <c r="F59" s="79">
        <f t="shared" si="0"/>
        <v>59</v>
      </c>
      <c r="G59" s="80" t="s">
        <v>149</v>
      </c>
      <c r="H59" s="81">
        <v>14409880.849811601</v>
      </c>
      <c r="U59" s="19" t="s">
        <v>113</v>
      </c>
      <c r="V59" s="127" t="e">
        <f>V58/BL40</f>
        <v>#REF!</v>
      </c>
      <c r="W59" s="22" t="e">
        <f>V59*100</f>
        <v>#REF!</v>
      </c>
    </row>
    <row r="60" spans="3:29" x14ac:dyDescent="0.35">
      <c r="C60" s="77">
        <f t="shared" si="1"/>
        <v>24</v>
      </c>
      <c r="D60" s="97" t="s">
        <v>148</v>
      </c>
      <c r="E60" s="98">
        <v>835859398.07709801</v>
      </c>
      <c r="F60" s="79">
        <f t="shared" si="0"/>
        <v>60</v>
      </c>
      <c r="G60" s="80" t="s">
        <v>103</v>
      </c>
      <c r="H60" s="81">
        <v>42054074.377405196</v>
      </c>
      <c r="U60" s="19" t="s">
        <v>168</v>
      </c>
      <c r="V60" s="22">
        <v>1626035104.03386</v>
      </c>
      <c r="W60" s="22" t="s">
        <v>179</v>
      </c>
    </row>
    <row r="61" spans="3:29" x14ac:dyDescent="0.35">
      <c r="C61" s="77">
        <f t="shared" si="1"/>
        <v>25</v>
      </c>
      <c r="D61" s="78" t="s">
        <v>144</v>
      </c>
      <c r="E61" s="98">
        <v>9114314.6830566302</v>
      </c>
      <c r="F61" s="79">
        <f t="shared" si="0"/>
        <v>61</v>
      </c>
      <c r="G61" s="83" t="s">
        <v>137</v>
      </c>
      <c r="H61" s="84">
        <v>404618333.637196</v>
      </c>
    </row>
    <row r="62" spans="3:29" x14ac:dyDescent="0.35">
      <c r="C62" s="77">
        <f t="shared" si="1"/>
        <v>26</v>
      </c>
      <c r="D62" s="78" t="s">
        <v>139</v>
      </c>
      <c r="E62" s="98">
        <v>74037122.811379194</v>
      </c>
      <c r="F62" s="79">
        <f t="shared" si="0"/>
        <v>62</v>
      </c>
      <c r="G62" s="101" t="s">
        <v>125</v>
      </c>
      <c r="H62" s="102">
        <v>932327.14347943501</v>
      </c>
      <c r="U62" s="8" t="s">
        <v>35</v>
      </c>
      <c r="V62" s="22">
        <v>33823.952071719999</v>
      </c>
      <c r="W62" s="8" t="s">
        <v>51</v>
      </c>
    </row>
    <row r="63" spans="3:29" x14ac:dyDescent="0.35">
      <c r="C63" s="77">
        <f t="shared" si="1"/>
        <v>27</v>
      </c>
      <c r="D63" s="78" t="s">
        <v>140</v>
      </c>
      <c r="E63" s="98">
        <v>14554586.1365129</v>
      </c>
      <c r="F63" s="79"/>
      <c r="G63" s="103"/>
      <c r="H63" s="104"/>
      <c r="U63" s="19" t="s">
        <v>180</v>
      </c>
      <c r="V63" s="22">
        <f>V62/1000</f>
        <v>33.823952071720001</v>
      </c>
      <c r="W63" s="8" t="s">
        <v>181</v>
      </c>
    </row>
    <row r="64" spans="3:29" ht="16" thickBot="1" x14ac:dyDescent="0.4">
      <c r="C64" s="77">
        <f t="shared" si="1"/>
        <v>28</v>
      </c>
      <c r="D64" s="88" t="s">
        <v>147</v>
      </c>
      <c r="E64" s="98">
        <v>1075322765.44208</v>
      </c>
      <c r="F64" s="105"/>
      <c r="G64" s="106" t="s">
        <v>154</v>
      </c>
      <c r="H64" s="107">
        <f>SUM(H37:H62)</f>
        <v>5613616336.2097569</v>
      </c>
      <c r="U64" s="8"/>
      <c r="V64" s="22">
        <f>V63*8760</f>
        <v>296297.8201482672</v>
      </c>
      <c r="W64" s="8" t="s">
        <v>182</v>
      </c>
    </row>
    <row r="65" spans="3:24" x14ac:dyDescent="0.35">
      <c r="C65" s="77">
        <f t="shared" si="1"/>
        <v>29</v>
      </c>
      <c r="D65" s="88" t="s">
        <v>146</v>
      </c>
      <c r="E65" s="108">
        <v>140580238.12302399</v>
      </c>
    </row>
    <row r="66" spans="3:24" x14ac:dyDescent="0.35">
      <c r="C66" s="77">
        <f t="shared" si="1"/>
        <v>30</v>
      </c>
      <c r="D66" s="78" t="s">
        <v>141</v>
      </c>
      <c r="E66" s="108">
        <v>1917.29652840876</v>
      </c>
      <c r="V66" s="2" t="s">
        <v>183</v>
      </c>
      <c r="W66" s="2" t="s">
        <v>184</v>
      </c>
      <c r="X66" s="1" t="s">
        <v>185</v>
      </c>
    </row>
    <row r="67" spans="3:24" x14ac:dyDescent="0.35">
      <c r="C67" s="77">
        <f t="shared" si="1"/>
        <v>31</v>
      </c>
      <c r="D67" s="78" t="s">
        <v>95</v>
      </c>
      <c r="E67" s="109">
        <v>11309152.043521799</v>
      </c>
      <c r="V67" s="2"/>
      <c r="W67" s="2" t="s">
        <v>183</v>
      </c>
      <c r="X67" s="1" t="s">
        <v>186</v>
      </c>
    </row>
    <row r="68" spans="3:24" x14ac:dyDescent="0.35">
      <c r="C68" s="77">
        <f t="shared" si="1"/>
        <v>32</v>
      </c>
      <c r="D68" s="78" t="s">
        <v>97</v>
      </c>
      <c r="E68" s="109">
        <v>11191770.521398099</v>
      </c>
      <c r="W68" s="1">
        <f>365*24</f>
        <v>8760</v>
      </c>
      <c r="X68" s="1" t="s">
        <v>187</v>
      </c>
    </row>
    <row r="69" spans="3:24" x14ac:dyDescent="0.35">
      <c r="C69" s="77">
        <f t="shared" si="1"/>
        <v>33</v>
      </c>
      <c r="D69" s="78" t="s">
        <v>150</v>
      </c>
      <c r="E69" s="109">
        <v>2491937.0932948799</v>
      </c>
    </row>
    <row r="70" spans="3:24" x14ac:dyDescent="0.35">
      <c r="C70" s="77">
        <f t="shared" si="1"/>
        <v>34</v>
      </c>
      <c r="D70" s="97" t="s">
        <v>138</v>
      </c>
      <c r="E70" s="108">
        <v>3597073.350019</v>
      </c>
    </row>
    <row r="71" spans="3:24" x14ac:dyDescent="0.35">
      <c r="C71" s="77">
        <f t="shared" si="1"/>
        <v>35</v>
      </c>
      <c r="D71" s="78" t="s">
        <v>143</v>
      </c>
      <c r="E71" s="116">
        <v>-7868147.4680132195</v>
      </c>
    </row>
    <row r="72" spans="3:24" x14ac:dyDescent="0.35">
      <c r="C72" s="77">
        <f t="shared" si="1"/>
        <v>36</v>
      </c>
      <c r="D72" s="78" t="s">
        <v>142</v>
      </c>
      <c r="E72" s="116">
        <v>-12745314.0720657</v>
      </c>
      <c r="G72" s="260" t="s">
        <v>188</v>
      </c>
      <c r="H72" s="260"/>
      <c r="I72" s="260"/>
    </row>
    <row r="73" spans="3:24" x14ac:dyDescent="0.35">
      <c r="C73" s="77"/>
      <c r="D73" s="117"/>
      <c r="E73" s="103"/>
    </row>
    <row r="74" spans="3:24" ht="16" thickBot="1" x14ac:dyDescent="0.4">
      <c r="C74" s="118"/>
      <c r="D74" s="119" t="s">
        <v>28</v>
      </c>
      <c r="E74" s="120">
        <f>SUM(E37:E72)</f>
        <v>3645855325.8058281</v>
      </c>
    </row>
    <row r="75" spans="3:24" x14ac:dyDescent="0.35">
      <c r="F75" s="10">
        <v>17</v>
      </c>
      <c r="G75" s="3" t="s">
        <v>25</v>
      </c>
      <c r="H75" s="15" t="s">
        <v>125</v>
      </c>
      <c r="I75" s="128">
        <v>932327.14347943501</v>
      </c>
      <c r="J75" s="10">
        <v>62</v>
      </c>
    </row>
    <row r="76" spans="3:24" x14ac:dyDescent="0.35">
      <c r="F76" s="10">
        <v>18</v>
      </c>
      <c r="G76" s="3" t="s">
        <v>21</v>
      </c>
      <c r="H76" s="15" t="s">
        <v>126</v>
      </c>
      <c r="I76" s="129">
        <v>249713.45480690699</v>
      </c>
      <c r="J76" s="10">
        <v>4</v>
      </c>
    </row>
    <row r="77" spans="3:24" x14ac:dyDescent="0.35">
      <c r="F77" s="10">
        <v>19</v>
      </c>
      <c r="G77" s="160" t="s">
        <v>9</v>
      </c>
      <c r="H77" s="15" t="s">
        <v>124</v>
      </c>
      <c r="I77" s="129">
        <v>27849.109738131501</v>
      </c>
      <c r="J77" s="10">
        <v>3</v>
      </c>
    </row>
    <row r="78" spans="3:24" x14ac:dyDescent="0.35">
      <c r="F78" s="10"/>
      <c r="G78" s="40"/>
    </row>
    <row r="79" spans="3:24" x14ac:dyDescent="0.35">
      <c r="F79" s="10">
        <v>20</v>
      </c>
      <c r="G79" s="3" t="s">
        <v>25</v>
      </c>
      <c r="H79" s="10" t="s">
        <v>123</v>
      </c>
      <c r="I79" s="10">
        <v>443208.12765810703</v>
      </c>
      <c r="J79" s="10">
        <v>39</v>
      </c>
    </row>
    <row r="80" spans="3:24" x14ac:dyDescent="0.35">
      <c r="F80" s="10">
        <v>21</v>
      </c>
      <c r="G80" s="3" t="s">
        <v>21</v>
      </c>
      <c r="H80" s="10" t="s">
        <v>22</v>
      </c>
      <c r="I80" s="10">
        <v>1608650.4245611301</v>
      </c>
      <c r="J80" s="10">
        <v>6</v>
      </c>
    </row>
    <row r="81" spans="7:7" x14ac:dyDescent="0.35">
      <c r="G81" s="40"/>
    </row>
  </sheetData>
  <mergeCells count="22">
    <mergeCell ref="T46:T47"/>
    <mergeCell ref="AS26:AT27"/>
    <mergeCell ref="BI34:BI35"/>
    <mergeCell ref="AS20:AS21"/>
    <mergeCell ref="BB34:BB35"/>
    <mergeCell ref="AS34:AS35"/>
    <mergeCell ref="AS37:AS38"/>
    <mergeCell ref="BA35:BA36"/>
    <mergeCell ref="AT20:AT21"/>
    <mergeCell ref="AX16:AY16"/>
    <mergeCell ref="BA16:BB16"/>
    <mergeCell ref="BD16:BE16"/>
    <mergeCell ref="AY30:AY31"/>
    <mergeCell ref="V2:Z2"/>
    <mergeCell ref="AB30:AD30"/>
    <mergeCell ref="AR16:AS16"/>
    <mergeCell ref="AU16:AV16"/>
    <mergeCell ref="D34:H34"/>
    <mergeCell ref="J36:L36"/>
    <mergeCell ref="O38:P38"/>
    <mergeCell ref="M43:O43"/>
    <mergeCell ref="G72:I72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CE1A-9E2A-4124-93BF-B4E4EE80F178}">
  <dimension ref="B8:AB82"/>
  <sheetViews>
    <sheetView topLeftCell="C47" zoomScale="55" zoomScaleNormal="55" workbookViewId="0">
      <selection activeCell="A48" sqref="A48"/>
    </sheetView>
  </sheetViews>
  <sheetFormatPr baseColWidth="10" defaultColWidth="11.54296875" defaultRowHeight="15.5" x14ac:dyDescent="0.35"/>
  <cols>
    <col min="1" max="1" width="11.54296875" style="1"/>
    <col min="2" max="2" width="19.7265625" style="1" bestFit="1" customWidth="1"/>
    <col min="3" max="3" width="15" style="1" bestFit="1" customWidth="1"/>
    <col min="4" max="4" width="17.26953125" style="1" bestFit="1" customWidth="1"/>
    <col min="5" max="5" width="21.54296875" style="1" bestFit="1" customWidth="1"/>
    <col min="6" max="7" width="15" style="1" bestFit="1" customWidth="1"/>
    <col min="8" max="8" width="15.7265625" style="1" bestFit="1" customWidth="1"/>
    <col min="9" max="10" width="15" style="1" bestFit="1" customWidth="1"/>
    <col min="11" max="11" width="19.7265625" style="1" bestFit="1" customWidth="1"/>
    <col min="12" max="12" width="17.26953125" style="1" bestFit="1" customWidth="1"/>
    <col min="13" max="13" width="18.7265625" style="1" bestFit="1" customWidth="1"/>
    <col min="14" max="14" width="28.26953125" style="1" bestFit="1" customWidth="1"/>
    <col min="15" max="15" width="13.7265625" style="1" bestFit="1" customWidth="1"/>
    <col min="16" max="16" width="16.453125" style="1" bestFit="1" customWidth="1"/>
    <col min="17" max="18" width="15" style="1" bestFit="1" customWidth="1"/>
    <col min="19" max="20" width="12.26953125" style="1" bestFit="1" customWidth="1"/>
    <col min="21" max="21" width="16.7265625" style="1" bestFit="1" customWidth="1"/>
    <col min="22" max="22" width="22.54296875" style="1" bestFit="1" customWidth="1"/>
    <col min="23" max="23" width="15.7265625" style="1" bestFit="1" customWidth="1"/>
    <col min="24" max="24" width="16.54296875" style="1" bestFit="1" customWidth="1"/>
    <col min="25" max="25" width="15" style="1" bestFit="1" customWidth="1"/>
    <col min="26" max="27" width="11.7265625" style="1" bestFit="1" customWidth="1"/>
    <col min="28" max="28" width="15" style="1" bestFit="1" customWidth="1"/>
    <col min="29" max="29" width="11.54296875" style="1"/>
    <col min="30" max="30" width="14.81640625" style="1" bestFit="1" customWidth="1"/>
    <col min="31" max="16384" width="11.54296875" style="1"/>
  </cols>
  <sheetData>
    <row r="8" spans="3:28" x14ac:dyDescent="0.35">
      <c r="D8" s="274" t="s">
        <v>6</v>
      </c>
      <c r="E8" s="274"/>
      <c r="F8" s="274"/>
      <c r="N8" s="241" t="s">
        <v>3</v>
      </c>
      <c r="O8" s="275" t="s">
        <v>4</v>
      </c>
      <c r="P8" s="276"/>
      <c r="Q8" s="276"/>
      <c r="R8" s="276"/>
      <c r="S8" s="277"/>
      <c r="T8" s="230" t="s">
        <v>5</v>
      </c>
      <c r="U8" s="230"/>
      <c r="V8" s="230"/>
      <c r="W8" s="230"/>
      <c r="X8" s="230"/>
    </row>
    <row r="9" spans="3:28" x14ac:dyDescent="0.35">
      <c r="N9" s="242"/>
      <c r="O9" s="4"/>
      <c r="P9" s="4" t="s">
        <v>7</v>
      </c>
      <c r="Q9" s="4" t="s">
        <v>8</v>
      </c>
      <c r="R9" s="4" t="s">
        <v>9</v>
      </c>
      <c r="S9" s="4" t="s">
        <v>10</v>
      </c>
      <c r="T9" s="5" t="s">
        <v>7</v>
      </c>
      <c r="U9" s="5" t="s">
        <v>8</v>
      </c>
      <c r="V9" s="5" t="s">
        <v>9</v>
      </c>
      <c r="W9" s="5" t="s">
        <v>10</v>
      </c>
      <c r="X9" s="5" t="s">
        <v>11</v>
      </c>
    </row>
    <row r="10" spans="3:28" x14ac:dyDescent="0.35">
      <c r="N10" s="6" t="s">
        <v>12</v>
      </c>
      <c r="O10" s="7">
        <v>1</v>
      </c>
      <c r="P10" s="8">
        <f>E16+F19</f>
        <v>66754700.019650996</v>
      </c>
      <c r="Q10" s="50">
        <f>E12+E15</f>
        <v>72598580.670439377</v>
      </c>
      <c r="R10" s="50">
        <f>E11</f>
        <v>1949942.2735939701</v>
      </c>
      <c r="S10" s="9">
        <v>0</v>
      </c>
      <c r="T10" s="10">
        <f t="shared" ref="T10:W15" si="0">P10/3600</f>
        <v>18542.972227680832</v>
      </c>
      <c r="U10" s="10">
        <f t="shared" si="0"/>
        <v>20166.272408455381</v>
      </c>
      <c r="V10" s="11">
        <f t="shared" si="0"/>
        <v>541.65063155388054</v>
      </c>
      <c r="W10" s="11">
        <f t="shared" si="0"/>
        <v>0</v>
      </c>
      <c r="X10" s="12">
        <f t="shared" ref="X10:X15" si="1">W10-V10</f>
        <v>-541.65063155388054</v>
      </c>
      <c r="Y10" s="13">
        <f>+X10/$Z$10</f>
        <v>3.1374074020104883E-3</v>
      </c>
      <c r="Z10" s="14">
        <f>+SUM(X10:X14)</f>
        <v>-172642.74674904646</v>
      </c>
      <c r="AB10" s="1">
        <v>0.99412999999999996</v>
      </c>
    </row>
    <row r="11" spans="3:28" x14ac:dyDescent="0.35">
      <c r="C11" s="10" t="s">
        <v>13</v>
      </c>
      <c r="D11" s="15" t="s">
        <v>14</v>
      </c>
      <c r="E11" s="16">
        <v>1949942.2735939701</v>
      </c>
      <c r="F11" s="10" t="s">
        <v>15</v>
      </c>
      <c r="T11" s="10">
        <f t="shared" si="0"/>
        <v>0</v>
      </c>
      <c r="U11" s="10">
        <f t="shared" si="0"/>
        <v>0</v>
      </c>
      <c r="V11" s="11">
        <f t="shared" si="0"/>
        <v>0</v>
      </c>
      <c r="W11" s="11">
        <f t="shared" si="0"/>
        <v>0</v>
      </c>
      <c r="X11" s="11">
        <f t="shared" si="1"/>
        <v>0</v>
      </c>
      <c r="Y11" s="13">
        <f>+X11/$Z$10</f>
        <v>0</v>
      </c>
    </row>
    <row r="12" spans="3:28" x14ac:dyDescent="0.35">
      <c r="C12" s="10" t="s">
        <v>8</v>
      </c>
      <c r="D12" s="15" t="s">
        <v>16</v>
      </c>
      <c r="E12" s="16">
        <v>1303605.65094848</v>
      </c>
      <c r="F12" s="10" t="s">
        <v>17</v>
      </c>
      <c r="N12" s="6" t="s">
        <v>18</v>
      </c>
      <c r="O12" s="7">
        <v>2</v>
      </c>
      <c r="P12" s="10">
        <f>C44</f>
        <v>38790142057.55806</v>
      </c>
      <c r="Q12" s="10">
        <f>C43</f>
        <v>38296138116.397003</v>
      </c>
      <c r="R12" s="11">
        <f>C45</f>
        <v>328450896.43871599</v>
      </c>
      <c r="S12" s="17">
        <f>C46</f>
        <v>0</v>
      </c>
      <c r="T12" s="10">
        <f t="shared" si="0"/>
        <v>10775039.460432794</v>
      </c>
      <c r="U12" s="10">
        <f t="shared" si="0"/>
        <v>10637816.143443612</v>
      </c>
      <c r="V12" s="11">
        <f t="shared" si="0"/>
        <v>91236.360121865553</v>
      </c>
      <c r="W12" s="11">
        <f t="shared" si="0"/>
        <v>0</v>
      </c>
      <c r="X12" s="12">
        <f t="shared" si="1"/>
        <v>-91236.360121865553</v>
      </c>
      <c r="Y12" s="13">
        <f>+X12/$Z$10</f>
        <v>0.52846911810599695</v>
      </c>
      <c r="AB12" s="1">
        <v>4429.6049701883103</v>
      </c>
    </row>
    <row r="13" spans="3:28" x14ac:dyDescent="0.35">
      <c r="T13" s="10">
        <f t="shared" si="0"/>
        <v>0</v>
      </c>
      <c r="U13" s="10">
        <f t="shared" si="0"/>
        <v>0</v>
      </c>
      <c r="V13" s="11">
        <f t="shared" si="0"/>
        <v>0</v>
      </c>
      <c r="W13" s="11">
        <f t="shared" si="0"/>
        <v>0</v>
      </c>
      <c r="X13" s="11">
        <f t="shared" si="1"/>
        <v>0</v>
      </c>
      <c r="Y13" s="13">
        <f>+X13/$Z$10</f>
        <v>0</v>
      </c>
      <c r="AB13" s="1">
        <f>AB12/1000</f>
        <v>4.4296049701883105</v>
      </c>
    </row>
    <row r="14" spans="3:28" x14ac:dyDescent="0.35">
      <c r="D14" s="252" t="s">
        <v>19</v>
      </c>
      <c r="E14" s="252"/>
      <c r="F14" s="252"/>
      <c r="N14" s="6" t="s">
        <v>20</v>
      </c>
      <c r="O14" s="7">
        <v>3</v>
      </c>
      <c r="P14" s="18">
        <f>F71</f>
        <v>243448719.37834302</v>
      </c>
      <c r="Q14" s="18"/>
      <c r="R14" s="51">
        <f>C72</f>
        <v>291113049.5842573</v>
      </c>
      <c r="S14" s="9">
        <v>0</v>
      </c>
      <c r="T14" s="10">
        <f t="shared" si="0"/>
        <v>67624.64427176195</v>
      </c>
      <c r="U14" s="10">
        <f t="shared" si="0"/>
        <v>0</v>
      </c>
      <c r="V14" s="11">
        <f t="shared" si="0"/>
        <v>80864.735995627023</v>
      </c>
      <c r="W14" s="11">
        <f t="shared" si="0"/>
        <v>0</v>
      </c>
      <c r="X14" s="12">
        <f t="shared" si="1"/>
        <v>-80864.735995627023</v>
      </c>
      <c r="Y14" s="13">
        <f>+X14/$Z$10</f>
        <v>0.46839347449199253</v>
      </c>
      <c r="AB14" s="1">
        <f>X14/AB13</f>
        <v>-18255.518616186968</v>
      </c>
    </row>
    <row r="15" spans="3:28" x14ac:dyDescent="0.35">
      <c r="C15" s="10" t="s">
        <v>21</v>
      </c>
      <c r="D15" s="15" t="s">
        <v>22</v>
      </c>
      <c r="E15" s="16">
        <v>71294975.019490898</v>
      </c>
      <c r="F15" s="19" t="s">
        <v>23</v>
      </c>
      <c r="N15" s="6" t="s">
        <v>24</v>
      </c>
      <c r="O15" s="7">
        <v>4</v>
      </c>
      <c r="P15" s="18">
        <f>L52</f>
        <v>1653752858.6563144</v>
      </c>
      <c r="Q15" s="1">
        <f>F61</f>
        <v>3003646380.3631244</v>
      </c>
      <c r="R15" s="51">
        <f>C60</f>
        <v>137731958.57942468</v>
      </c>
      <c r="S15" s="9">
        <f>C59</f>
        <v>1753577008.6744251</v>
      </c>
      <c r="T15" s="10">
        <f t="shared" si="0"/>
        <v>459375.79407119844</v>
      </c>
      <c r="U15" s="10">
        <f t="shared" si="0"/>
        <v>834346.2167675345</v>
      </c>
      <c r="V15" s="11">
        <f t="shared" si="0"/>
        <v>38258.877383173523</v>
      </c>
      <c r="W15" s="11">
        <f t="shared" si="0"/>
        <v>487104.72463178477</v>
      </c>
      <c r="X15" s="20">
        <f t="shared" si="1"/>
        <v>448845.84724861127</v>
      </c>
      <c r="Z15" s="1">
        <f>X12/X15</f>
        <v>-0.20326880750069776</v>
      </c>
      <c r="AB15" s="1">
        <f>AB14/1000</f>
        <v>-18.255518616186968</v>
      </c>
    </row>
    <row r="16" spans="3:28" x14ac:dyDescent="0.35">
      <c r="C16" s="10" t="s">
        <v>25</v>
      </c>
      <c r="D16" s="15" t="s">
        <v>26</v>
      </c>
      <c r="E16" s="16">
        <v>12001687.5782787</v>
      </c>
      <c r="F16" s="19" t="s">
        <v>27</v>
      </c>
      <c r="O16" s="7" t="s">
        <v>28</v>
      </c>
      <c r="P16" s="8">
        <f>SUM(P10:P15)</f>
        <v>40754098335.612366</v>
      </c>
      <c r="Q16" s="8">
        <f>SUM(Q10:Q15)</f>
        <v>41372383077.430565</v>
      </c>
      <c r="R16" s="8">
        <f>SUM(R10:R15)</f>
        <v>759245846.87599182</v>
      </c>
      <c r="S16" s="8">
        <f>SUM(S10:S15)</f>
        <v>1753577008.6744251</v>
      </c>
      <c r="X16" s="21">
        <f>SUM(X10:X15)</f>
        <v>276203.10049956478</v>
      </c>
      <c r="Y16" s="1" t="s">
        <v>5</v>
      </c>
      <c r="AB16" s="1">
        <f>AB15/1000</f>
        <v>-1.8255518616186968E-2</v>
      </c>
    </row>
    <row r="17" spans="2:28" x14ac:dyDescent="0.35">
      <c r="O17" s="19" t="s">
        <v>29</v>
      </c>
      <c r="P17" s="22">
        <f>P16-Q16</f>
        <v>-618284741.81819916</v>
      </c>
      <c r="Q17" s="22" t="s">
        <v>4</v>
      </c>
      <c r="X17" s="1">
        <f>X14/X15</f>
        <v>-0.18016148860755049</v>
      </c>
    </row>
    <row r="18" spans="2:28" x14ac:dyDescent="0.35">
      <c r="E18" s="249" t="s">
        <v>30</v>
      </c>
      <c r="F18" s="250"/>
      <c r="O18" s="19" t="s">
        <v>31</v>
      </c>
      <c r="P18" s="22">
        <f>S16-R16</f>
        <v>994331161.7984333</v>
      </c>
      <c r="Q18" s="22" t="s">
        <v>4</v>
      </c>
      <c r="X18" s="2" t="s">
        <v>32</v>
      </c>
      <c r="Y18" s="1">
        <v>1029479.74304561</v>
      </c>
      <c r="Z18" s="1" t="s">
        <v>33</v>
      </c>
    </row>
    <row r="19" spans="2:28" x14ac:dyDescent="0.35">
      <c r="D19" s="10" t="s">
        <v>25</v>
      </c>
      <c r="E19" s="15" t="s">
        <v>34</v>
      </c>
      <c r="F19" s="16">
        <v>54753012.441372298</v>
      </c>
      <c r="O19" s="19" t="s">
        <v>35</v>
      </c>
      <c r="P19" s="22">
        <f>P18/3600</f>
        <v>276203.10049956478</v>
      </c>
      <c r="Q19" s="22" t="s">
        <v>5</v>
      </c>
      <c r="R19" s="10">
        <f>P19/1000</f>
        <v>276.20310049956475</v>
      </c>
      <c r="S19" s="10" t="s">
        <v>36</v>
      </c>
      <c r="V19" s="1" t="s">
        <v>37</v>
      </c>
      <c r="X19" s="2" t="s">
        <v>38</v>
      </c>
      <c r="Y19" s="1">
        <v>237822.033807189</v>
      </c>
      <c r="AA19" s="1">
        <v>248060.220472313</v>
      </c>
    </row>
    <row r="20" spans="2:28" x14ac:dyDescent="0.35">
      <c r="O20" s="19" t="s">
        <v>39</v>
      </c>
      <c r="P20" s="127">
        <f>P18/Q15</f>
        <v>0.33104135303644638</v>
      </c>
      <c r="Q20" s="22">
        <f>P20*100</f>
        <v>33.10413530364464</v>
      </c>
      <c r="U20" s="1" t="s">
        <v>40</v>
      </c>
      <c r="V20" s="1">
        <v>0.98499999999999999</v>
      </c>
      <c r="Y20" s="30">
        <f>Y19/Y18</f>
        <v>0.2310118634327053</v>
      </c>
    </row>
    <row r="21" spans="2:28" x14ac:dyDescent="0.35">
      <c r="C21" s="25" t="s">
        <v>41</v>
      </c>
      <c r="D21" s="15" t="s">
        <v>26</v>
      </c>
      <c r="E21" s="15" t="s">
        <v>42</v>
      </c>
      <c r="F21" s="15" t="s">
        <v>34</v>
      </c>
      <c r="G21" s="15" t="s">
        <v>14</v>
      </c>
      <c r="H21" s="15" t="s">
        <v>16</v>
      </c>
      <c r="U21" s="1" t="s">
        <v>43</v>
      </c>
      <c r="V21" s="52">
        <f>X16*V20</f>
        <v>272060.05399207131</v>
      </c>
      <c r="W21" s="1" t="s">
        <v>5</v>
      </c>
      <c r="Y21" s="1">
        <f>R12/Y19</f>
        <v>1381.0784946234339</v>
      </c>
      <c r="Z21" s="1" t="s">
        <v>45</v>
      </c>
    </row>
    <row r="22" spans="2:28" x14ac:dyDescent="0.35">
      <c r="B22" s="16" t="s">
        <v>46</v>
      </c>
      <c r="C22" s="25" t="s">
        <v>4</v>
      </c>
      <c r="D22" s="16">
        <v>12001687.5782787</v>
      </c>
      <c r="E22" s="16">
        <v>71294975.019490898</v>
      </c>
      <c r="F22" s="16">
        <v>54753012.441372298</v>
      </c>
      <c r="G22" s="16">
        <v>1949942.2735939701</v>
      </c>
      <c r="H22" s="16">
        <v>1303605.65094848</v>
      </c>
      <c r="V22" s="1">
        <f>V21/1000</f>
        <v>272.06005399207129</v>
      </c>
      <c r="W22" s="1" t="s">
        <v>36</v>
      </c>
      <c r="Y22" s="1">
        <v>237822.032317454</v>
      </c>
      <c r="Z22" s="1" t="s">
        <v>33</v>
      </c>
      <c r="AA22" s="1">
        <f>Y22/1000</f>
        <v>237.82203231745399</v>
      </c>
    </row>
    <row r="23" spans="2:28" ht="16" thickBot="1" x14ac:dyDescent="0.4">
      <c r="W23" s="1" t="s">
        <v>48</v>
      </c>
      <c r="Y23" s="14">
        <f>-X12</f>
        <v>91236.360121865553</v>
      </c>
      <c r="Z23" s="1" t="s">
        <v>5</v>
      </c>
      <c r="AB23" s="1">
        <f>Y23/AA22</f>
        <v>383.63291757628139</v>
      </c>
    </row>
    <row r="24" spans="2:28" x14ac:dyDescent="0.35">
      <c r="B24" s="167"/>
      <c r="C24" s="171" t="s">
        <v>41</v>
      </c>
      <c r="D24" s="172" t="s">
        <v>26</v>
      </c>
      <c r="E24" s="172" t="s">
        <v>42</v>
      </c>
      <c r="F24" s="172" t="s">
        <v>34</v>
      </c>
      <c r="G24" s="172" t="s">
        <v>14</v>
      </c>
      <c r="H24" s="172" t="s">
        <v>16</v>
      </c>
      <c r="I24" s="173"/>
      <c r="J24" s="173"/>
      <c r="K24" s="168"/>
      <c r="N24" s="1" t="s">
        <v>47</v>
      </c>
      <c r="U24" s="1" t="s">
        <v>49</v>
      </c>
      <c r="W24" s="1">
        <v>8760</v>
      </c>
      <c r="Y24" s="53">
        <f>+Y22/Y23</f>
        <v>2.6066584857154771</v>
      </c>
      <c r="Z24" s="1" t="s">
        <v>50</v>
      </c>
      <c r="AA24" s="1">
        <f>Y23/Y22</f>
        <v>0.38363291757628137</v>
      </c>
    </row>
    <row r="25" spans="2:28" x14ac:dyDescent="0.35">
      <c r="B25" s="174"/>
      <c r="K25" s="175"/>
      <c r="V25" s="30">
        <f>V21*W24</f>
        <v>2383246072.9705448</v>
      </c>
      <c r="W25" s="1" t="s">
        <v>51</v>
      </c>
    </row>
    <row r="26" spans="2:28" x14ac:dyDescent="0.35">
      <c r="B26" s="176" t="s">
        <v>46</v>
      </c>
      <c r="C26" s="27" t="s">
        <v>4</v>
      </c>
      <c r="D26" s="31">
        <v>12001687.5782787</v>
      </c>
      <c r="E26" s="31">
        <v>71294975.019490898</v>
      </c>
      <c r="F26" s="31">
        <v>54753012.441372298</v>
      </c>
      <c r="G26" s="31">
        <v>1949942.2735939701</v>
      </c>
      <c r="H26" s="31">
        <v>1303605.65094848</v>
      </c>
      <c r="K26" s="175"/>
      <c r="U26" s="1">
        <v>-213916.45314843368</v>
      </c>
      <c r="W26" s="14">
        <f>X10</f>
        <v>-541.65063155388054</v>
      </c>
      <c r="X26" s="14">
        <f>W26</f>
        <v>-541.65063155388054</v>
      </c>
      <c r="Y26" s="1">
        <v>1.67</v>
      </c>
      <c r="Z26" s="32">
        <f>Y26/$Y$24</f>
        <v>0.64066697235238979</v>
      </c>
      <c r="AA26" s="33">
        <f>1-Z26</f>
        <v>0.35933302764761021</v>
      </c>
    </row>
    <row r="27" spans="2:28" x14ac:dyDescent="0.35">
      <c r="B27" s="174"/>
      <c r="K27" s="175"/>
      <c r="W27" s="14">
        <f>X11</f>
        <v>0</v>
      </c>
      <c r="X27" s="14">
        <f>W27</f>
        <v>0</v>
      </c>
      <c r="Y27" s="1">
        <v>2.5</v>
      </c>
      <c r="Z27" s="32">
        <f>Y27/$Y$24</f>
        <v>0.95908229394070343</v>
      </c>
      <c r="AA27" s="33">
        <f>1-Z27</f>
        <v>4.0917706059296566E-2</v>
      </c>
    </row>
    <row r="28" spans="2:28" x14ac:dyDescent="0.35">
      <c r="B28" s="177" t="s">
        <v>63</v>
      </c>
      <c r="C28" s="28" t="s">
        <v>59</v>
      </c>
      <c r="D28" s="28" t="s">
        <v>56</v>
      </c>
      <c r="E28" s="28" t="s">
        <v>68</v>
      </c>
      <c r="F28" s="28" t="s">
        <v>70</v>
      </c>
      <c r="G28" s="28" t="s">
        <v>66</v>
      </c>
      <c r="H28" s="28" t="s">
        <v>64</v>
      </c>
      <c r="I28" s="28" t="s">
        <v>65</v>
      </c>
      <c r="J28" s="28" t="s">
        <v>67</v>
      </c>
      <c r="K28" s="178" t="s">
        <v>69</v>
      </c>
      <c r="W28" s="14">
        <f>U26*Z26</f>
        <v>-137049.20637496884</v>
      </c>
      <c r="X28" s="14">
        <f>U26*Z27</f>
        <v>-205163.48259725879</v>
      </c>
    </row>
    <row r="29" spans="2:28" x14ac:dyDescent="0.35">
      <c r="B29" s="174"/>
      <c r="K29" s="175"/>
      <c r="W29" s="14">
        <f>X13</f>
        <v>0</v>
      </c>
      <c r="X29" s="14">
        <f>W29</f>
        <v>0</v>
      </c>
      <c r="AB29" s="1">
        <v>2.8730000000000002</v>
      </c>
    </row>
    <row r="30" spans="2:28" x14ac:dyDescent="0.35">
      <c r="B30" s="176">
        <v>5102882.6316352598</v>
      </c>
      <c r="C30" s="31">
        <v>221495362.62818301</v>
      </c>
      <c r="D30" s="31">
        <v>234956511.44766599</v>
      </c>
      <c r="E30" s="31">
        <v>106955533.810533</v>
      </c>
      <c r="F30" s="31">
        <v>109192879.163745</v>
      </c>
      <c r="G30" s="31">
        <v>4162628.0452337801</v>
      </c>
      <c r="H30" s="31">
        <v>104482629.02086601</v>
      </c>
      <c r="I30" s="31">
        <v>38336005964.624901</v>
      </c>
      <c r="J30" s="31">
        <v>38296138116.397003</v>
      </c>
      <c r="K30" s="179">
        <v>1341445.2556465699</v>
      </c>
      <c r="W30" s="14">
        <f>X14</f>
        <v>-80864.735995627023</v>
      </c>
      <c r="X30" s="14">
        <f>W30</f>
        <v>-80864.735995627023</v>
      </c>
      <c r="AB30" s="1">
        <f>AB29*2</f>
        <v>5.7460000000000004</v>
      </c>
    </row>
    <row r="31" spans="2:28" ht="16" thickBot="1" x14ac:dyDescent="0.4">
      <c r="B31" s="169"/>
      <c r="C31" s="180"/>
      <c r="D31" s="180"/>
      <c r="E31" s="180"/>
      <c r="F31" s="180"/>
      <c r="G31" s="180"/>
      <c r="H31" s="180"/>
      <c r="I31" s="180"/>
      <c r="J31" s="180"/>
      <c r="K31" s="170"/>
      <c r="W31" s="14">
        <f>X15</f>
        <v>448845.84724861127</v>
      </c>
      <c r="X31" s="14">
        <f>W31</f>
        <v>448845.84724861127</v>
      </c>
    </row>
    <row r="32" spans="2:28" x14ac:dyDescent="0.35">
      <c r="U32" s="1" t="s">
        <v>52</v>
      </c>
      <c r="V32" s="1">
        <f>F62</f>
        <v>834346.2167675345</v>
      </c>
      <c r="W32" s="34">
        <f>SUM(W26:W31)</f>
        <v>230390.25424646155</v>
      </c>
      <c r="X32" s="35">
        <f>SUM(X26:X31)</f>
        <v>162275.97802417161</v>
      </c>
    </row>
    <row r="34" spans="2:28" x14ac:dyDescent="0.35">
      <c r="T34" s="1" t="s">
        <v>53</v>
      </c>
      <c r="U34" s="1" t="s">
        <v>54</v>
      </c>
      <c r="V34" s="13">
        <f>X16/V32</f>
        <v>0.33104135303644633</v>
      </c>
      <c r="X34" s="10" t="s">
        <v>55</v>
      </c>
      <c r="Y34" s="11">
        <v>67896.760268964106</v>
      </c>
      <c r="Z34" s="1" t="s">
        <v>33</v>
      </c>
    </row>
    <row r="35" spans="2:28" x14ac:dyDescent="0.35">
      <c r="B35" s="10">
        <v>1</v>
      </c>
      <c r="C35" s="19" t="s">
        <v>25</v>
      </c>
      <c r="D35" s="8">
        <v>41</v>
      </c>
      <c r="E35" s="8" t="s">
        <v>56</v>
      </c>
      <c r="F35" s="31">
        <v>234956511.44766599</v>
      </c>
      <c r="H35" s="10">
        <v>8</v>
      </c>
      <c r="I35" s="19" t="s">
        <v>9</v>
      </c>
      <c r="J35" s="8">
        <v>12</v>
      </c>
      <c r="K35" s="8" t="s">
        <v>57</v>
      </c>
      <c r="L35" s="16">
        <v>0</v>
      </c>
      <c r="U35" s="1" t="s">
        <v>58</v>
      </c>
      <c r="V35" s="36">
        <f>W32/V32</f>
        <v>0.27613267683893972</v>
      </c>
      <c r="X35" s="10" t="s">
        <v>38</v>
      </c>
      <c r="Y35" s="11">
        <v>246603.75933469599</v>
      </c>
      <c r="Z35" s="1" t="s">
        <v>33</v>
      </c>
    </row>
    <row r="36" spans="2:28" x14ac:dyDescent="0.35">
      <c r="B36" s="10">
        <v>2</v>
      </c>
      <c r="C36" s="19" t="s">
        <v>9</v>
      </c>
      <c r="D36" s="8">
        <v>10</v>
      </c>
      <c r="E36" s="8" t="s">
        <v>59</v>
      </c>
      <c r="F36" s="31">
        <v>221495362.62818301</v>
      </c>
      <c r="H36" s="10">
        <v>9</v>
      </c>
      <c r="I36" s="19" t="s">
        <v>25</v>
      </c>
      <c r="J36" s="8">
        <v>45</v>
      </c>
      <c r="K36" s="8" t="s">
        <v>60</v>
      </c>
      <c r="L36" s="16">
        <v>0</v>
      </c>
      <c r="U36" s="1" t="s">
        <v>61</v>
      </c>
      <c r="V36" s="37">
        <f>X32/V32</f>
        <v>0.19449477298868717</v>
      </c>
      <c r="Y36" s="1">
        <f>Y35/Y34</f>
        <v>3.6320401497480521</v>
      </c>
      <c r="Z36" s="247" t="s">
        <v>62</v>
      </c>
      <c r="AA36" s="247"/>
      <c r="AB36" s="247"/>
    </row>
    <row r="37" spans="2:28" x14ac:dyDescent="0.35">
      <c r="B37" s="10">
        <v>3</v>
      </c>
      <c r="C37" s="19" t="s">
        <v>10</v>
      </c>
      <c r="D37" s="8">
        <v>42</v>
      </c>
      <c r="E37" s="8" t="s">
        <v>63</v>
      </c>
      <c r="F37" s="38"/>
      <c r="G37" s="31">
        <v>4834309.8615491996</v>
      </c>
      <c r="H37" s="10">
        <v>10</v>
      </c>
      <c r="I37" s="19" t="s">
        <v>25</v>
      </c>
      <c r="J37" s="2">
        <v>46</v>
      </c>
      <c r="K37" s="39" t="s">
        <v>64</v>
      </c>
      <c r="L37" s="31">
        <v>104482629.02086601</v>
      </c>
    </row>
    <row r="38" spans="2:28" x14ac:dyDescent="0.35">
      <c r="B38" s="10">
        <v>4</v>
      </c>
      <c r="C38" s="19" t="s">
        <v>9</v>
      </c>
      <c r="D38" s="8">
        <v>11</v>
      </c>
      <c r="E38" s="8" t="s">
        <v>63</v>
      </c>
      <c r="F38" s="38"/>
      <c r="H38" s="10">
        <v>11</v>
      </c>
      <c r="I38" s="19" t="s">
        <v>25</v>
      </c>
      <c r="J38" s="8">
        <v>48</v>
      </c>
      <c r="K38" s="8" t="s">
        <v>65</v>
      </c>
      <c r="L38" s="31">
        <v>38336005964.624901</v>
      </c>
    </row>
    <row r="39" spans="2:28" x14ac:dyDescent="0.35">
      <c r="B39" s="10">
        <v>5</v>
      </c>
      <c r="C39" s="19" t="s">
        <v>25</v>
      </c>
      <c r="D39" s="8">
        <v>44</v>
      </c>
      <c r="E39" s="8" t="s">
        <v>66</v>
      </c>
      <c r="F39" s="31">
        <v>4162628.0452337801</v>
      </c>
      <c r="H39" s="10">
        <v>12</v>
      </c>
      <c r="I39" s="19" t="s">
        <v>8</v>
      </c>
      <c r="J39" s="8">
        <v>15</v>
      </c>
      <c r="K39" s="8" t="s">
        <v>67</v>
      </c>
      <c r="L39" s="31">
        <v>38296138116.397003</v>
      </c>
    </row>
    <row r="40" spans="2:28" x14ac:dyDescent="0.35">
      <c r="B40" s="10">
        <v>6</v>
      </c>
      <c r="C40" s="19" t="s">
        <v>9</v>
      </c>
      <c r="D40" s="8">
        <v>9</v>
      </c>
      <c r="E40" s="8" t="s">
        <v>68</v>
      </c>
      <c r="F40" s="31">
        <v>106955533.810533</v>
      </c>
      <c r="H40" s="10">
        <v>13</v>
      </c>
      <c r="I40" s="19" t="s">
        <v>25</v>
      </c>
      <c r="J40" s="8">
        <v>47</v>
      </c>
      <c r="K40" s="8" t="s">
        <v>69</v>
      </c>
      <c r="L40" s="31">
        <v>1341445.2556465699</v>
      </c>
    </row>
    <row r="41" spans="2:28" x14ac:dyDescent="0.35">
      <c r="B41" s="10">
        <v>7</v>
      </c>
      <c r="C41" s="19" t="s">
        <v>25</v>
      </c>
      <c r="D41" s="8">
        <v>43</v>
      </c>
      <c r="E41" s="8" t="s">
        <v>70</v>
      </c>
      <c r="F41" s="31">
        <v>109192879.163745</v>
      </c>
      <c r="H41" s="10">
        <v>14</v>
      </c>
      <c r="I41" s="19" t="s">
        <v>8</v>
      </c>
      <c r="J41" s="8">
        <v>13</v>
      </c>
      <c r="K41" s="8" t="s">
        <v>71</v>
      </c>
      <c r="L41" s="31"/>
    </row>
    <row r="42" spans="2:28" ht="16" thickBot="1" x14ac:dyDescent="0.4">
      <c r="H42" s="10">
        <v>15</v>
      </c>
      <c r="I42" s="19" t="s">
        <v>8</v>
      </c>
      <c r="J42" s="8">
        <v>14</v>
      </c>
      <c r="K42" s="8" t="s">
        <v>72</v>
      </c>
      <c r="L42" s="31"/>
    </row>
    <row r="43" spans="2:28" x14ac:dyDescent="0.35">
      <c r="B43" s="181" t="s">
        <v>21</v>
      </c>
      <c r="C43" s="168">
        <f>L41+L42+L39</f>
        <v>38296138116.397003</v>
      </c>
    </row>
    <row r="44" spans="2:28" x14ac:dyDescent="0.35">
      <c r="B44" s="182" t="s">
        <v>73</v>
      </c>
      <c r="C44" s="175">
        <f>F35+F39+F41+L36+L37+L38+L40</f>
        <v>38790142057.55806</v>
      </c>
    </row>
    <row r="45" spans="2:28" x14ac:dyDescent="0.35">
      <c r="B45" s="182" t="s">
        <v>74</v>
      </c>
      <c r="C45" s="175">
        <f>F36+F40+F38+L35</f>
        <v>328450896.43871599</v>
      </c>
    </row>
    <row r="46" spans="2:28" x14ac:dyDescent="0.35">
      <c r="B46" s="182" t="s">
        <v>10</v>
      </c>
      <c r="C46" s="175">
        <f>F37</f>
        <v>0</v>
      </c>
    </row>
    <row r="47" spans="2:28" ht="16" thickBot="1" x14ac:dyDescent="0.4">
      <c r="B47" s="169"/>
      <c r="C47" s="170"/>
      <c r="O47" s="28" t="s">
        <v>87</v>
      </c>
    </row>
    <row r="49" spans="2:22" x14ac:dyDescent="0.35">
      <c r="C49" s="229" t="s">
        <v>76</v>
      </c>
      <c r="D49" s="229"/>
      <c r="G49" s="28" t="s">
        <v>89</v>
      </c>
      <c r="H49" s="28" t="s">
        <v>86</v>
      </c>
      <c r="I49" s="31">
        <v>92402693.350589201</v>
      </c>
      <c r="O49" s="31">
        <v>668580399.65412903</v>
      </c>
    </row>
    <row r="51" spans="2:22" x14ac:dyDescent="0.35">
      <c r="B51" s="248" t="s">
        <v>77</v>
      </c>
      <c r="C51" s="248"/>
      <c r="G51" s="31">
        <v>1106721747.3959401</v>
      </c>
      <c r="O51" s="10"/>
      <c r="P51" s="230" t="s">
        <v>78</v>
      </c>
      <c r="Q51" s="230"/>
      <c r="R51" s="10"/>
      <c r="S51" s="10"/>
      <c r="T51" s="10"/>
      <c r="U51" s="10"/>
      <c r="V51" s="10"/>
    </row>
    <row r="52" spans="2:22" x14ac:dyDescent="0.35">
      <c r="B52" s="10"/>
      <c r="C52" s="10" t="s">
        <v>79</v>
      </c>
      <c r="D52" s="10"/>
      <c r="E52" s="10" t="s">
        <v>80</v>
      </c>
      <c r="F52" s="10"/>
      <c r="G52" s="10" t="s">
        <v>81</v>
      </c>
      <c r="H52" s="10"/>
      <c r="I52" s="10" t="s">
        <v>82</v>
      </c>
      <c r="K52" s="40" t="s">
        <v>83</v>
      </c>
      <c r="L52" s="1">
        <f>I58+P53</f>
        <v>1653752858.6563144</v>
      </c>
      <c r="O52" s="10"/>
      <c r="P52" s="10" t="s">
        <v>82</v>
      </c>
      <c r="Q52" s="10"/>
      <c r="R52" s="10" t="s">
        <v>79</v>
      </c>
      <c r="S52" s="10"/>
      <c r="T52" s="10" t="s">
        <v>8</v>
      </c>
      <c r="U52" s="10"/>
      <c r="V52" s="10" t="s">
        <v>80</v>
      </c>
    </row>
    <row r="53" spans="2:22" x14ac:dyDescent="0.35">
      <c r="B53" s="15" t="s">
        <v>84</v>
      </c>
      <c r="C53" s="31">
        <v>701013134.94734395</v>
      </c>
      <c r="D53" s="15" t="s">
        <v>85</v>
      </c>
      <c r="E53" s="31">
        <v>1262540.6350139501</v>
      </c>
      <c r="F53" s="15" t="s">
        <v>86</v>
      </c>
      <c r="G53" s="41">
        <v>0</v>
      </c>
      <c r="H53" s="42" t="s">
        <v>86</v>
      </c>
      <c r="I53" s="41">
        <v>0</v>
      </c>
      <c r="K53" s="40" t="s">
        <v>8</v>
      </c>
      <c r="L53" s="1">
        <f>G56</f>
        <v>20715012.559861802</v>
      </c>
      <c r="O53" s="15" t="s">
        <v>87</v>
      </c>
      <c r="P53" s="43">
        <v>668580399.65412903</v>
      </c>
      <c r="Q53" s="15" t="s">
        <v>88</v>
      </c>
      <c r="R53" s="31">
        <v>441900000.92674297</v>
      </c>
      <c r="S53" s="42" t="s">
        <v>89</v>
      </c>
      <c r="T53" s="41">
        <v>0</v>
      </c>
      <c r="U53" s="15" t="s">
        <v>90</v>
      </c>
      <c r="V53" s="31">
        <v>3758653.18493417</v>
      </c>
    </row>
    <row r="54" spans="2:22" x14ac:dyDescent="0.35">
      <c r="B54" s="15" t="s">
        <v>91</v>
      </c>
      <c r="C54" s="31">
        <v>610663872.80033803</v>
      </c>
      <c r="D54" s="15" t="s">
        <v>92</v>
      </c>
      <c r="E54" s="31">
        <v>81354306.719962299</v>
      </c>
      <c r="F54" s="15" t="s">
        <v>93</v>
      </c>
      <c r="G54" s="31">
        <v>20715012.559861802</v>
      </c>
      <c r="H54" s="15" t="s">
        <v>94</v>
      </c>
      <c r="I54" s="31">
        <v>723799022.58173096</v>
      </c>
    </row>
    <row r="55" spans="2:22" x14ac:dyDescent="0.35">
      <c r="B55" s="31"/>
      <c r="C55" s="10">
        <f>SUM(C53:C54)</f>
        <v>1311677007.7476821</v>
      </c>
      <c r="D55" s="15" t="s">
        <v>98</v>
      </c>
      <c r="E55" s="31">
        <v>51304617.691635102</v>
      </c>
      <c r="F55" s="15" t="s">
        <v>89</v>
      </c>
      <c r="G55" s="41">
        <v>0</v>
      </c>
      <c r="H55" s="15" t="s">
        <v>99</v>
      </c>
      <c r="I55" s="31">
        <v>130658504.043367</v>
      </c>
      <c r="Q55" s="28" t="s">
        <v>88</v>
      </c>
      <c r="R55" s="31">
        <v>441900000.92674297</v>
      </c>
    </row>
    <row r="56" spans="2:22" x14ac:dyDescent="0.35">
      <c r="B56" s="31"/>
      <c r="C56" s="10"/>
      <c r="D56" s="15" t="s">
        <v>100</v>
      </c>
      <c r="E56" s="31">
        <v>51840.347879160603</v>
      </c>
      <c r="F56" s="10"/>
      <c r="G56" s="10">
        <f>SUM(G53:G55)</f>
        <v>20715012.559861802</v>
      </c>
      <c r="H56" s="15" t="s">
        <v>101</v>
      </c>
      <c r="I56" s="31">
        <v>72958966.064059705</v>
      </c>
      <c r="K56" s="28" t="s">
        <v>84</v>
      </c>
      <c r="L56" s="28" t="s">
        <v>95</v>
      </c>
      <c r="M56" s="28" t="s">
        <v>96</v>
      </c>
      <c r="N56" s="28" t="s">
        <v>97</v>
      </c>
      <c r="O56" s="28" t="s">
        <v>102</v>
      </c>
      <c r="P56" s="28" t="s">
        <v>103</v>
      </c>
      <c r="Q56" s="28" t="s">
        <v>86</v>
      </c>
    </row>
    <row r="57" spans="2:22" x14ac:dyDescent="0.35">
      <c r="E57" s="44">
        <f>SUM(E53:E56)</f>
        <v>133973305.39449051</v>
      </c>
      <c r="F57" s="10"/>
      <c r="G57" s="10"/>
      <c r="H57" s="15" t="s">
        <v>104</v>
      </c>
      <c r="I57" s="31">
        <v>57755966.313027702</v>
      </c>
    </row>
    <row r="58" spans="2:22" x14ac:dyDescent="0.35">
      <c r="I58" s="1">
        <f>SUM(I53:I57)</f>
        <v>985172459.00218546</v>
      </c>
      <c r="K58" s="45">
        <v>732495587.46130097</v>
      </c>
      <c r="L58" s="45">
        <v>85226703.841052905</v>
      </c>
      <c r="M58" s="45">
        <v>46478154.693184398</v>
      </c>
      <c r="N58" s="43">
        <v>95860159.756703094</v>
      </c>
      <c r="O58" s="43">
        <v>102946070.56009001</v>
      </c>
      <c r="P58" s="43">
        <v>72408129.068108693</v>
      </c>
      <c r="Q58" s="46">
        <v>92543875.826589599</v>
      </c>
    </row>
    <row r="59" spans="2:22" x14ac:dyDescent="0.35">
      <c r="B59" s="28" t="s">
        <v>105</v>
      </c>
      <c r="C59" s="1">
        <f>C55+R53</f>
        <v>1753577008.6744251</v>
      </c>
      <c r="E59" s="1" t="s">
        <v>47</v>
      </c>
      <c r="F59" s="1">
        <v>44238.434477058603</v>
      </c>
      <c r="G59" s="1" t="s">
        <v>106</v>
      </c>
      <c r="I59" s="1">
        <f>I58+P53</f>
        <v>1653752858.6563144</v>
      </c>
    </row>
    <row r="60" spans="2:22" x14ac:dyDescent="0.35">
      <c r="B60" s="28" t="s">
        <v>107</v>
      </c>
      <c r="C60" s="1">
        <f>E57+V53</f>
        <v>137731958.57942468</v>
      </c>
      <c r="E60" s="1" t="s">
        <v>108</v>
      </c>
      <c r="F60" s="1">
        <v>67896.760268964106</v>
      </c>
      <c r="G60" s="1" t="s">
        <v>109</v>
      </c>
      <c r="J60" s="1">
        <f>I59/F61</f>
        <v>0.5505817427337717</v>
      </c>
    </row>
    <row r="61" spans="2:22" x14ac:dyDescent="0.35">
      <c r="B61" s="31" t="s">
        <v>31</v>
      </c>
      <c r="C61" s="1">
        <f>C59-C60</f>
        <v>1615845050.0950005</v>
      </c>
      <c r="D61" s="30">
        <f>C61/3600</f>
        <v>448845.84724861127</v>
      </c>
      <c r="E61" s="1" t="s">
        <v>110</v>
      </c>
      <c r="F61" s="1">
        <f>F59*F60</f>
        <v>3003646380.3631244</v>
      </c>
      <c r="G61" s="1" t="s">
        <v>4</v>
      </c>
      <c r="H61" s="30">
        <f>F61/3600</f>
        <v>834346.2167675345</v>
      </c>
      <c r="I61" s="1" t="s">
        <v>5</v>
      </c>
    </row>
    <row r="62" spans="2:22" x14ac:dyDescent="0.35">
      <c r="B62" s="47" t="s">
        <v>39</v>
      </c>
      <c r="C62" s="10">
        <f>C61/F61</f>
        <v>0.537961146378241</v>
      </c>
      <c r="E62" s="1" t="s">
        <v>110</v>
      </c>
      <c r="F62" s="1">
        <f>F61/3600</f>
        <v>834346.2167675345</v>
      </c>
      <c r="G62" s="1" t="s">
        <v>5</v>
      </c>
      <c r="H62" s="1">
        <f>H61/1000</f>
        <v>834.34621676753454</v>
      </c>
    </row>
    <row r="63" spans="2:22" x14ac:dyDescent="0.35">
      <c r="B63" s="48" t="s">
        <v>113</v>
      </c>
      <c r="C63" s="10">
        <f>C62/C64</f>
        <v>0.64993887914553217</v>
      </c>
      <c r="G63" s="1" t="s">
        <v>114</v>
      </c>
      <c r="H63" s="1">
        <f>1399.19319887969+1399.4555404377</f>
        <v>2798.6487393173902</v>
      </c>
    </row>
    <row r="64" spans="2:22" x14ac:dyDescent="0.35">
      <c r="B64" s="48" t="s">
        <v>115</v>
      </c>
      <c r="C64" s="10">
        <f>(H65-H66)/H65</f>
        <v>0.82771036421992916</v>
      </c>
      <c r="H64" s="1">
        <f>H63/2</f>
        <v>1399.3243696586951</v>
      </c>
      <c r="K64" s="28" t="s">
        <v>84</v>
      </c>
      <c r="L64" s="28" t="s">
        <v>95</v>
      </c>
      <c r="M64" s="28" t="s">
        <v>96</v>
      </c>
    </row>
    <row r="65" spans="2:13" x14ac:dyDescent="0.35">
      <c r="C65" s="248" t="s">
        <v>116</v>
      </c>
      <c r="D65" s="248"/>
      <c r="G65" s="1" t="s">
        <v>114</v>
      </c>
      <c r="H65" s="1">
        <f>H64+273.15</f>
        <v>1672.4743696586952</v>
      </c>
    </row>
    <row r="66" spans="2:13" x14ac:dyDescent="0.35">
      <c r="B66" s="17"/>
      <c r="C66" s="130" t="s">
        <v>9</v>
      </c>
      <c r="E66" s="17"/>
      <c r="F66" s="130" t="s">
        <v>25</v>
      </c>
      <c r="G66" s="1" t="s">
        <v>117</v>
      </c>
      <c r="H66" s="1">
        <f>15+273.15</f>
        <v>288.14999999999998</v>
      </c>
      <c r="K66" s="31">
        <v>701013134.94734395</v>
      </c>
      <c r="L66" s="31">
        <v>85227400.321852401</v>
      </c>
      <c r="M66" s="31">
        <v>46478534.517125003</v>
      </c>
    </row>
    <row r="67" spans="2:13" x14ac:dyDescent="0.35">
      <c r="B67" s="15" t="s">
        <v>95</v>
      </c>
      <c r="C67" s="16">
        <v>85227400.321852401</v>
      </c>
      <c r="E67" s="15" t="s">
        <v>96</v>
      </c>
      <c r="F67" s="16">
        <v>46478534.517125003</v>
      </c>
    </row>
    <row r="68" spans="2:13" x14ac:dyDescent="0.35">
      <c r="B68" s="15" t="s">
        <v>97</v>
      </c>
      <c r="C68" s="16">
        <v>95860943.135125101</v>
      </c>
      <c r="E68" s="15" t="s">
        <v>102</v>
      </c>
      <c r="F68" s="16">
        <v>102946911.84525301</v>
      </c>
      <c r="H68" s="28" t="s">
        <v>97</v>
      </c>
      <c r="I68" s="28" t="s">
        <v>102</v>
      </c>
      <c r="J68" s="28" t="s">
        <v>103</v>
      </c>
      <c r="K68" s="28" t="s">
        <v>86</v>
      </c>
      <c r="L68" s="28" t="s">
        <v>118</v>
      </c>
    </row>
    <row r="69" spans="2:13" x14ac:dyDescent="0.35">
      <c r="B69" s="15" t="s">
        <v>118</v>
      </c>
      <c r="C69" s="16">
        <v>1805887.29350383</v>
      </c>
      <c r="E69" s="15" t="s">
        <v>103</v>
      </c>
      <c r="F69" s="16">
        <v>72408720.794285402</v>
      </c>
    </row>
    <row r="70" spans="2:13" x14ac:dyDescent="0.35">
      <c r="B70" s="15" t="s">
        <v>119</v>
      </c>
      <c r="C70" s="16">
        <v>91739662.063730806</v>
      </c>
      <c r="E70" s="15" t="s">
        <v>120</v>
      </c>
      <c r="F70" s="16">
        <v>21614552.221679602</v>
      </c>
      <c r="H70" s="31">
        <v>95860943.135125101</v>
      </c>
      <c r="I70" s="31">
        <v>102946911.84525301</v>
      </c>
      <c r="J70" s="31">
        <v>72408720.794285402</v>
      </c>
      <c r="K70" s="31">
        <v>92402680.947663605</v>
      </c>
      <c r="L70" s="31">
        <v>1805887.29350383</v>
      </c>
    </row>
    <row r="71" spans="2:13" x14ac:dyDescent="0.35">
      <c r="B71" s="15" t="s">
        <v>121</v>
      </c>
      <c r="C71" s="16">
        <v>16479156.7700452</v>
      </c>
      <c r="E71" s="10"/>
      <c r="F71" s="10">
        <f>SUM(F67:F70)</f>
        <v>243448719.37834302</v>
      </c>
    </row>
    <row r="72" spans="2:13" x14ac:dyDescent="0.35">
      <c r="B72" s="10"/>
      <c r="C72" s="10">
        <f>SUM(C67:C71)</f>
        <v>291113049.5842573</v>
      </c>
      <c r="H72" s="28" t="s">
        <v>119</v>
      </c>
      <c r="I72" s="28" t="s">
        <v>121</v>
      </c>
      <c r="J72" s="28" t="s">
        <v>120</v>
      </c>
      <c r="K72" s="28" t="s">
        <v>85</v>
      </c>
      <c r="L72" s="28" t="s">
        <v>89</v>
      </c>
      <c r="M72" s="28" t="s">
        <v>90</v>
      </c>
    </row>
    <row r="74" spans="2:13" x14ac:dyDescent="0.35">
      <c r="D74" s="1">
        <f>SUM(C67:C69)</f>
        <v>182894230.75048131</v>
      </c>
      <c r="E74" s="1">
        <f>D74/3600</f>
        <v>50803.952986244811</v>
      </c>
      <c r="H74" s="31">
        <v>91739662.063730806</v>
      </c>
      <c r="I74" s="31">
        <v>16479156.7700452</v>
      </c>
      <c r="J74" s="31">
        <v>21614552.221679602</v>
      </c>
      <c r="K74" s="31">
        <v>1262540.6350139501</v>
      </c>
      <c r="L74" s="31">
        <v>1106721747.3959401</v>
      </c>
      <c r="M74" s="31">
        <v>3758653.18493417</v>
      </c>
    </row>
    <row r="75" spans="2:13" x14ac:dyDescent="0.35">
      <c r="D75" s="1">
        <v>1026029.41731626</v>
      </c>
      <c r="E75" s="1">
        <f>E74/1000000</f>
        <v>5.0803952986244807E-2</v>
      </c>
    </row>
    <row r="76" spans="2:13" x14ac:dyDescent="0.35">
      <c r="D76" s="1">
        <f>D75/1000</f>
        <v>1026.0294173162602</v>
      </c>
      <c r="H76" s="28" t="s">
        <v>92</v>
      </c>
      <c r="I76" s="28" t="s">
        <v>94</v>
      </c>
      <c r="J76" s="28" t="s">
        <v>98</v>
      </c>
      <c r="K76" s="28" t="s">
        <v>99</v>
      </c>
      <c r="L76" s="28" t="s">
        <v>93</v>
      </c>
      <c r="M76" s="28" t="s">
        <v>101</v>
      </c>
    </row>
    <row r="77" spans="2:13" x14ac:dyDescent="0.35">
      <c r="E77" s="1">
        <f>E75/D76</f>
        <v>4.9515103688869336E-5</v>
      </c>
    </row>
    <row r="78" spans="2:13" x14ac:dyDescent="0.35">
      <c r="H78" s="31">
        <v>81354306.719962299</v>
      </c>
      <c r="I78" s="31">
        <v>723799022.58173096</v>
      </c>
      <c r="J78" s="31">
        <v>51304617.691635102</v>
      </c>
      <c r="K78" s="31">
        <v>130658504.043367</v>
      </c>
      <c r="L78" s="31">
        <v>20715012.559861802</v>
      </c>
      <c r="M78" s="31">
        <v>-72958966.064059705</v>
      </c>
    </row>
    <row r="80" spans="2:13" x14ac:dyDescent="0.35">
      <c r="H80" s="28" t="s">
        <v>104</v>
      </c>
      <c r="I80" s="28" t="s">
        <v>100</v>
      </c>
      <c r="J80" s="28" t="s">
        <v>91</v>
      </c>
    </row>
    <row r="82" spans="8:10" x14ac:dyDescent="0.35">
      <c r="H82" s="31">
        <v>57755966.313027702</v>
      </c>
      <c r="I82" s="31">
        <v>51840.347879160603</v>
      </c>
      <c r="J82" s="31">
        <v>610663872.80033803</v>
      </c>
    </row>
  </sheetData>
  <mergeCells count="11">
    <mergeCell ref="Z36:AB36"/>
    <mergeCell ref="C49:D49"/>
    <mergeCell ref="B51:C51"/>
    <mergeCell ref="P51:Q51"/>
    <mergeCell ref="C65:D65"/>
    <mergeCell ref="E18:F18"/>
    <mergeCell ref="D8:F8"/>
    <mergeCell ref="N8:N9"/>
    <mergeCell ref="O8:S8"/>
    <mergeCell ref="T8:X8"/>
    <mergeCell ref="D14:F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5D31-3CA3-4E9C-ACFD-4822105A3874}">
  <dimension ref="B6:W41"/>
  <sheetViews>
    <sheetView tabSelected="1" zoomScale="90" zoomScaleNormal="40" workbookViewId="0"/>
  </sheetViews>
  <sheetFormatPr baseColWidth="10" defaultRowHeight="14.5" x14ac:dyDescent="0.35"/>
  <cols>
    <col min="2" max="2" width="19.1796875" customWidth="1"/>
    <col min="3" max="3" width="17" customWidth="1"/>
    <col min="7" max="7" width="26.54296875" bestFit="1" customWidth="1"/>
    <col min="8" max="8" width="12.54296875" customWidth="1"/>
    <col min="9" max="9" width="14.7265625" bestFit="1" customWidth="1"/>
    <col min="17" max="17" width="13.54296875" customWidth="1"/>
    <col min="18" max="18" width="14.26953125" customWidth="1"/>
  </cols>
  <sheetData>
    <row r="6" spans="7:9" ht="58" x14ac:dyDescent="0.35">
      <c r="G6" s="219"/>
      <c r="H6" s="220" t="s">
        <v>189</v>
      </c>
      <c r="I6" s="220" t="s">
        <v>211</v>
      </c>
    </row>
    <row r="7" spans="7:9" ht="29" x14ac:dyDescent="0.35">
      <c r="G7" s="224" t="s">
        <v>195</v>
      </c>
      <c r="H7" s="221">
        <v>0.95</v>
      </c>
      <c r="I7" s="222">
        <v>0.26</v>
      </c>
    </row>
    <row r="8" spans="7:9" x14ac:dyDescent="0.35">
      <c r="G8" s="219" t="s">
        <v>192</v>
      </c>
      <c r="H8" s="221">
        <v>0.95</v>
      </c>
      <c r="I8" s="222">
        <v>0.32</v>
      </c>
    </row>
    <row r="9" spans="7:9" x14ac:dyDescent="0.35">
      <c r="G9" s="219" t="s">
        <v>190</v>
      </c>
      <c r="H9" s="221">
        <v>0.9667</v>
      </c>
      <c r="I9" s="222">
        <v>0.38400000000000001</v>
      </c>
    </row>
    <row r="10" spans="7:9" x14ac:dyDescent="0.35">
      <c r="G10" s="219" t="s">
        <v>193</v>
      </c>
      <c r="H10" s="221">
        <v>0.99990000000000001</v>
      </c>
      <c r="I10" s="222">
        <v>0.4</v>
      </c>
    </row>
    <row r="11" spans="7:9" x14ac:dyDescent="0.35">
      <c r="G11" s="219" t="s">
        <v>194</v>
      </c>
      <c r="H11" s="221">
        <v>0.99990000000000001</v>
      </c>
      <c r="I11" s="222">
        <v>0.57999999999999996</v>
      </c>
    </row>
    <row r="13" spans="7:9" x14ac:dyDescent="0.35">
      <c r="G13" s="219" t="s">
        <v>190</v>
      </c>
      <c r="H13" s="221">
        <v>0.9667</v>
      </c>
      <c r="I13" s="222">
        <v>0.38400000000000001</v>
      </c>
    </row>
    <row r="14" spans="7:9" x14ac:dyDescent="0.35">
      <c r="G14" s="219" t="s">
        <v>191</v>
      </c>
      <c r="H14" s="223">
        <v>0.95</v>
      </c>
      <c r="I14" s="222">
        <v>0.20200000000000001</v>
      </c>
    </row>
    <row r="15" spans="7:9" x14ac:dyDescent="0.35">
      <c r="G15" s="219" t="s">
        <v>192</v>
      </c>
      <c r="H15" s="223">
        <v>0.95</v>
      </c>
      <c r="I15" s="222">
        <v>0.32</v>
      </c>
    </row>
    <row r="16" spans="7:9" x14ac:dyDescent="0.35">
      <c r="G16" s="219" t="s">
        <v>193</v>
      </c>
      <c r="H16" s="221">
        <v>0.99990000000000001</v>
      </c>
      <c r="I16" s="222">
        <v>0.4</v>
      </c>
    </row>
    <row r="17" spans="2:21" x14ac:dyDescent="0.35">
      <c r="G17" s="219" t="s">
        <v>194</v>
      </c>
      <c r="H17" s="221">
        <v>0.99990000000000001</v>
      </c>
      <c r="I17" s="222">
        <v>0.57999999999999996</v>
      </c>
    </row>
    <row r="18" spans="2:21" ht="29" x14ac:dyDescent="0.35">
      <c r="G18" s="224" t="s">
        <v>195</v>
      </c>
      <c r="H18" s="221">
        <v>0.95</v>
      </c>
      <c r="I18" s="222">
        <v>0.26</v>
      </c>
    </row>
    <row r="25" spans="2:21" ht="29" x14ac:dyDescent="0.35">
      <c r="B25" s="220" t="s">
        <v>196</v>
      </c>
      <c r="C25" s="220" t="s">
        <v>197</v>
      </c>
      <c r="Q25" s="225" t="s">
        <v>198</v>
      </c>
      <c r="R25" s="225" t="s">
        <v>212</v>
      </c>
      <c r="S25" s="225" t="s">
        <v>39</v>
      </c>
      <c r="T25" s="225" t="s">
        <v>200</v>
      </c>
      <c r="U25" s="225" t="s">
        <v>189</v>
      </c>
    </row>
    <row r="26" spans="2:21" x14ac:dyDescent="0.35">
      <c r="B26" s="226" t="s">
        <v>201</v>
      </c>
      <c r="C26" s="223">
        <v>0.78</v>
      </c>
      <c r="Q26" s="226">
        <v>0.33</v>
      </c>
      <c r="S26" s="278">
        <v>0.54</v>
      </c>
      <c r="T26" s="226">
        <v>0.43</v>
      </c>
      <c r="U26" s="221">
        <v>0.9667</v>
      </c>
    </row>
    <row r="27" spans="2:21" x14ac:dyDescent="0.35">
      <c r="B27" s="226" t="s">
        <v>202</v>
      </c>
      <c r="C27" s="223">
        <v>0.56000000000000005</v>
      </c>
      <c r="Q27" s="226">
        <v>0.38</v>
      </c>
      <c r="R27" s="226">
        <v>0.22</v>
      </c>
      <c r="S27" s="279"/>
      <c r="T27" s="226">
        <v>0.47</v>
      </c>
      <c r="U27" s="223">
        <v>0.95</v>
      </c>
    </row>
    <row r="28" spans="2:21" x14ac:dyDescent="0.35">
      <c r="B28" s="226" t="s">
        <v>203</v>
      </c>
      <c r="C28" s="223">
        <v>0.49</v>
      </c>
      <c r="Q28" s="226">
        <v>0.35</v>
      </c>
      <c r="R28" s="226">
        <v>0.32</v>
      </c>
      <c r="S28" s="279"/>
      <c r="T28" s="226">
        <v>0.45</v>
      </c>
      <c r="U28" s="223">
        <v>0.95</v>
      </c>
    </row>
    <row r="29" spans="2:21" x14ac:dyDescent="0.35">
      <c r="B29" s="226" t="s">
        <v>78</v>
      </c>
      <c r="C29" s="223">
        <v>0.32</v>
      </c>
      <c r="Q29" s="226">
        <v>0.39</v>
      </c>
      <c r="R29" s="226">
        <v>0.16</v>
      </c>
      <c r="S29" s="279"/>
      <c r="T29" s="226">
        <v>0.49</v>
      </c>
      <c r="U29" s="223">
        <v>0.95</v>
      </c>
    </row>
    <row r="30" spans="2:21" x14ac:dyDescent="0.35">
      <c r="B30" s="226" t="s">
        <v>204</v>
      </c>
      <c r="C30" s="223">
        <v>0.27</v>
      </c>
      <c r="Q30" s="226">
        <v>0.33</v>
      </c>
      <c r="R30" s="226">
        <v>0.4</v>
      </c>
      <c r="S30" s="279"/>
      <c r="T30" s="226">
        <v>0.42</v>
      </c>
      <c r="U30" s="221">
        <v>0.99990000000000001</v>
      </c>
    </row>
    <row r="31" spans="2:21" x14ac:dyDescent="0.35">
      <c r="B31" s="226" t="s">
        <v>205</v>
      </c>
      <c r="C31" s="223">
        <v>0.18</v>
      </c>
      <c r="R31" s="226">
        <v>0.57999999999999996</v>
      </c>
      <c r="S31" s="279"/>
      <c r="T31" s="226">
        <v>0.37</v>
      </c>
      <c r="U31" s="221">
        <v>0.99990000000000001</v>
      </c>
    </row>
    <row r="32" spans="2:21" x14ac:dyDescent="0.35">
      <c r="B32" s="226" t="s">
        <v>206</v>
      </c>
      <c r="C32" s="223">
        <v>0.54</v>
      </c>
      <c r="Q32" s="226">
        <v>0.37</v>
      </c>
      <c r="R32" s="226">
        <v>0.25</v>
      </c>
      <c r="S32" s="280"/>
      <c r="T32" s="226">
        <v>0.47</v>
      </c>
      <c r="U32" s="221">
        <v>0.99990000000000001</v>
      </c>
    </row>
    <row r="33" spans="2:23" ht="29" x14ac:dyDescent="0.35">
      <c r="B33" s="226" t="s">
        <v>210</v>
      </c>
      <c r="C33" s="223">
        <v>0.66</v>
      </c>
    </row>
    <row r="34" spans="2:23" ht="29" x14ac:dyDescent="0.35">
      <c r="B34" s="226" t="s">
        <v>209</v>
      </c>
      <c r="C34" s="223">
        <v>0.51950539535076501</v>
      </c>
      <c r="P34" s="225" t="s">
        <v>39</v>
      </c>
      <c r="Q34" s="220" t="s">
        <v>200</v>
      </c>
      <c r="R34" s="220" t="s">
        <v>189</v>
      </c>
      <c r="S34" s="220" t="s">
        <v>212</v>
      </c>
      <c r="T34" s="220" t="s">
        <v>39</v>
      </c>
      <c r="V34" s="225" t="s">
        <v>198</v>
      </c>
      <c r="W34" s="225" t="s">
        <v>199</v>
      </c>
    </row>
    <row r="35" spans="2:23" x14ac:dyDescent="0.35">
      <c r="B35" s="226" t="s">
        <v>207</v>
      </c>
      <c r="C35" s="223">
        <v>0.16</v>
      </c>
      <c r="P35" s="278">
        <v>0.54</v>
      </c>
      <c r="Q35" s="226">
        <v>0.45</v>
      </c>
      <c r="R35" s="221">
        <v>0.95</v>
      </c>
      <c r="S35" s="222">
        <v>0.32</v>
      </c>
      <c r="T35" s="222">
        <v>0.35</v>
      </c>
      <c r="V35" s="226">
        <v>0.33</v>
      </c>
      <c r="W35" s="226">
        <v>0.38</v>
      </c>
    </row>
    <row r="36" spans="2:23" x14ac:dyDescent="0.35">
      <c r="B36" s="226" t="s">
        <v>208</v>
      </c>
      <c r="C36" s="223">
        <v>0.4</v>
      </c>
      <c r="P36" s="279"/>
      <c r="Q36" s="226">
        <v>0.43</v>
      </c>
      <c r="R36" s="221">
        <v>0.9667</v>
      </c>
      <c r="S36" s="222">
        <v>0.38</v>
      </c>
      <c r="T36" s="222">
        <v>0.33</v>
      </c>
      <c r="V36" s="226">
        <v>0.38</v>
      </c>
      <c r="W36" s="226">
        <v>0.22</v>
      </c>
    </row>
    <row r="37" spans="2:23" x14ac:dyDescent="0.35">
      <c r="P37" s="279"/>
      <c r="Q37" s="226">
        <v>0.42</v>
      </c>
      <c r="R37" s="221">
        <v>0.99990000000000001</v>
      </c>
      <c r="S37" s="222">
        <v>0.4</v>
      </c>
      <c r="T37" s="222">
        <v>0.32600000000000001</v>
      </c>
      <c r="V37" s="226">
        <v>0.35</v>
      </c>
      <c r="W37" s="226">
        <v>0.32</v>
      </c>
    </row>
    <row r="38" spans="2:23" x14ac:dyDescent="0.35">
      <c r="P38" s="280"/>
      <c r="Q38" s="226">
        <v>0.37</v>
      </c>
      <c r="R38" s="221">
        <v>0.99990000000000001</v>
      </c>
      <c r="S38" s="222">
        <v>0.57999999999999996</v>
      </c>
      <c r="T38" s="222">
        <v>0.27</v>
      </c>
      <c r="V38" s="226">
        <v>0.39</v>
      </c>
      <c r="W38" s="226">
        <v>0.16</v>
      </c>
    </row>
    <row r="39" spans="2:23" x14ac:dyDescent="0.35">
      <c r="V39" s="226">
        <v>0.33</v>
      </c>
      <c r="W39" s="226">
        <v>0.4</v>
      </c>
    </row>
    <row r="40" spans="2:23" x14ac:dyDescent="0.35">
      <c r="V40" s="226">
        <v>0.27</v>
      </c>
      <c r="W40" s="226">
        <v>0.57999999999999996</v>
      </c>
    </row>
    <row r="41" spans="2:23" x14ac:dyDescent="0.35">
      <c r="V41" s="226">
        <v>0.37</v>
      </c>
      <c r="W41" s="226">
        <v>0.25</v>
      </c>
    </row>
  </sheetData>
  <mergeCells count="2">
    <mergeCell ref="P35:P38"/>
    <mergeCell ref="S26:S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Calculos definitivos</vt:lpstr>
      <vt:lpstr>Calculos nuevos</vt:lpstr>
      <vt:lpstr>Energy Streams</vt:lpstr>
      <vt:lpstr>Equip ID</vt:lpstr>
      <vt:lpstr>Calculos de energia</vt:lpstr>
      <vt:lpstr>Graficas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JOEL NUNEZ QUISHPE</dc:creator>
  <cp:keywords/>
  <dc:description/>
  <cp:lastModifiedBy>Gonzalo Chiriboga Gavidia</cp:lastModifiedBy>
  <cp:revision/>
  <dcterms:created xsi:type="dcterms:W3CDTF">2024-07-22T12:08:21Z</dcterms:created>
  <dcterms:modified xsi:type="dcterms:W3CDTF">2026-02-27T15:50:40Z</dcterms:modified>
  <cp:category/>
  <cp:contentStatus/>
</cp:coreProperties>
</file>