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ong Le\Desktop\DAWorks\DAChallenge\Starter_Code\"/>
    </mc:Choice>
  </mc:AlternateContent>
  <xr:revisionPtr revIDLastSave="0" documentId="13_ncr:1_{1B3EF475-71E4-4E4A-928F-0231B3B4413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Pivot1" sheetId="3" r:id="rId2"/>
    <sheet name="Pivot2" sheetId="2" r:id="rId3"/>
    <sheet name="Pivot3" sheetId="5" r:id="rId4"/>
    <sheet name="Crowfunding Goal Analysis" sheetId="6" r:id="rId5"/>
    <sheet name="Statistical Analysis" sheetId="7" r:id="rId6"/>
  </sheets>
  <definedNames>
    <definedName name="_xlchart.v1.0" hidden="1">'Statistical Analysis'!$D$1</definedName>
    <definedName name="_xlchart.v1.1" hidden="1">'Statistical Analysis'!$D$2:$D$365</definedName>
    <definedName name="_xlchart.v1.2" hidden="1">'Statistical Analysis'!$B$1</definedName>
    <definedName name="_xlchart.v1.3" hidden="1">'Statistical Analysis'!$B$2:$B$566</definedName>
    <definedName name="_xlchart.v1.4" hidden="1">'Statistical Analysis'!$B$1</definedName>
    <definedName name="_xlchart.v1.5" hidden="1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7" l="1"/>
  <c r="H5" i="7"/>
  <c r="H8" i="7"/>
  <c r="H7" i="7"/>
  <c r="H4" i="7"/>
  <c r="H3" i="7"/>
  <c r="G6" i="7"/>
  <c r="G5" i="7"/>
  <c r="G4" i="7"/>
  <c r="G8" i="7"/>
  <c r="G7" i="7"/>
  <c r="G3" i="7"/>
  <c r="H3" i="6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G2" i="6"/>
  <c r="H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1" i="6"/>
  <c r="B10" i="6"/>
  <c r="B9" i="6"/>
  <c r="B8" i="6"/>
  <c r="B7" i="6"/>
  <c r="B6" i="6"/>
  <c r="B5" i="6"/>
  <c r="B4" i="6"/>
  <c r="B3" i="6"/>
  <c r="B12" i="6"/>
  <c r="B1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<sst xmlns="http://schemas.openxmlformats.org/spreadsheetml/2006/main" count="7062" uniqueCount="2114">
  <si>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</si>
  <si>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</si>
  <si>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</si>
  <si>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</si>
  <si>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</si>
  <si>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</si>
  <si>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</si>
  <si>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</si>
  <si>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</si>
  <si>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</si>
  <si>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</si>
  <si>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</si>
  <si>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</si>
  <si>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</si>
  <si>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</si>
  <si>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</si>
  <si>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</si>
  <si>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</si>
  <si>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</si>
  <si>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</si>
  <si>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</si>
  <si>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</si>
  <si>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</si>
  <si>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</si>
  <si>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</si>
  <si>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</si>
  <si>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</si>
  <si>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</si>
  <si>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</si>
  <si>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</si>
  <si>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</si>
  <si>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</si>
  <si>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</si>
  <si>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</si>
  <si>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</si>
  <si>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</si>
  <si>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</si>
  <si>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</si>
  <si>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</si>
  <si>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</si>
  <si>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</si>
  <si>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</si>
  <si>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</si>
  <si>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</si>
  <si>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</si>
  <si>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</si>
  <si>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</si>
  <si>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</si>
  <si>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</si>
  <si>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</si>
  <si>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</si>
  <si>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</si>
  <si>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</si>
  <si>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</si>
  <si>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</si>
  <si>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</si>
  <si>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</si>
  <si>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</si>
  <si>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</si>
  <si>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</si>
  <si>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</si>
  <si>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</si>
  <si>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</si>
  <si>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</si>
  <si>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</si>
  <si>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</si>
  <si>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</si>
  <si>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</si>
  <si>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</si>
  <si>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</si>
  <si>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</si>
  <si>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</si>
  <si>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</si>
  <si>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</si>
  <si>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</si>
  <si>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</si>
  <si>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</si>
  <si>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</si>
  <si>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</si>
  <si>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</si>
  <si>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</si>
  <si>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</si>
  <si>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</si>
  <si>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</si>
  <si>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</si>
  <si>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</si>
  <si>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</si>
  <si>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</si>
  <si>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</si>
  <si>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</si>
  <si>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</si>
  <si>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</si>
  <si>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</si>
  <si>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</si>
  <si>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</si>
  <si>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</si>
  <si>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</si>
  <si>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</si>
  <si>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</si>
  <si>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</si>
  <si>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</si>
  <si>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</si>
  <si>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</si>
  <si>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</si>
  <si>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</si>
  <si>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</si>
  <si>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</si>
  <si>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</si>
  <si>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</si>
  <si>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</si>
  <si>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</si>
  <si>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</si>
  <si>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</si>
  <si>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</si>
  <si>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</si>
  <si>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</si>
  <si>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</si>
  <si>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</si>
  <si>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</si>
  <si>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</si>
  <si>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</si>
  <si>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</si>
  <si>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</si>
  <si>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</si>
  <si>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</si>
  <si>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</si>
  <si>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</si>
  <si>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</si>
  <si>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</si>
  <si>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</si>
  <si>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</si>
  <si>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</si>
  <si>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</si>
  <si>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</si>
  <si>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</si>
  <si>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</si>
  <si>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</si>
  <si>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</si>
  <si>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</si>
  <si>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</si>
  <si>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</si>
  <si>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</si>
  <si>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</si>
  <si>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</si>
  <si>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</si>
  <si>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</si>
  <si>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</si>
  <si>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</si>
  <si>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</si>
  <si>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</si>
  <si>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</si>
  <si>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</si>
  <si>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</si>
  <si>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</si>
  <si>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</si>
  <si>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</si>
  <si>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</si>
  <si>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</si>
  <si>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</si>
  <si>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</si>
  <si>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</si>
  <si>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</si>
  <si>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</si>
  <si>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</si>
  <si>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</si>
  <si>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</si>
  <si>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</si>
  <si>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</si>
  <si>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</si>
  <si>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</si>
  <si>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</si>
  <si>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</si>
  <si>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</si>
  <si>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</si>
  <si>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</si>
  <si>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</si>
  <si>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</si>
  <si>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</si>
  <si>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</si>
  <si>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</si>
  <si>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</si>
  <si>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</si>
  <si>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</si>
  <si>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</si>
  <si>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</si>
  <si>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</si>
  <si>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</si>
  <si>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</si>
  <si>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</si>
  <si>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</si>
  <si>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</si>
  <si>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</si>
  <si>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</si>
  <si>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</si>
  <si>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</si>
  <si>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</si>
  <si>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</si>
  <si>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</si>
  <si>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</si>
  <si>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</si>
  <si>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</si>
  <si>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</si>
  <si>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</si>
  <si>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</si>
  <si>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</si>
  <si>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</si>
  <si>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</si>
  <si>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</si>
  <si>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</si>
  <si>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</si>
  <si>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</si>
  <si>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</si>
  <si>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</si>
  <si>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</si>
  <si>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</si>
  <si>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</si>
  <si>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</si>
  <si>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</si>
  <si>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</si>
  <si>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</si>
  <si>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</si>
  <si>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</si>
  <si>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</si>
  <si>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</si>
  <si>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</si>
  <si>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</si>
  <si>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</si>
  <si>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</si>
  <si>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</si>
  <si>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</si>
  <si>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</si>
  <si>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</si>
  <si>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</si>
  <si>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</si>
  <si>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</si>
  <si>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</si>
  <si>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</si>
  <si>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</si>
  <si>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</si>
  <si>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</si>
  <si>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</si>
  <si>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</si>
  <si>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</si>
  <si>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</si>
  <si>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</si>
  <si>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</si>
  <si>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</si>
  <si>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</si>
  <si>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</si>
  <si>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</si>
  <si>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</si>
  <si>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</si>
  <si>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</si>
  <si>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</si>
  <si>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</si>
  <si>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</si>
  <si>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</si>
  <si>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</si>
  <si>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</si>
  <si>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</si>
  <si>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</si>
  <si>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</si>
  <si>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</si>
  <si>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</si>
  <si>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</si>
  <si>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</si>
  <si>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</si>
  <si>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</si>
  <si>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</si>
  <si>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</si>
  <si>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</si>
  <si>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</si>
  <si>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</si>
  <si>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</si>
  <si>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</si>
  <si>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</si>
  <si>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</si>
  <si>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</si>
  <si>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</si>
  <si>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</si>
  <si>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</si>
  <si>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</si>
  <si>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</si>
  <si>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</si>
  <si>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</si>
  <si>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</si>
  <si>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</si>
  <si>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</si>
  <si>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</si>
  <si>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</si>
  <si>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</si>
  <si>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</si>
  <si>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</si>
  <si>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</si>
  <si>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</si>
  <si>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</si>
  <si>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</si>
  <si>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</si>
  <si>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</si>
  <si>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</si>
  <si>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</si>
  <si>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</si>
  <si>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</si>
  <si>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</si>
  <si>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</si>
  <si>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</si>
  <si>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</si>
  <si>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</si>
  <si>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</si>
  <si>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</si>
  <si>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</si>
  <si>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</si>
  <si>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</si>
  <si>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</si>
  <si>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</si>
  <si>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</si>
  <si>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</si>
  <si>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</si>
  <si>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</si>
  <si>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</si>
  <si>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</si>
  <si>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</si>
  <si>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</si>
  <si>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</si>
  <si>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</si>
  <si>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</si>
  <si>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</si>
  <si>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</si>
  <si>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</si>
  <si>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</si>
  <si>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</si>
  <si>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</si>
  <si>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</si>
  <si>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</si>
  <si>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</si>
  <si>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</si>
  <si>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</si>
  <si>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</si>
  <si>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</si>
  <si>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</si>
  <si>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</si>
  <si>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</si>
  <si>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</si>
  <si>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</si>
  <si>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</si>
  <si>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</si>
  <si>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</si>
  <si>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</si>
  <si>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</si>
  <si>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</si>
  <si>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</si>
  <si>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</si>
  <si>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</si>
  <si>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</si>
  <si>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</si>
  <si>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</si>
  <si>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</si>
  <si>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</si>
  <si>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</si>
  <si>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</si>
  <si>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</si>
  <si>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</si>
  <si>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</si>
  <si>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</si>
  <si>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</si>
  <si>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</si>
  <si>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</si>
  <si>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</si>
  <si>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</si>
  <si>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</si>
  <si>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</si>
  <si>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</si>
  <si>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</si>
  <si>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</si>
  <si>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</si>
  <si>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</si>
  <si>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</si>
  <si>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</si>
  <si>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</si>
  <si>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</si>
  <si>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</si>
  <si>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</si>
  <si>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</si>
  <si>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</si>
  <si>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</si>
  <si>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</si>
  <si>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</si>
  <si>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</si>
  <si>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</si>
  <si>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</si>
  <si>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</si>
  <si>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</si>
  <si>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</si>
  <si>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</si>
  <si>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</si>
  <si>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</si>
  <si>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</si>
  <si>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</si>
  <si>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</si>
  <si>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</si>
  <si>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</si>
  <si>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</si>
  <si>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</si>
  <si>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</si>
  <si>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</si>
  <si>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</si>
  <si>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</si>
  <si>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</si>
  <si>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</si>
  <si>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</si>
  <si>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</si>
  <si>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</si>
  <si>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</si>
  <si>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</si>
  <si>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</si>
  <si>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</si>
  <si>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</si>
  <si>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</si>
  <si>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</si>
  <si>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</si>
  <si>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</si>
  <si>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</si>
  <si>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</si>
  <si>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</si>
  <si>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</si>
  <si>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</si>
  <si>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</si>
  <si>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</si>
  <si>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</si>
  <si>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</si>
  <si>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</si>
  <si>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</si>
  <si>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</si>
  <si>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</si>
  <si>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</si>
  <si>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</si>
  <si>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</si>
  <si>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</si>
  <si>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</si>
  <si>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</si>
  <si>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</si>
  <si>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</si>
  <si>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</si>
  <si>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</si>
  <si>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</si>
  <si>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</si>
  <si>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</si>
  <si>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</si>
  <si>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</si>
  <si>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</si>
  <si>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</si>
  <si>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</si>
  <si>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</si>
  <si>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</si>
  <si>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</si>
  <si>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</si>
  <si>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</si>
  <si>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</si>
  <si>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</si>
  <si>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</si>
  <si>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</si>
  <si>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</si>
  <si>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</si>
  <si>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</si>
  <si>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</si>
  <si>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</si>
  <si>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</si>
  <si>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</si>
  <si>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</si>
  <si>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</si>
  <si>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</si>
  <si>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</si>
  <si>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</si>
  <si>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</si>
  <si>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</si>
  <si>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</si>
  <si>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</si>
  <si>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</si>
  <si>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</si>
  <si>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</si>
  <si>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</si>
  <si>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</si>
  <si>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</si>
  <si>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</si>
  <si>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</si>
  <si>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</si>
  <si>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</si>
  <si>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</si>
  <si>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</si>
  <si>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</si>
  <si>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</si>
  <si>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</si>
  <si>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</si>
  <si>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</si>
  <si>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</si>
  <si>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</si>
  <si>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</si>
  <si>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</si>
  <si>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</si>
  <si>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</si>
  <si>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</si>
  <si>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</si>
  <si>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</si>
  <si>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</si>
  <si>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</si>
  <si>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</si>
  <si>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</si>
  <si>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</si>
  <si>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</si>
  <si>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</si>
  <si>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</si>
  <si>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</si>
  <si>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</si>
  <si>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</si>
  <si>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</si>
  <si>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</si>
  <si>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</si>
  <si>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</si>
  <si>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</si>
  <si>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</si>
  <si>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</si>
  <si>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</si>
  <si>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</si>
  <si>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</si>
  <si>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</si>
  <si>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</si>
  <si>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</si>
  <si>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</si>
  <si>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</si>
  <si>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</si>
  <si>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</si>
  <si>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</si>
  <si>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</si>
  <si>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</si>
  <si>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</si>
  <si>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</si>
  <si>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</si>
  <si>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</si>
  <si>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</si>
  <si>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</si>
  <si>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</si>
  <si>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</si>
  <si>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</si>
  <si>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</si>
  <si>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</si>
  <si>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</si>
  <si>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</si>
  <si>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</si>
  <si>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</si>
  <si>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</si>
  <si>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</si>
  <si>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</si>
  <si>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</si>
  <si>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</si>
  <si>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</si>
  <si>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</si>
  <si>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</si>
  <si>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</si>
  <si>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</si>
  <si>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</si>
  <si>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</si>
  <si>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</si>
  <si>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</si>
  <si>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</si>
  <si>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</si>
  <si>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</si>
  <si>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</si>
  <si>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</si>
  <si>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</si>
  <si>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</si>
  <si>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</si>
  <si>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</si>
  <si>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</si>
  <si>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</si>
  <si>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</si>
  <si>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</si>
  <si>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</si>
  <si>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</si>
  <si>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</si>
  <si>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</si>
  <si>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</si>
  <si>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</si>
  <si>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</si>
  <si>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</si>
  <si>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</si>
  <si>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</si>
  <si>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</si>
  <si>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</si>
  <si>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</si>
  <si>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</si>
  <si>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</si>
  <si>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</si>
  <si>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</si>
  <si>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</si>
  <si>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</si>
  <si>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</si>
  <si>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</si>
  <si>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</si>
  <si>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</si>
  <si>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</si>
  <si>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</si>
  <si>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</si>
  <si>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</si>
  <si>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</si>
  <si>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</si>
  <si>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</si>
  <si>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</si>
  <si>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</si>
  <si>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</si>
  <si>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</si>
  <si>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</si>
  <si>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</si>
  <si>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</si>
  <si>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</si>
  <si>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</si>
  <si>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</si>
  <si>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</si>
  <si>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</si>
  <si>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</si>
  <si>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</si>
  <si>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</si>
  <si>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</si>
  <si>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</si>
  <si>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</si>
  <si>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</si>
  <si>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</si>
  <si>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</si>
  <si>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</si>
  <si>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</si>
  <si>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</si>
  <si>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</si>
  <si>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</si>
  <si>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</si>
  <si>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</si>
  <si>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</si>
  <si>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</si>
  <si>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</si>
  <si>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</si>
  <si>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</si>
  <si>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</si>
  <si>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</si>
  <si>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</si>
  <si>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</si>
  <si>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</si>
  <si>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</si>
  <si>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</si>
  <si>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</si>
  <si>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</si>
  <si>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</si>
  <si>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</si>
  <si>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</si>
  <si>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</si>
  <si>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</si>
  <si>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</si>
  <si>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</si>
  <si>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</si>
  <si>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</si>
  <si>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</si>
  <si>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</si>
  <si>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</si>
  <si>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</si>
  <si>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</si>
  <si>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</si>
  <si>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</si>
  <si>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</si>
  <si>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</si>
  <si>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</si>
  <si>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</si>
  <si>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</si>
  <si>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</si>
  <si>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</si>
  <si>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</si>
  <si>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</si>
  <si>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</si>
  <si>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</si>
  <si>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</si>
  <si>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</si>
  <si>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</si>
  <si>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</si>
  <si>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</si>
  <si>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</si>
  <si>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</si>
  <si>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</si>
  <si>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</si>
  <si>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</si>
  <si>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</si>
  <si>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</si>
  <si>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</si>
  <si>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</si>
  <si>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</si>
  <si>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</si>
  <si>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</si>
  <si>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</si>
  <si>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</si>
  <si>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</si>
  <si>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</si>
  <si>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</si>
  <si>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</si>
  <si>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</si>
  <si>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</si>
  <si>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</si>
  <si>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</si>
  <si>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</si>
  <si>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</si>
  <si>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</si>
  <si>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</si>
  <si>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</si>
  <si>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</si>
  <si>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</si>
  <si>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</si>
  <si>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</si>
  <si>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</si>
  <si>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</si>
  <si>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</si>
  <si>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</si>
  <si>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</si>
  <si>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</si>
  <si>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</si>
  <si>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</si>
  <si>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</si>
  <si>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</si>
  <si>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</si>
  <si>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</si>
  <si>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</si>
  <si>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</si>
  <si>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</si>
  <si>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</si>
  <si>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</si>
  <si>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</si>
  <si>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</si>
  <si>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</si>
  <si>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</si>
  <si>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</si>
  <si>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</si>
  <si>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</si>
  <si>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</si>
  <si>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</si>
  <si>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</si>
  <si>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</si>
  <si>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</si>
  <si>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</si>
  <si>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</si>
  <si>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</si>
  <si>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</si>
  <si>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</si>
  <si>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</si>
  <si>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</si>
  <si>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</si>
  <si>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</si>
  <si>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</si>
  <si>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</si>
  <si>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</si>
  <si>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</si>
  <si>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</si>
  <si>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</si>
  <si>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</si>
  <si>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</si>
  <si>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</si>
  <si>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</si>
  <si>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</si>
  <si>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</si>
  <si>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</si>
  <si>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</si>
  <si>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</si>
  <si>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</si>
  <si>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</si>
  <si>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</si>
  <si>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</si>
  <si>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</si>
  <si>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</si>
  <si>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</si>
  <si>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</si>
  <si>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</si>
  <si>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</si>
  <si>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</si>
  <si>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</si>
  <si>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</si>
  <si>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</si>
  <si>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</si>
  <si>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</si>
  <si>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</si>
  <si>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</si>
  <si>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</si>
  <si>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</si>
  <si>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</si>
  <si>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</si>
  <si>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</si>
  <si>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</si>
  <si>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</si>
  <si>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</si>
  <si>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</si>
  <si>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</si>
  <si>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</si>
  <si>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</si>
  <si>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</si>
  <si>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</si>
  <si>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</si>
  <si>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</si>
  <si>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</si>
  <si>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</si>
  <si>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</si>
  <si>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</si>
  <si>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</si>
  <si>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</si>
  <si>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</si>
  <si>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</si>
  <si>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</si>
  <si>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</si>
  <si>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</si>
  <si>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</si>
  <si>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</si>
  <si>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</si>
  <si>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</si>
  <si>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</si>
  <si>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</si>
  <si>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</si>
  <si>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</si>
  <si>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</si>
  <si>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</si>
  <si>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</si>
  <si>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</si>
  <si>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</si>
  <si>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</si>
  <si>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</si>
  <si>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</si>
  <si>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</si>
  <si>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</si>
  <si>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</si>
  <si>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</si>
  <si>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</si>
  <si>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</si>
  <si>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</si>
  <si>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</si>
  <si>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</si>
  <si>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</si>
  <si>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</si>
  <si>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</si>
  <si>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</si>
  <si>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</si>
  <si>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</si>
  <si>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</si>
  <si>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</si>
  <si>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</si>
  <si>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</si>
  <si>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</si>
  <si>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</si>
  <si>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</si>
  <si>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</si>
  <si>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</si>
  <si>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</si>
  <si>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</si>
  <si>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</si>
  <si>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</si>
  <si>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</si>
  <si>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</si>
  <si>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</si>
  <si>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</si>
  <si>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</si>
  <si>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</si>
  <si>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</si>
  <si>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</si>
  <si>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</si>
  <si>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</si>
  <si>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</si>
  <si>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</si>
  <si>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</si>
  <si>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</si>
  <si>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</si>
  <si>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</si>
  <si>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</si>
  <si>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</si>
  <si>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</si>
  <si>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</si>
  <si>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</si>
  <si>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</si>
  <si>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</si>
  <si>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</si>
  <si>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</si>
  <si>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</si>
  <si>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</si>
  <si>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</si>
  <si>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</si>
  <si>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</si>
  <si>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</si>
  <si>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</si>
  <si>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</si>
  <si>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</si>
  <si>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</si>
  <si>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</si>
  <si>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</si>
  <si>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</si>
  <si>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</si>
  <si>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</si>
  <si>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</si>
  <si>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</si>
  <si>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</si>
  <si>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</si>
  <si>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</si>
  <si>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</si>
  <si>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</si>
  <si>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</si>
  <si>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</si>
  <si>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</si>
  <si>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</si>
  <si>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</si>
  <si>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</si>
  <si>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</si>
  <si>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</si>
  <si>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</si>
  <si>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</si>
  <si>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</si>
  <si>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</si>
  <si>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</si>
  <si>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</si>
  <si>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</si>
  <si>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</si>
  <si>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</si>
  <si>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</si>
  <si>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</si>
  <si>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</si>
  <si>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</si>
  <si>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</si>
  <si>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</si>
  <si>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</si>
  <si>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</si>
  <si>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</si>
  <si>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</si>
  <si>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</si>
  <si>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</si>
  <si>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</si>
  <si>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</si>
  <si>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</si>
  <si>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</si>
  <si>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</si>
  <si>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</si>
  <si>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</si>
  <si>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</si>
  <si>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</si>
  <si>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</si>
  <si>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</si>
  <si>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</si>
  <si>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</si>
  <si>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</si>
  <si>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</si>
  <si>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</si>
  <si>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</si>
  <si>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</si>
  <si>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</si>
  <si>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</si>
  <si>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</si>
  <si>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</si>
  <si>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</si>
  <si>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</si>
  <si>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</si>
  <si>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</si>
  <si>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</si>
  <si>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</si>
  <si>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</si>
  <si>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</si>
  <si>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</si>
  <si>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</si>
  <si>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</si>
  <si>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</si>
  <si>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</si>
  <si>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</si>
  <si>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</si>
  <si>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</si>
  <si>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</si>
  <si>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</si>
  <si>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</si>
  <si>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</si>
  <si>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</si>
  <si>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</si>
  <si>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</si>
  <si>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</si>
  <si>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</si>
  <si>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</si>
  <si>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</si>
  <si>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</si>
  <si>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</si>
  <si>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</si>
  <si>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</si>
  <si>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</si>
  <si>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</si>
  <si>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</si>
  <si>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</si>
  <si>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</si>
  <si>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</si>
  <si>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</si>
  <si>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</si>
  <si>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</si>
  <si>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</si>
  <si>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</si>
  <si>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</si>
  <si>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</si>
  <si>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</si>
  <si>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</si>
  <si>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</si>
  <si>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</si>
  <si>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</si>
  <si>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</si>
  <si>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</si>
  <si>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</si>
  <si>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</si>
  <si>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</si>
  <si>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</si>
  <si>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</si>
  <si>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</si>
  <si>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</si>
  <si>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</si>
  <si>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</si>
  <si>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</si>
  <si>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</si>
  <si>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</si>
  <si>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</si>
  <si>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</si>
  <si>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</si>
  <si>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</si>
  <si>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</si>
  <si>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</si>
  <si>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</si>
  <si>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</si>
  <si>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</si>
  <si>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</si>
  <si>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</si>
  <si>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</si>
  <si>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</si>
  <si>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</si>
  <si>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</si>
  <si>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</si>
  <si>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</si>
  <si>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</si>
  <si>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</si>
  <si>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</si>
  <si>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</si>
  <si>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</si>
  <si>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</si>
  <si>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</si>
  <si>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</si>
  <si>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</si>
  <si>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</si>
  <si>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</si>
  <si>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</si>
  <si>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</si>
  <si>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</si>
  <si>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</si>
  <si>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</si>
  <si>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</si>
  <si>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</si>
  <si>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</si>
  <si>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</si>
  <si>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</si>
  <si>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</si>
  <si>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</si>
  <si>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</si>
  <si>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</si>
  <si>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</si>
  <si>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</si>
  <si>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</si>
  <si>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</si>
  <si>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</si>
  <si>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</si>
  <si>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</si>
  <si>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</si>
  <si>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</si>
  <si>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</si>
  <si>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</si>
  <si>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</si>
  <si>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</si>
  <si>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</si>
  <si>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</si>
  <si>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</si>
  <si>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</si>
  <si>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</si>
  <si>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</si>
  <si>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</si>
  <si>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</si>
  <si>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</si>
  <si>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</si>
  <si>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</si>
  <si>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</si>
  <si>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</si>
  <si>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</si>
  <si>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</si>
  <si>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</si>
  <si>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</si>
  <si>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</si>
  <si>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</si>
  <si>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</si>
  <si>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</si>
  <si>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</si>
  <si>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</si>
  <si>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</si>
  <si>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</si>
  <si>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</si>
  <si>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</si>
  <si>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</si>
  <si>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</si>
  <si>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</si>
  <si>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</si>
  <si>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</si>
  <si>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</si>
  <si>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</si>
  <si>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</si>
  <si>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</si>
  <si>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</si>
  <si>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</si>
  <si>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</si>
  <si>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</si>
  <si>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</si>
  <si>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</si>
  <si>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</si>
  <si>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</si>
  <si>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</si>
  <si>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</si>
  <si>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</si>
  <si>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</si>
  <si>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</si>
  <si>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</si>
  <si>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</si>
  <si>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</si>
  <si>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</si>
  <si>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</si>
  <si>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</si>
  <si>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</si>
  <si>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</si>
  <si>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</si>
  <si>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</si>
  <si>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</si>
  <si>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</si>
  <si>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</si>
  <si>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</si>
  <si>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</si>
  <si>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</si>
  <si>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</si>
  <si>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</si>
  <si>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</si>
  <si>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</si>
  <si>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</si>
  <si>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</si>
  <si>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</si>
  <si>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</si>
  <si>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</si>
  <si>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</si>
  <si>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</si>
  <si>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</si>
  <si>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</si>
  <si>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</si>
  <si>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</si>
  <si>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</si>
  <si>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</si>
  <si>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</si>
  <si>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</si>
  <si>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</si>
  <si>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</si>
  <si>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</si>
  <si>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</si>
  <si>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</si>
  <si>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</si>
  <si>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</si>
  <si>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</si>
  <si>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</si>
  <si>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</si>
  <si>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</si>
  <si>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</si>
  <si>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</si>
  <si>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</si>
  <si>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</si>
  <si>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</si>
  <si>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</si>
  <si>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</si>
  <si>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</si>
  <si>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</si>
  <si>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</si>
  <si>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</si>
  <si>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</si>
  <si>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</si>
  <si>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</si>
  <si>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</si>
  <si>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</si>
  <si>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</si>
  <si>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</si>
  <si>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</si>
  <si>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</si>
  <si>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</si>
  <si>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</si>
  <si>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</si>
  <si>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</si>
  <si>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</si>
  <si>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</si>
  <si>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</si>
  <si>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</si>
  <si>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</si>
  <si>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</si>
  <si>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</si>
  <si>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</si>
  <si>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</si>
  <si>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</si>
  <si>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</si>
  <si>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</si>
  <si>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</si>
  <si>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</si>
  <si>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</si>
  <si>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</si>
  <si>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</si>
  <si>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</si>
  <si>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</si>
  <si>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</si>
  <si>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</si>
  <si>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</si>
  <si>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</si>
  <si>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</si>
  <si>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</si>
  <si>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</si>
  <si>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</si>
  <si>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</si>
  <si>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</si>
  <si>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</si>
  <si>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</si>
  <si>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</si>
  <si>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</si>
  <si>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</si>
  <si>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</si>
  <si>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</si>
  <si>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</si>
  <si>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</si>
  <si>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</si>
  <si>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</si>
  <si>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</si>
  <si>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</si>
  <si>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</si>
  <si>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</si>
  <si>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</si>
  <si>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</si>
  <si>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</si>
  <si>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</si>
  <si>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</si>
  <si>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</si>
  <si>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</si>
  <si>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</si>
  <si>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</si>
  <si>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</si>
  <si>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</si>
  <si>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</si>
  <si>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</si>
  <si>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</si>
  <si>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</si>
  <si>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</si>
  <si>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</si>
  <si>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</si>
  <si>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</si>
  <si>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</si>
  <si>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</si>
  <si>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</si>
  <si>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</si>
  <si>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</si>
  <si>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</si>
  <si>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</si>
  <si>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</si>
  <si>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</si>
  <si>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</si>
  <si>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</si>
  <si>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</si>
  <si>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</si>
  <si>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</si>
  <si>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</si>
  <si>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</si>
  <si>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</si>
  <si>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</si>
  <si>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</si>
  <si>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</si>
  <si>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</si>
  <si>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</si>
  <si>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</si>
  <si>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</si>
  <si>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</si>
  <si>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</si>
  <si>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</si>
  <si>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</si>
  <si>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</si>
  <si>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</si>
  <si>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</si>
  <si>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</si>
  <si>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</si>
  <si>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</si>
  <si>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</si>
  <si>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</si>
  <si>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</si>
  <si>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</si>
  <si>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</si>
  <si>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</si>
  <si>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</si>
  <si>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</si>
  <si>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</si>
  <si>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</si>
  <si>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</si>
  <si>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</si>
  <si>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</si>
  <si>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</si>
  <si>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</si>
  <si>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</si>
  <si>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</si>
  <si>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</si>
  <si>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</si>
  <si>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</si>
  <si>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</si>
  <si>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</si>
  <si>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</si>
  <si>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</si>
  <si>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</si>
  <si>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</si>
  <si>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</si>
  <si>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</si>
  <si>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</si>
  <si>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</si>
  <si>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</si>
  <si>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</si>
  <si>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</si>
  <si>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</si>
  <si>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</si>
  <si>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</si>
  <si>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</si>
  <si>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</si>
  <si>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</si>
  <si>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</si>
  <si>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</si>
  <si>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</si>
  <si>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</si>
  <si>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</si>
  <si>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</si>
  <si>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</si>
  <si>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</si>
  <si>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</si>
  <si>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</si>
  <si>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</si>
  <si>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</si>
  <si>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</si>
  <si>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</si>
  <si>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</si>
  <si>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</si>
  <si>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</si>
  <si>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</si>
  <si>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</si>
  <si>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</si>
  <si>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</si>
  <si>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</si>
  <si>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</si>
  <si>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</si>
  <si>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</si>
  <si>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</si>
  <si>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</si>
  <si>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</si>
  <si>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</si>
  <si>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</si>
  <si>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</si>
  <si>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</si>
  <si>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</si>
  <si>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</si>
  <si>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</si>
  <si>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</si>
  <si>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</si>
  <si>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</si>
  <si>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</si>
  <si>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</si>
  <si>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</si>
  <si>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</si>
  <si>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</si>
  <si>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</si>
  <si>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</si>
  <si>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</si>
  <si>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</si>
  <si>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</si>
  <si>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</si>
  <si>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</si>
  <si>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</si>
  <si>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</si>
  <si>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</si>
  <si>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</si>
  <si>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</si>
  <si>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</si>
  <si>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</si>
  <si>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</si>
  <si>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</si>
  <si>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</si>
  <si>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</si>
  <si>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</si>
  <si>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</si>
  <si>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</si>
  <si>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</si>
  <si>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</si>
  <si>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</si>
  <si>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</si>
  <si>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</si>
  <si>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</si>
  <si>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</si>
  <si>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</si>
  <si>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</si>
  <si>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</si>
  <si>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</si>
  <si>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</si>
  <si>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</si>
  <si>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</si>
  <si>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</si>
  <si>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</si>
  <si>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</si>
  <si>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</si>
  <si>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</si>
  <si>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</si>
  <si>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</si>
  <si>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</si>
  <si>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</si>
  <si>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</si>
  <si>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</si>
  <si>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</si>
  <si>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</si>
  <si>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</si>
  <si>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</si>
  <si>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</si>
  <si>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</si>
  <si>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</si>
  <si>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</si>
  <si>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</si>
  <si>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</si>
  <si>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</si>
  <si>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</si>
  <si>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</si>
  <si>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</si>
  <si>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</si>
  <si>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</si>
  <si>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</si>
  <si>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</si>
  <si>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</si>
  <si>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</si>
  <si>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</si>
  <si>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</si>
  <si>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</si>
  <si>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</si>
  <si>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</si>
  <si>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</si>
  <si>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</si>
  <si>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</si>
  <si>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</si>
  <si>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</si>
  <si>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</si>
  <si>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</si>
  <si>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</si>
  <si>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</si>
  <si>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</si>
  <si>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</si>
  <si>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</si>
  <si>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</si>
  <si>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</si>
  <si>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</si>
  <si>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</si>
  <si>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</si>
  <si>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</si>
  <si>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</si>
  <si>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</si>
  <si>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</si>
  <si>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</si>
  <si>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</si>
  <si>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</si>
  <si>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</si>
  <si>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</si>
  <si>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</si>
  <si>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</si>
  <si>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</si>
  <si>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</si>
  <si>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</si>
  <si>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</si>
  <si>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</si>
  <si>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</si>
  <si>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</si>
  <si>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</si>
  <si>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</si>
  <si>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</si>
  <si>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</si>
  <si>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</si>
  <si>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</si>
  <si>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</si>
  <si>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</si>
  <si>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</si>
  <si>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</si>
  <si>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</si>
  <si>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</si>
  <si>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</si>
  <si>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</si>
  <si>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</si>
  <si>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</si>
  <si>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</si>
  <si>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</si>
  <si>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</si>
  <si>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</si>
  <si>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</si>
  <si>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</si>
  <si>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</si>
  <si>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</si>
  <si>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</si>
  <si>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</si>
  <si>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</si>
  <si>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</si>
  <si>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</si>
  <si>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</si>
  <si>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</si>
  <si>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</si>
  <si>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</si>
  <si>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</si>
  <si>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</si>
  <si>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</si>
  <si>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</si>
  <si>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</si>
  <si>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</si>
  <si>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</si>
  <si>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</si>
  <si>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</si>
  <si>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</si>
  <si>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</si>
  <si>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</si>
  <si>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</si>
  <si>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</si>
  <si>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</si>
  <si>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</si>
  <si>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</si>
  <si>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</si>
  <si>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</si>
  <si>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</si>
  <si>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</si>
  <si>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</si>
  <si>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</si>
  <si>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</si>
  <si>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</si>
  <si>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</si>
  <si>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</si>
  <si>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</si>
  <si>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</si>
  <si>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</si>
  <si>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</si>
  <si>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</si>
  <si>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</si>
  <si>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</si>
  <si>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</si>
  <si>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</si>
  <si>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</si>
  <si>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</si>
  <si>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</si>
  <si>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</si>
  <si>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</si>
  <si>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</si>
  <si>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</si>
  <si>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</si>
  <si>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</si>
  <si>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</si>
  <si>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</si>
  <si>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</si>
  <si>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</si>
  <si>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</si>
  <si>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</si>
  <si>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</si>
  <si>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</si>
  <si>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</si>
  <si>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</si>
  <si>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</si>
  <si>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</si>
  <si>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</si>
  <si>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</si>
  <si>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</si>
  <si>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</si>
  <si>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</si>
  <si>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</si>
  <si>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</si>
  <si>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</si>
  <si>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</si>
  <si>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</si>
  <si>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</si>
  <si>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</si>
  <si>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</si>
  <si>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</si>
  <si>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</si>
  <si>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</si>
  <si>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</si>
  <si>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</si>
  <si>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</si>
  <si>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</si>
  <si>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</si>
  <si>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</si>
  <si>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</si>
  <si>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</si>
  <si>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</si>
  <si>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</si>
  <si>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</si>
  <si>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</si>
  <si>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</si>
  <si>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</si>
  <si>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</si>
  <si>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</si>
  <si>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</si>
  <si>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</si>
  <si>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</si>
  <si>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</si>
  <si>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</si>
  <si>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</si>
  <si>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</si>
  <si>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</si>
  <si>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</si>
  <si>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</si>
  <si>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</si>
  <si>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</si>
  <si>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</si>
  <si>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</si>
  <si>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</si>
  <si>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</si>
  <si>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</si>
  <si>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</si>
  <si>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</si>
  <si>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</si>
  <si>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</si>
  <si>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</si>
  <si>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</si>
  <si>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</si>
  <si>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</si>
  <si>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</si>
  <si>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</si>
  <si>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</si>
  <si>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</si>
  <si>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</si>
  <si>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</si>
  <si>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</si>
  <si>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</si>
  <si>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</si>
  <si>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</si>
  <si>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</si>
  <si>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</si>
  <si>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</si>
  <si>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</si>
  <si>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</si>
  <si>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</si>
  <si>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</si>
  <si>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</si>
  <si>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</si>
  <si>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</si>
  <si>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</si>
  <si>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</si>
  <si>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</si>
  <si>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</si>
  <si>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</si>
  <si>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</si>
  <si>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</si>
  <si>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</si>
  <si>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</si>
  <si>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</si>
  <si>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</si>
  <si>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</si>
  <si>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</si>
  <si>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</si>
  <si>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</si>
  <si>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</si>
  <si>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</si>
  <si>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</si>
  <si>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</si>
  <si>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</si>
  <si>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</si>
  <si>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</si>
  <si>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</si>
  <si>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</si>
  <si>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</si>
  <si>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</si>
  <si>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</si>
  <si>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</si>
  <si>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</si>
  <si>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</si>
  <si>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</si>
  <si>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</si>
  <si>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</si>
  <si>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</si>
  <si>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</si>
  <si>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</si>
  <si>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</si>
  <si>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</si>
  <si>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</si>
  <si>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</si>
  <si>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</si>
  <si>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</si>
  <si>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</si>
  <si>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</si>
  <si>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</si>
  <si>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</si>
  <si>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</si>
  <si>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</si>
  <si>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</si>
  <si>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</si>
  <si>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</si>
  <si>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</si>
  <si>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</si>
  <si>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</si>
  <si>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</si>
  <si>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</si>
  <si>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</si>
  <si>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</si>
  <si>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</si>
  <si>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</si>
  <si>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</si>
  <si>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</si>
  <si>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</si>
  <si>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</si>
  <si>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</si>
  <si>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</si>
  <si>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</si>
  <si>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</si>
  <si>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</si>
  <si>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</si>
  <si>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</si>
  <si>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</si>
  <si>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</si>
  <si>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</si>
  <si>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</si>
  <si>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</si>
  <si>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</si>
  <si>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</si>
  <si>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</si>
  <si>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</si>
  <si>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</si>
  <si>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</si>
  <si>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</si>
  <si>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</si>
  <si>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</si>
  <si>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</si>
  <si>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</si>
  <si>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</si>
  <si>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</si>
  <si>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</si>
  <si>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</si>
  <si>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</si>
  <si>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</si>
  <si>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</si>
  <si>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</si>
  <si>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</si>
  <si>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</si>
  <si>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</si>
  <si>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</si>
  <si>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</si>
  <si>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</si>
  <si>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</si>
  <si>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</si>
  <si>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</si>
  <si>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</si>
  <si>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</si>
  <si>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</si>
  <si>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</si>
  <si>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</si>
  <si>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</si>
  <si>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</si>
  <si>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</si>
  <si>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</si>
  <si>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</si>
  <si>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</si>
  <si>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</si>
  <si>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</si>
  <si>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</si>
  <si>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</si>
  <si>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</si>
  <si>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</si>
  <si>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</si>
  <si>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</si>
  <si>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</si>
  <si>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</si>
  <si>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</si>
  <si>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</si>
  <si>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</si>
  <si>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</si>
  <si>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</si>
  <si>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</si>
  <si>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</si>
  <si>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</si>
  <si>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</si>
  <si>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</si>
  <si>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</si>
  <si>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</si>
  <si>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</si>
  <si>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</si>
  <si>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</si>
  <si>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</si>
  <si>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</si>
  <si>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</si>
  <si>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</si>
  <si>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</si>
  <si>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</si>
  <si>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</si>
  <si>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</si>
  <si>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</si>
  <si>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</si>
  <si>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</si>
  <si>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</si>
  <si>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</si>
  <si>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</si>
  <si>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</si>
  <si>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</si>
  <si>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</si>
  <si>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</si>
  <si>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</si>
  <si>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</si>
  <si>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</si>
  <si>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</si>
  <si>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</si>
  <si>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</si>
  <si>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</si>
  <si>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</si>
  <si>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</si>
  <si>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</si>
  <si>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</si>
  <si>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</si>
  <si>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</si>
  <si>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</si>
  <si>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</si>
  <si>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</si>
  <si>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</si>
  <si>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</si>
  <si>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</si>
  <si>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</si>
  <si>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</si>
  <si>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</si>
  <si>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</si>
  <si>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</si>
  <si>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</si>
  <si>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</si>
  <si>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</si>
  <si>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</si>
  <si>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</si>
  <si>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</si>
  <si>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</si>
  <si>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</si>
  <si>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</si>
  <si>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</si>
  <si>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</si>
  <si>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</si>
  <si>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</si>
  <si>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</si>
  <si>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</si>
  <si>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</si>
  <si>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</si>
  <si>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</si>
  <si>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</si>
  <si>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</si>
  <si>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</si>
  <si>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</si>
  <si>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</si>
  <si>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</si>
  <si>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</si>
  <si>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</si>
  <si>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</si>
  <si>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</si>
  <si>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</si>
  <si>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</si>
  <si>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</si>
  <si>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</si>
  <si>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</si>
  <si>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</si>
  <si>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</si>
  <si>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</si>
  <si>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</si>
  <si>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</si>
  <si>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</si>
  <si>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</si>
  <si>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</si>
  <si>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</si>
  <si>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</si>
  <si>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</si>
  <si>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</si>
  <si>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</si>
  <si>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</si>
  <si>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</si>
  <si>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</si>
  <si>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</si>
  <si>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</si>
  <si>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</si>
  <si>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</si>
  <si>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</si>
  <si>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</si>
  <si>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</si>
  <si>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</si>
  <si>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</si>
  <si>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</si>
  <si>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</si>
  <si>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</si>
  <si>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</si>
  <si>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</si>
  <si>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</si>
  <si>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</si>
  <si>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</si>
  <si>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</si>
  <si>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</si>
  <si>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</si>
  <si>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</si>
  <si>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</si>
  <si>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</si>
  <si>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</si>
  <si>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</si>
  <si>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</si>
  <si>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</si>
  <si>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</si>
  <si>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</si>
  <si>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</si>
  <si>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</si>
  <si>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</si>
  <si>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</si>
  <si>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</si>
  <si>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</si>
  <si>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</si>
  <si>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</si>
  <si>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</si>
  <si>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</si>
  <si>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</si>
  <si>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</si>
  <si>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</si>
  <si>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</si>
  <si>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</si>
  <si>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</si>
  <si>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</si>
  <si>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</si>
  <si>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</si>
  <si>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</si>
  <si>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</si>
  <si>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</si>
  <si>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</si>
  <si>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</si>
  <si>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</si>
  <si>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</si>
  <si>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</si>
  <si>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</si>
  <si>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</si>
  <si>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</si>
  <si>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</si>
  <si>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</si>
  <si>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</si>
  <si>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</si>
  <si>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</si>
  <si>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</si>
  <si>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</si>
  <si>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</si>
  <si>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</si>
  <si>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</si>
  <si>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</si>
  <si>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</si>
  <si>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</si>
  <si>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</si>
  <si>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</si>
  <si>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</si>
  <si>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</si>
  <si>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</si>
  <si>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</si>
  <si>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</si>
  <si>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</si>
  <si>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</si>
  <si>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</si>
  <si>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</si>
  <si>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</si>
  <si>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</si>
  <si>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</si>
  <si>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</si>
  <si>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</si>
  <si>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</si>
  <si>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</si>
  <si>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</si>
  <si>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</si>
  <si>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</si>
  <si>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</si>
  <si>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</si>
  <si>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</si>
  <si>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</si>
  <si>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</si>
  <si>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</si>
  <si>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</si>
  <si>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</si>
  <si>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</si>
  <si>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</si>
  <si>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</si>
  <si>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</si>
  <si>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</si>
  <si>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</si>
  <si>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</si>
  <si>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</si>
  <si>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</si>
  <si>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</si>
  <si>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</si>
  <si>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</si>
  <si>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</si>
  <si>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</si>
  <si>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</si>
  <si>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</si>
  <si>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</si>
  <si>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</si>
  <si>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</si>
  <si>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</si>
  <si>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</si>
  <si>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</si>
  <si>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</si>
  <si>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</si>
  <si>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</si>
  <si>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</si>
  <si>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</si>
  <si>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</si>
  <si>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</si>
  <si>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</si>
  <si>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</si>
  <si>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</si>
  <si>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</si>
  <si>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</si>
  <si>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</si>
  <si>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</si>
  <si>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</si>
  <si>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</si>
  <si>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</si>
  <si>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</si>
  <si>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</si>
  <si>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</si>
  <si>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</si>
  <si>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</si>
  <si>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</si>
  <si>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</si>
  <si>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</si>
  <si>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</si>
  <si>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</si>
  <si>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</si>
  <si>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</si>
  <si>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</si>
  <si>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</si>
  <si>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</si>
  <si>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</si>
  <si>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</si>
  <si>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</si>
  <si>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</si>
  <si>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</si>
  <si>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</si>
  <si>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</si>
  <si>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</si>
  <si>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</si>
  <si>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</si>
  <si>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</si>
  <si>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</si>
  <si>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</si>
  <si>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</si>
  <si>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</si>
  <si>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</si>
  <si>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</si>
  <si>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</si>
  <si>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</si>
  <si>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</si>
  <si>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</si>
  <si>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</si>
  <si>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</si>
  <si>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</si>
  <si>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</si>
  <si>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</si>
  <si>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</si>
  <si>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</si>
  <si>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</si>
  <si>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</si>
  <si>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</si>
  <si>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</si>
  <si>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</si>
  <si>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</si>
  <si>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</si>
  <si>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</si>
  <si>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</si>
  <si>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</si>
  <si>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</si>
  <si>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</si>
  <si>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</si>
  <si>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</si>
  <si>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</si>
  <si>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</si>
  <si>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</si>
  <si>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</si>
  <si>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</si>
  <si>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</si>
  <si>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</si>
  <si>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</si>
  <si>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</si>
  <si>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</si>
  <si>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</si>
  <si>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</si>
  <si>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</si>
  <si>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</si>
  <si>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</si>
  <si>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</si>
  <si>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</si>
  <si>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</si>
  <si>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</si>
  <si>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</si>
  <si>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</si>
  <si>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</si>
  <si>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</si>
  <si>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</si>
  <si>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</si>
  <si>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</si>
  <si>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</si>
  <si>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</si>
  <si>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</si>
  <si>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</si>
  <si>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</si>
  <si>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</si>
  <si>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</si>
  <si>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</si>
  <si>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</si>
  <si>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</si>
  <si>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</si>
  <si>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</si>
  <si>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Median number of backers</t>
  </si>
  <si>
    <t>Mean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</si>
  <si>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</si>
  <si>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</si>
  <si>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</si>
  <si>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</si>
  <si>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campaigns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</si>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</sst>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left"/>
    </xf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>
          <bgColor rgb="FFFF6969"/>
        </patternFill>
      </fill>
    </dxf>
    <dxf>
      <fill>
        <patternFill>
          <bgColor rgb="FF2FA6FF"/>
        </patternFill>
      </fill>
    </dxf>
    <dxf>
      <fill>
        <patternFill>
          <bgColor rgb="FFFFFF99"/>
        </patternFill>
      </fill>
    </dxf>
    <dxf>
      <fill>
        <patternFill>
          <bgColor rgb="FF33FF8F"/>
        </patternFill>
      </fill>
    </dxf>
    <dxf>
      <fill>
        <patternFill>
          <bgColor rgb="FFFF6969"/>
        </patternFill>
      </fill>
    </dxf>
    <dxf>
      <fill>
        <patternFill>
          <bgColor rgb="FF2FA6FF"/>
        </patternFill>
      </fill>
    </dxf>
    <dxf>
      <fill>
        <patternFill>
          <bgColor rgb="FFFFFF99"/>
        </patternFill>
      </fill>
    </dxf>
    <dxf>
      <fill>
        <patternFill>
          <bgColor rgb="FF33FF8F"/>
        </patternFill>
      </fill>
    </dxf>
    <dxf>
      <fill>
        <patternFill>
          <bgColor rgb="FFFF6969"/>
        </patternFill>
      </fill>
    </dxf>
    <dxf>
      <fill>
        <patternFill>
          <bgColor rgb="FF2FA6FF"/>
        </patternFill>
      </fill>
    </dxf>
    <dxf>
      <fill>
        <patternFill>
          <bgColor rgb="FFFFFF99"/>
        </patternFill>
      </fill>
    </dxf>
    <dxf>
      <fill>
        <patternFill>
          <bgColor rgb="FF33FF8F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4B4B"/>
      <color rgb="FF33FF8F"/>
      <color rgb="FFFFFF99"/>
      <color rgb="FF2FA6FF"/>
      <color rgb="FFFF6969"/>
      <color rgb="FF6574FF"/>
      <color rgb="FFA0CC82"/>
      <color rgb="FF0013CC"/>
      <color rgb="FFA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A-404E-A328-57856169FD2A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A-404E-A328-57856169FD2A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A-404E-A328-57856169FD2A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A-404E-A328-57856169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2903343"/>
        <c:axId val="722185663"/>
      </c:barChart>
      <c:catAx>
        <c:axId val="81290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85663"/>
        <c:crosses val="autoZero"/>
        <c:auto val="1"/>
        <c:lblAlgn val="ctr"/>
        <c:lblOffset val="100"/>
        <c:noMultiLvlLbl val="0"/>
      </c:catAx>
      <c:valAx>
        <c:axId val="7221856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0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F-4AF3-AAA9-E0567F70E3DE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F-4AF3-AAA9-E0567F70E3DE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F-4AF3-AAA9-E0567F70E3DE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F-4AF3-AAA9-E0567F70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80895"/>
        <c:axId val="923453391"/>
      </c:barChart>
      <c:catAx>
        <c:axId val="9202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3391"/>
        <c:crosses val="autoZero"/>
        <c:auto val="1"/>
        <c:lblAlgn val="ctr"/>
        <c:lblOffset val="100"/>
        <c:noMultiLvlLbl val="0"/>
      </c:catAx>
      <c:valAx>
        <c:axId val="92345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E-490D-B88E-5153BC920830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E-490D-B88E-5153BC920830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E-490D-B88E-5153BC92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274399"/>
        <c:axId val="927320207"/>
      </c:lineChart>
      <c:catAx>
        <c:axId val="9202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20207"/>
        <c:crosses val="autoZero"/>
        <c:auto val="1"/>
        <c:lblAlgn val="ctr"/>
        <c:lblOffset val="100"/>
        <c:noMultiLvlLbl val="0"/>
      </c:catAx>
      <c:valAx>
        <c:axId val="92732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5-482D-B81D-4D59362812CD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5-482D-B81D-4D59362812CD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5-482D-B81D-4D593628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943679"/>
        <c:axId val="721971327"/>
      </c:lineChart>
      <c:catAx>
        <c:axId val="92994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71327"/>
        <c:crosses val="autoZero"/>
        <c:auto val="1"/>
        <c:lblAlgn val="ctr"/>
        <c:lblOffset val="100"/>
        <c:noMultiLvlLbl val="0"/>
      </c:catAx>
      <c:valAx>
        <c:axId val="7219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4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Range of backers count in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Range of backers count in successful campaigns</a:t>
          </a:r>
        </a:p>
      </cx:txPr>
    </cx:title>
    <cx:plotArea>
      <cx:plotAreaRegion>
        <cx:series layoutId="clusteredColumn" uniqueId="{DC13D963-C905-464A-B21D-3BCAC02AB0EE}">
          <cx:tx>
            <cx:txData>
              <cx:f>_xlchart.v1.4</cx:f>
              <cx:v>backers_count</cx:v>
            </cx:txData>
          </cx:tx>
          <cx:spPr>
            <a:solidFill>
              <a:srgbClr val="33FF8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Range of backers count in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Range of backers count in failed campaigns</a:t>
          </a:r>
        </a:p>
      </cx:txPr>
    </cx:title>
    <cx:plotArea>
      <cx:plotAreaRegion>
        <cx:series layoutId="clusteredColumn" uniqueId="{EB7A65E5-15CD-49B5-AD74-EFEDA616B5D0}">
          <cx:tx>
            <cx:txData>
              <cx:f>_xlchart.v1.0</cx:f>
              <cx:v>backers_count</cx:v>
            </cx:txData>
          </cx:tx>
          <cx:spPr>
            <a:solidFill>
              <a:srgbClr val="FF4B4B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190500</xdr:rowOff>
    </xdr:from>
    <xdr:to>
      <xdr:col>17</xdr:col>
      <xdr:colOff>47625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B7687-456A-4B74-9778-E6A79E071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28575</xdr:rowOff>
    </xdr:from>
    <xdr:to>
      <xdr:col>20</xdr:col>
      <xdr:colOff>428624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217FC-62EA-F534-26A5-EB2EACB1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514351</xdr:colOff>
      <xdr:row>1</xdr:row>
      <xdr:rowOff>0</xdr:rowOff>
    </xdr:from>
    <xdr:to>
      <xdr:col>14</xdr:col>
      <xdr:colOff>638175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3B9CC-87C9-A7B5-72E6-7907727B4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14</xdr:row>
      <xdr:rowOff>19049</xdr:rowOff>
    </xdr:from>
    <xdr:to>
      <xdr:col>10</xdr:col>
      <xdr:colOff>180975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540AB-25E6-373C-D6B8-C97EC88D7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0</xdr:row>
      <xdr:rowOff>28575</xdr:rowOff>
    </xdr:from>
    <xdr:to>
      <xdr:col>15</xdr:col>
      <xdr:colOff>471487</xdr:colOff>
      <xdr:row>13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472560-4386-969B-C8AF-EA92FC02C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3937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14287</xdr:colOff>
      <xdr:row>14</xdr:row>
      <xdr:rowOff>9525</xdr:rowOff>
    </xdr:from>
    <xdr:to>
      <xdr:col>15</xdr:col>
      <xdr:colOff>471487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CDFFC6-690A-3EB4-D6DF-800312249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3937" y="2809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5</xdr:col>
      <xdr:colOff>9527</xdr:colOff>
      <xdr:row>9</xdr:row>
      <xdr:rowOff>9525</xdr:rowOff>
    </xdr:from>
    <xdr:ext cx="2981323" cy="15811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FC27EE-1B49-A862-5B16-E1CDFB3C86E8}"/>
            </a:ext>
          </a:extLst>
        </xdr:cNvPr>
        <xdr:cNvSpPr txBox="1"/>
      </xdr:nvSpPr>
      <xdr:spPr>
        <a:xfrm>
          <a:off x="5305427" y="1809750"/>
          <a:ext cx="2981323" cy="15811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Both</a:t>
          </a:r>
          <a:r>
            <a:rPr lang="en-US" sz="1100" b="1" baseline="0"/>
            <a:t> the data for successful and failed campaigns are right-skew. Mean is typically better for symmetric distribution, while median is better for skewed data. Thus, median is better in this scenario.</a:t>
          </a:r>
        </a:p>
        <a:p>
          <a:endParaRPr lang="en-US" sz="1100" b="1" baseline="0"/>
        </a:p>
        <a:p>
          <a:r>
            <a:rPr lang="en-US" sz="1100" b="1" baseline="0"/>
            <a:t>There is more variability with successful campaigns than failed campaigns. </a:t>
          </a:r>
          <a:endParaRPr lang="en-US" sz="11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ng Le" refreshedDate="45200.698111342594" createdVersion="8" refreshedVersion="8" minRefreshableVersion="3" recordCount="1000" xr:uid="{536A9002-0D4F-43B0-94AF-3D007CC3BF0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E2458-A8A8-4420-A00D-22F53CD2EC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0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6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18" type="button" dataOnly="0" labelOnly="1" outline="0" axis="axisRow" fieldPosition="0"/>
    </format>
    <format dxfId="35">
      <pivotArea dataOnly="0" labelOnly="1" fieldPosition="0">
        <references count="1">
          <reference field="18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Col="1" outline="0" fieldPosition="0"/>
    </format>
  </format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46548-6B93-413B-B073-5D3F7A05FE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0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9" type="button" dataOnly="0" labelOnly="1" outline="0" axis="axisRow" fieldPosition="0"/>
    </format>
    <format dxfId="25">
      <pivotArea dataOnly="0" labelOnly="1" fieldPosition="0">
        <references count="1">
          <reference field="19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B6BCB-1C8C-407B-BAE2-3E606473F0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6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20" type="button" dataOnly="0" labelOnly="1" outline="0" axis="axisRow" fieldPosition="0"/>
    </format>
    <format dxfId="15">
      <pivotArea dataOnly="0" labelOnly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FF00"/>
      </a:accent1>
      <a:accent2>
        <a:srgbClr val="C00000"/>
      </a:accent2>
      <a:accent3>
        <a:srgbClr val="A5A5A5"/>
      </a:accent3>
      <a:accent4>
        <a:srgbClr val="4472C4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15" sqref="C1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375" customWidth="1"/>
    <col min="8" max="8" width="13" bestFit="1" customWidth="1"/>
    <col min="9" max="9" width="16.625" customWidth="1"/>
    <col min="12" max="13" width="11.125" bestFit="1" customWidth="1"/>
    <col min="14" max="14" width="22.25" style="4" customWidth="1"/>
    <col min="15" max="15" width="21.75" style="4" customWidth="1"/>
    <col min="18" max="18" width="28" bestFit="1" customWidth="1"/>
    <col min="19" max="19" width="18.125" customWidth="1"/>
    <col min="20" max="20" width="18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5" t="s">
        <v>2071</v>
      </c>
      <c r="O1" s="5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>
        <f>IF(H2&gt;0, ROUND(E2/H2, 2), 0)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 R2) -1)</f>
        <v>food</v>
      </c>
      <c r="T2" t="str">
        <f>RIGHT(R2, 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>
        <f t="shared" ref="I3:I66" si="1">IF(H3&gt;0, ROUND(E3/H3, 2), 0)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SEARCH("/", R3) -1)</f>
        <v>music</v>
      </c>
      <c r="T3" t="str">
        <f t="shared" ref="T3:T66" si="5">RIGHT(R3, 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 0)</f>
        <v>236</v>
      </c>
      <c r="G67" t="s">
        <v>20</v>
      </c>
      <c r="H67">
        <v>236</v>
      </c>
      <c r="I67">
        <f t="shared" ref="I67:I130" si="7">IF(H67&gt;0, ROUND(E67/H67, 2), 0)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 R67) -1)</f>
        <v>theater</v>
      </c>
      <c r="T67" t="str">
        <f t="shared" ref="T67:T130" si="11">RIGHT(R67, 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 0)</f>
        <v>3</v>
      </c>
      <c r="G131" t="s">
        <v>74</v>
      </c>
      <c r="H131">
        <v>55</v>
      </c>
      <c r="I131">
        <f t="shared" ref="I131:I194" si="13">IF(H131&gt;0, ROUND(E131/H131, 2), 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 R131) -1)</f>
        <v>food</v>
      </c>
      <c r="T131" t="str">
        <f t="shared" ref="T131:T194" si="17">RIGHT(R131, 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 0)</f>
        <v>46</v>
      </c>
      <c r="G195" t="s">
        <v>14</v>
      </c>
      <c r="H195">
        <v>65</v>
      </c>
      <c r="I195">
        <f t="shared" ref="I195:I258" si="19">IF(H195&gt;0, ROUND(E195/H195, 2), 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 R195) -1)</f>
        <v>music</v>
      </c>
      <c r="T195" t="str">
        <f t="shared" ref="T195:T258" si="23">RIGHT(R195, 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 0)</f>
        <v>146</v>
      </c>
      <c r="G259" t="s">
        <v>20</v>
      </c>
      <c r="H259">
        <v>92</v>
      </c>
      <c r="I259">
        <f t="shared" ref="I259:I322" si="25">IF(H259&gt;0, ROUND(E259/H259, 2), 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 R259) -1)</f>
        <v>theater</v>
      </c>
      <c r="T259" t="str">
        <f t="shared" ref="T259:T322" si="29">RIGHT(R259, 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 0)</f>
        <v>94</v>
      </c>
      <c r="G323" t="s">
        <v>14</v>
      </c>
      <c r="H323">
        <v>2468</v>
      </c>
      <c r="I323">
        <f t="shared" ref="I323:I386" si="31">IF(H323&gt;0, ROUND(E323/H323, 2), 0)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 R323) -1)</f>
        <v>film &amp; video</v>
      </c>
      <c r="T323" t="str">
        <f t="shared" ref="T323:T386" si="35">RIGHT(R323, 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 0)</f>
        <v>146</v>
      </c>
      <c r="G387" t="s">
        <v>20</v>
      </c>
      <c r="H387">
        <v>1137</v>
      </c>
      <c r="I387">
        <f t="shared" ref="I387:I450" si="37">IF(H387&gt;0, ROUND(E387/H387, 2), 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 R387) -1)</f>
        <v>publishing</v>
      </c>
      <c r="T387" t="str">
        <f t="shared" ref="T387:T450" si="41">RIGHT(R387, 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 0)</f>
        <v>967</v>
      </c>
      <c r="G451" t="s">
        <v>20</v>
      </c>
      <c r="H451">
        <v>86</v>
      </c>
      <c r="I451">
        <f t="shared" ref="I451:I514" si="43">IF(H451&gt;0, ROUND(E451/H451, 2), 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 R451) -1)</f>
        <v>games</v>
      </c>
      <c r="T451" t="str">
        <f t="shared" ref="T451:T514" si="47">RIGHT(R451, 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 0)</f>
        <v>39</v>
      </c>
      <c r="G515" t="s">
        <v>74</v>
      </c>
      <c r="H515">
        <v>35</v>
      </c>
      <c r="I515">
        <f t="shared" ref="I515:I578" si="49">IF(H515&gt;0, ROUND(E515/H515, 2), 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 R515) -1)</f>
        <v>film &amp; video</v>
      </c>
      <c r="T515" t="str">
        <f t="shared" ref="T515:T578" si="53">RIGHT(R515, 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 0)</f>
        <v>19</v>
      </c>
      <c r="G579" t="s">
        <v>74</v>
      </c>
      <c r="H579">
        <v>37</v>
      </c>
      <c r="I579">
        <f t="shared" ref="I579:I642" si="55">IF(H579&gt;0, ROUND(E579/H579, 2), 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 R579) -1)</f>
        <v>music</v>
      </c>
      <c r="T579" t="str">
        <f t="shared" ref="T579:T642" si="59">RIGHT(R579, 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 0)</f>
        <v>120</v>
      </c>
      <c r="G643" t="s">
        <v>20</v>
      </c>
      <c r="H643">
        <v>194</v>
      </c>
      <c r="I643">
        <f t="shared" ref="I643:I706" si="61">IF(H643&gt;0, ROUND(E643/H643, 2), 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 R643) -1)</f>
        <v>theater</v>
      </c>
      <c r="T643" t="str">
        <f t="shared" ref="T643:T706" si="65">RIGHT(R643, 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 0)</f>
        <v>99</v>
      </c>
      <c r="G707" t="s">
        <v>14</v>
      </c>
      <c r="H707">
        <v>2025</v>
      </c>
      <c r="I707">
        <f t="shared" ref="I707:I770" si="67">IF(H707&gt;0, ROUND(E707/H707, 2), 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 R707) -1)</f>
        <v>publishing</v>
      </c>
      <c r="T707" t="str">
        <f t="shared" ref="T707:T770" si="71">RIGHT(R707, 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 0)</f>
        <v>87</v>
      </c>
      <c r="G771" t="s">
        <v>14</v>
      </c>
      <c r="H771">
        <v>3410</v>
      </c>
      <c r="I771">
        <f t="shared" ref="I771:I834" si="73">IF(H771&gt;0, ROUND(E771/H771, 2), 0)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 R771) -1)</f>
        <v>games</v>
      </c>
      <c r="T771" t="str">
        <f t="shared" ref="T771:T834" si="77">RIGHT(R771, 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 0)</f>
        <v>158</v>
      </c>
      <c r="G835" t="s">
        <v>20</v>
      </c>
      <c r="H835">
        <v>165</v>
      </c>
      <c r="I835">
        <f t="shared" ref="I835:I898" si="79">IF(H835&gt;0, ROUND(E835/H835, 2), 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 R835) -1)</f>
        <v>publishing</v>
      </c>
      <c r="T835" t="str">
        <f t="shared" ref="T835:T898" si="83">RIGHT(R835, 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 0)</f>
        <v>28</v>
      </c>
      <c r="G899" t="s">
        <v>14</v>
      </c>
      <c r="H899">
        <v>27</v>
      </c>
      <c r="I899">
        <f t="shared" ref="I899:I962" si="85">IF(H899&gt;0, ROUND(E899/H899, 2), 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 R899) -1)</f>
        <v>theater</v>
      </c>
      <c r="T899" t="str">
        <f t="shared" ref="T899:T962" si="89">RIGHT(R899, 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 0)</f>
        <v>119</v>
      </c>
      <c r="G963" t="s">
        <v>20</v>
      </c>
      <c r="H963">
        <v>155</v>
      </c>
      <c r="I963">
        <f t="shared" ref="I963:I1001" si="91">IF(H963&gt;0, ROUND(E963/H963, 2), 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 R963) -1)</f>
        <v>publishing</v>
      </c>
      <c r="T963" t="str">
        <f t="shared" ref="T963:T1001" si="95">RIGHT(R963, 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4B4B"/>
        <color rgb="FFA0CC82"/>
        <color rgb="FF6574FF"/>
      </colorScale>
    </cfRule>
  </conditionalFormatting>
  <conditionalFormatting sqref="G1:G1048576">
    <cfRule type="cellIs" dxfId="11" priority="2" operator="equal">
      <formula>"successful"</formula>
    </cfRule>
    <cfRule type="cellIs" dxfId="10" priority="3" operator="equal">
      <formula>"canceled"</formula>
    </cfRule>
    <cfRule type="cellIs" dxfId="9" priority="4" operator="equal">
      <formula>"live"</formula>
    </cfRule>
    <cfRule type="cellIs" dxfId="8" priority="5" operator="equal">
      <formula>"failed"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FDF5-C7B3-4510-91E5-FE04FF3435B1}">
  <dimension ref="A1:F14"/>
  <sheetViews>
    <sheetView workbookViewId="0">
      <selection activeCell="E22" sqref="E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s="6" t="s">
        <v>2069</v>
      </c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 t="s">
        <v>2070</v>
      </c>
      <c r="B3" s="6" t="s">
        <v>2068</v>
      </c>
      <c r="C3" s="6"/>
      <c r="D3" s="6"/>
      <c r="E3" s="6"/>
      <c r="F3" s="6"/>
    </row>
    <row r="4" spans="1:6" x14ac:dyDescent="0.25">
      <c r="A4" s="6" t="s">
        <v>2033</v>
      </c>
      <c r="B4" s="6" t="s">
        <v>74</v>
      </c>
      <c r="C4" s="6" t="s">
        <v>14</v>
      </c>
      <c r="D4" s="6" t="s">
        <v>47</v>
      </c>
      <c r="E4" s="6" t="s">
        <v>20</v>
      </c>
      <c r="F4" s="6" t="s">
        <v>2043</v>
      </c>
    </row>
    <row r="5" spans="1:6" x14ac:dyDescent="0.25">
      <c r="A5" s="7" t="s">
        <v>2034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7" t="s">
        <v>2035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7" t="s">
        <v>2036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7" t="s">
        <v>2037</v>
      </c>
      <c r="B8" s="6"/>
      <c r="C8" s="6"/>
      <c r="D8" s="6"/>
      <c r="E8" s="6">
        <v>4</v>
      </c>
      <c r="F8" s="6">
        <v>4</v>
      </c>
    </row>
    <row r="9" spans="1:6" x14ac:dyDescent="0.25">
      <c r="A9" s="7" t="s">
        <v>2038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7" t="s">
        <v>2039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7" t="s">
        <v>2040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7" t="s">
        <v>2041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7" t="s">
        <v>2042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7" t="s">
        <v>2043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2214-7C22-4FBD-B96A-AAE1AA4A1D13}">
  <dimension ref="A1:F30"/>
  <sheetViews>
    <sheetView workbookViewId="0">
      <selection activeCell="K35" sqref="K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s="6" t="s">
        <v>2069</v>
      </c>
      <c r="C1" s="6"/>
      <c r="D1" s="6"/>
      <c r="E1" s="6"/>
      <c r="F1" s="6"/>
    </row>
    <row r="2" spans="1:6" x14ac:dyDescent="0.25">
      <c r="A2" s="6" t="s">
        <v>2031</v>
      </c>
      <c r="B2" s="6" t="s">
        <v>2069</v>
      </c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 t="s">
        <v>2070</v>
      </c>
      <c r="B4" s="6" t="s">
        <v>2068</v>
      </c>
      <c r="C4" s="6"/>
      <c r="D4" s="6"/>
      <c r="E4" s="6"/>
      <c r="F4" s="6"/>
    </row>
    <row r="5" spans="1:6" x14ac:dyDescent="0.25">
      <c r="A5" s="6" t="s">
        <v>2033</v>
      </c>
      <c r="B5" s="6" t="s">
        <v>74</v>
      </c>
      <c r="C5" s="6" t="s">
        <v>14</v>
      </c>
      <c r="D5" s="6" t="s">
        <v>47</v>
      </c>
      <c r="E5" s="6" t="s">
        <v>20</v>
      </c>
      <c r="F5" s="6" t="s">
        <v>2043</v>
      </c>
    </row>
    <row r="6" spans="1:6" x14ac:dyDescent="0.25">
      <c r="A6" s="7" t="s">
        <v>2044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7" t="s">
        <v>2053</v>
      </c>
      <c r="B7" s="6"/>
      <c r="C7" s="6"/>
      <c r="D7" s="6"/>
      <c r="E7" s="6">
        <v>4</v>
      </c>
      <c r="F7" s="6">
        <v>4</v>
      </c>
    </row>
    <row r="8" spans="1:6" x14ac:dyDescent="0.25">
      <c r="A8" s="7" t="s">
        <v>2045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7" t="s">
        <v>2046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7" t="s">
        <v>2054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7" t="s">
        <v>2061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7" t="s">
        <v>2050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7" t="s">
        <v>2055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7" t="s">
        <v>2056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7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7" t="s">
        <v>2051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7" t="s">
        <v>2062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7" t="s">
        <v>2060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7" t="s">
        <v>2067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7" t="s">
        <v>2063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7" t="s">
        <v>2058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7" t="s">
        <v>2047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7" t="s">
        <v>2048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7" t="s">
        <v>2049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7" t="s">
        <v>2064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7" t="s">
        <v>2052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7" t="s">
        <v>2065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7" t="s">
        <v>2066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7" t="s">
        <v>2059</v>
      </c>
      <c r="B29" s="6"/>
      <c r="C29" s="6"/>
      <c r="D29" s="6"/>
      <c r="E29" s="6">
        <v>3</v>
      </c>
      <c r="F29" s="6">
        <v>3</v>
      </c>
    </row>
    <row r="30" spans="1:6" x14ac:dyDescent="0.25">
      <c r="A30" s="7" t="s">
        <v>2043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E213-C49A-414F-BC14-841DA98984EA}">
  <dimension ref="A1:F20"/>
  <sheetViews>
    <sheetView workbookViewId="0">
      <selection activeCell="O26" sqref="O26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6" x14ac:dyDescent="0.25">
      <c r="A1" s="6" t="s">
        <v>2031</v>
      </c>
      <c r="B1" s="6" t="s">
        <v>2069</v>
      </c>
      <c r="C1" s="6"/>
      <c r="D1" s="6"/>
      <c r="E1" s="6"/>
      <c r="F1" s="6"/>
    </row>
    <row r="2" spans="1:6" x14ac:dyDescent="0.25">
      <c r="A2" s="6" t="s">
        <v>2085</v>
      </c>
      <c r="B2" s="6" t="s">
        <v>2069</v>
      </c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 t="s">
        <v>2070</v>
      </c>
      <c r="B4" s="6" t="s">
        <v>2068</v>
      </c>
      <c r="C4" s="6"/>
      <c r="D4" s="6"/>
      <c r="E4" s="6"/>
      <c r="F4" s="6"/>
    </row>
    <row r="5" spans="1:6" x14ac:dyDescent="0.25">
      <c r="A5" s="6" t="s">
        <v>2033</v>
      </c>
      <c r="B5" s="6" t="s">
        <v>74</v>
      </c>
      <c r="C5" s="6" t="s">
        <v>14</v>
      </c>
      <c r="D5" s="6" t="s">
        <v>20</v>
      </c>
      <c r="E5" s="6" t="s">
        <v>2043</v>
      </c>
      <c r="F5" s="6"/>
    </row>
    <row r="6" spans="1:6" x14ac:dyDescent="0.25">
      <c r="A6" s="7" t="s">
        <v>2073</v>
      </c>
      <c r="B6" s="6">
        <v>6</v>
      </c>
      <c r="C6" s="6">
        <v>36</v>
      </c>
      <c r="D6" s="6">
        <v>49</v>
      </c>
      <c r="E6" s="6">
        <v>91</v>
      </c>
      <c r="F6" s="6"/>
    </row>
    <row r="7" spans="1:6" x14ac:dyDescent="0.25">
      <c r="A7" s="7" t="s">
        <v>2074</v>
      </c>
      <c r="B7" s="6">
        <v>7</v>
      </c>
      <c r="C7" s="6">
        <v>28</v>
      </c>
      <c r="D7" s="6">
        <v>44</v>
      </c>
      <c r="E7" s="6">
        <v>79</v>
      </c>
      <c r="F7" s="6"/>
    </row>
    <row r="8" spans="1:6" x14ac:dyDescent="0.25">
      <c r="A8" s="7" t="s">
        <v>2075</v>
      </c>
      <c r="B8" s="6">
        <v>4</v>
      </c>
      <c r="C8" s="6">
        <v>33</v>
      </c>
      <c r="D8" s="6">
        <v>49</v>
      </c>
      <c r="E8" s="6">
        <v>86</v>
      </c>
      <c r="F8" s="6"/>
    </row>
    <row r="9" spans="1:6" x14ac:dyDescent="0.25">
      <c r="A9" s="7" t="s">
        <v>2076</v>
      </c>
      <c r="B9" s="6">
        <v>1</v>
      </c>
      <c r="C9" s="6">
        <v>30</v>
      </c>
      <c r="D9" s="6">
        <v>46</v>
      </c>
      <c r="E9" s="6">
        <v>77</v>
      </c>
      <c r="F9" s="6"/>
    </row>
    <row r="10" spans="1:6" x14ac:dyDescent="0.25">
      <c r="A10" s="7" t="s">
        <v>2077</v>
      </c>
      <c r="B10" s="6">
        <v>3</v>
      </c>
      <c r="C10" s="6">
        <v>35</v>
      </c>
      <c r="D10" s="6">
        <v>46</v>
      </c>
      <c r="E10" s="6">
        <v>84</v>
      </c>
      <c r="F10" s="6"/>
    </row>
    <row r="11" spans="1:6" x14ac:dyDescent="0.25">
      <c r="A11" s="7" t="s">
        <v>2078</v>
      </c>
      <c r="B11" s="6">
        <v>3</v>
      </c>
      <c r="C11" s="6">
        <v>28</v>
      </c>
      <c r="D11" s="6">
        <v>55</v>
      </c>
      <c r="E11" s="6">
        <v>86</v>
      </c>
      <c r="F11" s="6"/>
    </row>
    <row r="12" spans="1:6" x14ac:dyDescent="0.25">
      <c r="A12" s="7" t="s">
        <v>2079</v>
      </c>
      <c r="B12" s="6">
        <v>4</v>
      </c>
      <c r="C12" s="6">
        <v>31</v>
      </c>
      <c r="D12" s="6">
        <v>58</v>
      </c>
      <c r="E12" s="6">
        <v>93</v>
      </c>
      <c r="F12" s="6"/>
    </row>
    <row r="13" spans="1:6" x14ac:dyDescent="0.25">
      <c r="A13" s="7" t="s">
        <v>2080</v>
      </c>
      <c r="B13" s="6">
        <v>8</v>
      </c>
      <c r="C13" s="6">
        <v>35</v>
      </c>
      <c r="D13" s="6">
        <v>41</v>
      </c>
      <c r="E13" s="6">
        <v>84</v>
      </c>
      <c r="F13" s="6"/>
    </row>
    <row r="14" spans="1:6" x14ac:dyDescent="0.25">
      <c r="A14" s="7" t="s">
        <v>2081</v>
      </c>
      <c r="B14" s="6">
        <v>5</v>
      </c>
      <c r="C14" s="6">
        <v>23</v>
      </c>
      <c r="D14" s="6">
        <v>45</v>
      </c>
      <c r="E14" s="6">
        <v>73</v>
      </c>
      <c r="F14" s="6"/>
    </row>
    <row r="15" spans="1:6" x14ac:dyDescent="0.25">
      <c r="A15" s="7" t="s">
        <v>2082</v>
      </c>
      <c r="B15" s="6">
        <v>6</v>
      </c>
      <c r="C15" s="6">
        <v>26</v>
      </c>
      <c r="D15" s="6">
        <v>45</v>
      </c>
      <c r="E15" s="6">
        <v>77</v>
      </c>
      <c r="F15" s="6"/>
    </row>
    <row r="16" spans="1:6" x14ac:dyDescent="0.25">
      <c r="A16" s="7" t="s">
        <v>2083</v>
      </c>
      <c r="B16" s="6">
        <v>3</v>
      </c>
      <c r="C16" s="6">
        <v>27</v>
      </c>
      <c r="D16" s="6">
        <v>45</v>
      </c>
      <c r="E16" s="6">
        <v>75</v>
      </c>
      <c r="F16" s="6"/>
    </row>
    <row r="17" spans="1:6" x14ac:dyDescent="0.25">
      <c r="A17" s="7" t="s">
        <v>2084</v>
      </c>
      <c r="B17" s="6">
        <v>7</v>
      </c>
      <c r="C17" s="6">
        <v>32</v>
      </c>
      <c r="D17" s="6">
        <v>42</v>
      </c>
      <c r="E17" s="6">
        <v>81</v>
      </c>
      <c r="F17" s="6"/>
    </row>
    <row r="18" spans="1:6" x14ac:dyDescent="0.25">
      <c r="A18" s="7" t="s">
        <v>2043</v>
      </c>
      <c r="B18" s="6">
        <v>57</v>
      </c>
      <c r="C18" s="6">
        <v>364</v>
      </c>
      <c r="D18" s="6">
        <v>565</v>
      </c>
      <c r="E18" s="6">
        <v>986</v>
      </c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A025-6BFE-4890-A1A2-E42B69811D6D}">
  <dimension ref="A1:H13"/>
  <sheetViews>
    <sheetView workbookViewId="0">
      <selection activeCell="H13" activeCellId="3" sqref="A1:A13 F1:F13 G1:G13 H1:H13"/>
    </sheetView>
  </sheetViews>
  <sheetFormatPr defaultRowHeight="15.75" x14ac:dyDescent="0.25"/>
  <cols>
    <col min="1" max="1" width="16.75" bestFit="1" customWidth="1"/>
    <col min="2" max="2" width="17.125" customWidth="1"/>
    <col min="3" max="3" width="13.875" customWidth="1"/>
    <col min="4" max="4" width="16.75" customWidth="1"/>
    <col min="5" max="5" width="13.375" customWidth="1"/>
    <col min="6" max="6" width="20.125" customWidth="1"/>
    <col min="7" max="7" width="16.75" customWidth="1"/>
    <col min="8" max="8" width="19.625" customWidth="1"/>
  </cols>
  <sheetData>
    <row r="1" spans="1:8" x14ac:dyDescent="0.25">
      <c r="A1" s="1" t="s">
        <v>2086</v>
      </c>
      <c r="B1" s="1" t="s">
        <v>2087</v>
      </c>
      <c r="C1" s="1" t="s">
        <v>2100</v>
      </c>
      <c r="D1" s="1" t="s">
        <v>2101</v>
      </c>
      <c r="E1" s="1" t="s">
        <v>2102</v>
      </c>
      <c r="F1" s="1" t="s">
        <v>2103</v>
      </c>
      <c r="G1" s="1" t="s">
        <v>2104</v>
      </c>
      <c r="H1" s="1" t="s">
        <v>2105</v>
      </c>
    </row>
    <row r="2" spans="1:8" x14ac:dyDescent="0.25">
      <c r="A2" t="s">
        <v>2088</v>
      </c>
      <c r="B2">
        <f>COUNTIFS(Crowdfunding!$D:$D, "&lt;1000", Crowdfunding!$G:$G, "successful")</f>
        <v>30</v>
      </c>
      <c r="C2">
        <f>COUNTIFS(Crowdfunding!$D:$D, "&lt;1000", Crowdfunding!$G:$G, "failed")</f>
        <v>20</v>
      </c>
      <c r="D2">
        <f>COUNTIFS(Crowdfunding!$D:$D, "&lt;1000", Crowdfunding!$G:$G, "canceled")</f>
        <v>1</v>
      </c>
      <c r="E2">
        <f>SUM(B2:D2)</f>
        <v>51</v>
      </c>
      <c r="F2" s="8">
        <f>B2/$E2</f>
        <v>0.58823529411764708</v>
      </c>
      <c r="G2" s="8">
        <f t="shared" ref="G2:H13" si="0">C2/$E2</f>
        <v>0.39215686274509803</v>
      </c>
      <c r="H2" s="8">
        <f t="shared" si="0"/>
        <v>1.9607843137254902E-2</v>
      </c>
    </row>
    <row r="3" spans="1:8" x14ac:dyDescent="0.25">
      <c r="A3" t="s">
        <v>2089</v>
      </c>
      <c r="B3">
        <f>COUNTIFS(Crowdfunding!$D:$D, "&gt;=1000", Crowdfunding!$D:$D, "&lt;5000", Crowdfunding!$G:$G, "successful")</f>
        <v>191</v>
      </c>
      <c r="C3">
        <f>COUNTIFS(Crowdfunding!$D:$D, "&gt;=1000", Crowdfunding!$D:$D, "&lt;5000", Crowdfunding!$G:$G, "failed")</f>
        <v>38</v>
      </c>
      <c r="D3">
        <f>COUNTIFS(Crowdfunding!$D:$D, "&gt;=1000", Crowdfunding!$D:$D, "&lt;5000", Crowdfunding!$G:$G, "canceled")</f>
        <v>2</v>
      </c>
      <c r="E3">
        <f t="shared" ref="E3:E13" si="1">SUM(B3:D3)</f>
        <v>231</v>
      </c>
      <c r="F3" s="8">
        <f t="shared" ref="F3:F13" si="2">B3/$E3</f>
        <v>0.82683982683982682</v>
      </c>
      <c r="G3" s="8">
        <f t="shared" si="0"/>
        <v>0.16450216450216451</v>
      </c>
      <c r="H3" s="8">
        <f t="shared" si="0"/>
        <v>8.658008658008658E-3</v>
      </c>
    </row>
    <row r="4" spans="1:8" x14ac:dyDescent="0.25">
      <c r="A4" t="s">
        <v>2090</v>
      </c>
      <c r="B4">
        <f>COUNTIFS(Crowdfunding!$D:$D, "&gt;=5000", Crowdfunding!$D:$D, "&lt;10000", Crowdfunding!$G:$G, "successful")</f>
        <v>164</v>
      </c>
      <c r="C4">
        <f>COUNTIFS(Crowdfunding!$D:$D, "&gt;=5000", Crowdfunding!$D:$D, "&lt;10000", Crowdfunding!$G:$G, "failed")</f>
        <v>126</v>
      </c>
      <c r="D4">
        <f>COUNTIFS(Crowdfunding!$D:$D, "&gt;=5000", Crowdfunding!$D:$D, "&lt;10000", Crowdfunding!$G:$G, "canceled")</f>
        <v>25</v>
      </c>
      <c r="E4">
        <f t="shared" si="1"/>
        <v>315</v>
      </c>
      <c r="F4" s="8">
        <f t="shared" si="2"/>
        <v>0.52063492063492067</v>
      </c>
      <c r="G4" s="8">
        <f t="shared" si="0"/>
        <v>0.4</v>
      </c>
      <c r="H4" s="8">
        <f t="shared" si="0"/>
        <v>7.9365079365079361E-2</v>
      </c>
    </row>
    <row r="5" spans="1:8" x14ac:dyDescent="0.25">
      <c r="A5" t="s">
        <v>2091</v>
      </c>
      <c r="B5">
        <f>COUNTIFS(Crowdfunding!$D:$D, "&gt;=10000", Crowdfunding!$D:$D, "&lt;15000", Crowdfunding!$G:$G, "successful")</f>
        <v>4</v>
      </c>
      <c r="C5">
        <f>COUNTIFS(Crowdfunding!$D:$D, "&gt;=10000", Crowdfunding!$D:$D, "&lt;15000", Crowdfunding!$G:$G, "failed")</f>
        <v>5</v>
      </c>
      <c r="D5">
        <f>COUNTIFS(Crowdfunding!$D:$D, "&gt;=10000", Crowdfunding!$D:$D, "&lt;15000", Crowdfunding!$G:$G, "canceled")</f>
        <v>0</v>
      </c>
      <c r="E5">
        <f t="shared" si="1"/>
        <v>9</v>
      </c>
      <c r="F5" s="8">
        <f t="shared" si="2"/>
        <v>0.44444444444444442</v>
      </c>
      <c r="G5" s="8">
        <f t="shared" si="0"/>
        <v>0.55555555555555558</v>
      </c>
      <c r="H5" s="8">
        <f t="shared" si="0"/>
        <v>0</v>
      </c>
    </row>
    <row r="6" spans="1:8" x14ac:dyDescent="0.25">
      <c r="A6" t="s">
        <v>2092</v>
      </c>
      <c r="B6">
        <f>COUNTIFS(Crowdfunding!$D:$D, "&gt;=15000", Crowdfunding!$D:$D, "&lt;20000", Crowdfunding!$G:$G, "successful")</f>
        <v>10</v>
      </c>
      <c r="C6">
        <f>COUNTIFS(Crowdfunding!$D:$D, "&gt;=15000", Crowdfunding!$D:$D, "&lt;20000", Crowdfunding!$G:$G, "failed")</f>
        <v>0</v>
      </c>
      <c r="D6">
        <f>COUNTIFS(Crowdfunding!$D:$D, "&gt;=15000", Crowdfunding!$D:$D, "&lt;20000", Crowdfunding!$G:$G, "canceled")</f>
        <v>0</v>
      </c>
      <c r="E6">
        <f t="shared" si="1"/>
        <v>10</v>
      </c>
      <c r="F6" s="8">
        <f t="shared" si="2"/>
        <v>1</v>
      </c>
      <c r="G6" s="8">
        <f t="shared" si="0"/>
        <v>0</v>
      </c>
      <c r="H6" s="8">
        <f t="shared" si="0"/>
        <v>0</v>
      </c>
    </row>
    <row r="7" spans="1:8" x14ac:dyDescent="0.25">
      <c r="A7" t="s">
        <v>2093</v>
      </c>
      <c r="B7">
        <f>COUNTIFS(Crowdfunding!$D:$D, "&gt;=20000", Crowdfunding!$D:$D, "&lt;25000", Crowdfunding!$G:$G, "successful")</f>
        <v>7</v>
      </c>
      <c r="C7">
        <f>COUNTIFS(Crowdfunding!$D:$D, "&gt;=20000", Crowdfunding!$D:$D, "&lt;25000", Crowdfunding!$G:$G, "failed")</f>
        <v>0</v>
      </c>
      <c r="D7">
        <f>COUNTIFS(Crowdfunding!$D:$D, "&gt;=20000", Crowdfunding!$D:$D, "&lt;25000", Crowdfunding!$G:$G, "canceled")</f>
        <v>0</v>
      </c>
      <c r="E7">
        <f t="shared" si="1"/>
        <v>7</v>
      </c>
      <c r="F7" s="8">
        <f t="shared" si="2"/>
        <v>1</v>
      </c>
      <c r="G7" s="8">
        <f t="shared" si="0"/>
        <v>0</v>
      </c>
      <c r="H7" s="8">
        <f t="shared" si="0"/>
        <v>0</v>
      </c>
    </row>
    <row r="8" spans="1:8" x14ac:dyDescent="0.25">
      <c r="A8" t="s">
        <v>2094</v>
      </c>
      <c r="B8">
        <f>COUNTIFS(Crowdfunding!$D:$D, "&gt;=25000", Crowdfunding!$D:$D, "&lt;30000", Crowdfunding!$G:$G, "successful")</f>
        <v>11</v>
      </c>
      <c r="C8">
        <f>COUNTIFS(Crowdfunding!$D:$D, "&gt;=25000", Crowdfunding!$D:$D, "&lt;30000", Crowdfunding!$G:$G, "failed")</f>
        <v>3</v>
      </c>
      <c r="D8">
        <f>COUNTIFS(Crowdfunding!$D:$D, "&gt;=25000", Crowdfunding!$D:$D, "&lt;30000", Crowdfunding!$G:$G, "canceled")</f>
        <v>0</v>
      </c>
      <c r="E8">
        <f t="shared" si="1"/>
        <v>14</v>
      </c>
      <c r="F8" s="8">
        <f t="shared" si="2"/>
        <v>0.7857142857142857</v>
      </c>
      <c r="G8" s="8">
        <f t="shared" si="0"/>
        <v>0.21428571428571427</v>
      </c>
      <c r="H8" s="8">
        <f t="shared" si="0"/>
        <v>0</v>
      </c>
    </row>
    <row r="9" spans="1:8" x14ac:dyDescent="0.25">
      <c r="A9" t="s">
        <v>2095</v>
      </c>
      <c r="B9">
        <f>COUNTIFS(Crowdfunding!$D:$D, "&gt;=30000", Crowdfunding!$D:$D, "&lt;35000", Crowdfunding!$G:$G, "successful")</f>
        <v>7</v>
      </c>
      <c r="C9">
        <f>COUNTIFS(Crowdfunding!$D:$D, "&gt;=30000", Crowdfunding!$D:$D, "&lt;35000", Crowdfunding!$G:$G, "failed")</f>
        <v>0</v>
      </c>
      <c r="D9">
        <f>COUNTIFS(Crowdfunding!$D:$D, "&gt;=30000", Crowdfunding!$D:$D, "&lt;35000", Crowdfunding!$G:$G, "canceled")</f>
        <v>0</v>
      </c>
      <c r="E9">
        <f t="shared" si="1"/>
        <v>7</v>
      </c>
      <c r="F9" s="8">
        <f t="shared" si="2"/>
        <v>1</v>
      </c>
      <c r="G9" s="8">
        <f t="shared" si="0"/>
        <v>0</v>
      </c>
      <c r="H9" s="8">
        <f t="shared" si="0"/>
        <v>0</v>
      </c>
    </row>
    <row r="10" spans="1:8" x14ac:dyDescent="0.25">
      <c r="A10" t="s">
        <v>2096</v>
      </c>
      <c r="B10">
        <f>COUNTIFS(Crowdfunding!$D:$D, "&gt;=35000", Crowdfunding!$D:$D, "&lt;40000", Crowdfunding!$G:$G, "successful")</f>
        <v>8</v>
      </c>
      <c r="C10">
        <f>COUNTIFS(Crowdfunding!$D:$D, "&gt;=35000", Crowdfunding!$D:$D, "&lt;40000", Crowdfunding!$G:$G, "failed")</f>
        <v>3</v>
      </c>
      <c r="D10">
        <f>COUNTIFS(Crowdfunding!$D:$D, "&gt;=35000", Crowdfunding!$D:$D, "&lt;40000", Crowdfunding!$G:$G, "canceled")</f>
        <v>1</v>
      </c>
      <c r="E10">
        <f t="shared" si="1"/>
        <v>12</v>
      </c>
      <c r="F10" s="8">
        <f t="shared" si="2"/>
        <v>0.66666666666666663</v>
      </c>
      <c r="G10" s="8">
        <f t="shared" si="0"/>
        <v>0.25</v>
      </c>
      <c r="H10" s="8">
        <f t="shared" si="0"/>
        <v>8.3333333333333329E-2</v>
      </c>
    </row>
    <row r="11" spans="1:8" x14ac:dyDescent="0.25">
      <c r="A11" t="s">
        <v>2097</v>
      </c>
      <c r="B11">
        <f>COUNTIFS(Crowdfunding!$D:$D, "&gt;=40000", Crowdfunding!$D:$D, "&lt;45000", Crowdfunding!$G:$G, "successful")</f>
        <v>11</v>
      </c>
      <c r="C11">
        <f>COUNTIFS(Crowdfunding!$D:$D, "&gt;=40000", Crowdfunding!$D:$D, "&lt;45000", Crowdfunding!$G:$G, "failed")</f>
        <v>3</v>
      </c>
      <c r="D11">
        <f>COUNTIFS(Crowdfunding!$D:$D, "&gt;=40000", Crowdfunding!$D:$D, "&lt;45000", Crowdfunding!$G:$G, "canceled")</f>
        <v>0</v>
      </c>
      <c r="E11">
        <f t="shared" si="1"/>
        <v>14</v>
      </c>
      <c r="F11" s="8">
        <f t="shared" si="2"/>
        <v>0.7857142857142857</v>
      </c>
      <c r="G11" s="8">
        <f t="shared" si="0"/>
        <v>0.21428571428571427</v>
      </c>
      <c r="H11" s="8">
        <f t="shared" si="0"/>
        <v>0</v>
      </c>
    </row>
    <row r="12" spans="1:8" x14ac:dyDescent="0.25">
      <c r="A12" t="s">
        <v>2098</v>
      </c>
      <c r="B12">
        <f>COUNTIFS(Crowdfunding!$D:$D, "&gt;=45000", Crowdfunding!$D:$D, "&lt;50000", Crowdfunding!$G:$G, "successful")</f>
        <v>8</v>
      </c>
      <c r="C12">
        <f>COUNTIFS(Crowdfunding!$D:$D, "&gt;=45000", Crowdfunding!$D:$D, "&lt;50000", Crowdfunding!$G:$G, "failed")</f>
        <v>3</v>
      </c>
      <c r="D12">
        <f>COUNTIFS(Crowdfunding!$D:$D, "&gt;=45000", Crowdfunding!$D:$D, "&lt;50000", Crowdfunding!$G:$G, "canceled")</f>
        <v>0</v>
      </c>
      <c r="E12">
        <f t="shared" si="1"/>
        <v>11</v>
      </c>
      <c r="F12" s="8">
        <f t="shared" si="2"/>
        <v>0.72727272727272729</v>
      </c>
      <c r="G12" s="8">
        <f t="shared" si="0"/>
        <v>0.27272727272727271</v>
      </c>
      <c r="H12" s="8">
        <f t="shared" si="0"/>
        <v>0</v>
      </c>
    </row>
    <row r="13" spans="1:8" x14ac:dyDescent="0.25">
      <c r="A13" t="s">
        <v>2099</v>
      </c>
      <c r="B13">
        <f>COUNTIFS(Crowdfunding!$D:$D, "&gt;50000", Crowdfunding!$G:$G, "successful")</f>
        <v>114</v>
      </c>
      <c r="C13">
        <f>COUNTIFS(Crowdfunding!$D:$D, "&gt;50000", Crowdfunding!$G:$G, "failed")</f>
        <v>163</v>
      </c>
      <c r="D13">
        <f>COUNTIFS(Crowdfunding!$D:$D, "&gt;50000", Crowdfunding!$G:$G, "canceled")</f>
        <v>28</v>
      </c>
      <c r="E13">
        <f t="shared" si="1"/>
        <v>305</v>
      </c>
      <c r="F13" s="8">
        <f t="shared" si="2"/>
        <v>0.3737704918032787</v>
      </c>
      <c r="G13" s="8">
        <f t="shared" si="0"/>
        <v>0.53442622950819674</v>
      </c>
      <c r="H13" s="8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B0E6-1407-4F1D-AEFB-A854B880466D}">
  <dimension ref="A1:H566"/>
  <sheetViews>
    <sheetView tabSelected="1" workbookViewId="0">
      <selection activeCell="G16" sqref="G16"/>
    </sheetView>
  </sheetViews>
  <sheetFormatPr defaultRowHeight="15.75" x14ac:dyDescent="0.25"/>
  <cols>
    <col min="1" max="1" width="10.625" customWidth="1"/>
    <col min="2" max="4" width="16.625" customWidth="1"/>
    <col min="6" max="6" width="39.5" customWidth="1"/>
    <col min="7" max="8" width="22.625" customWidth="1"/>
  </cols>
  <sheetData>
    <row r="1" spans="1:8" x14ac:dyDescent="0.25">
      <c r="A1" s="1" t="s">
        <v>4</v>
      </c>
      <c r="B1" s="1" t="s">
        <v>5</v>
      </c>
      <c r="C1" s="1" t="s">
        <v>4</v>
      </c>
      <c r="D1" s="1" t="s">
        <v>5</v>
      </c>
    </row>
    <row r="2" spans="1:8" s="1" customFormat="1" x14ac:dyDescent="0.25">
      <c r="A2" t="s">
        <v>20</v>
      </c>
      <c r="B2">
        <v>158</v>
      </c>
      <c r="C2" t="s">
        <v>14</v>
      </c>
      <c r="D2">
        <v>0</v>
      </c>
      <c r="G2" s="1" t="s">
        <v>2112</v>
      </c>
      <c r="H2" s="1" t="s">
        <v>2113</v>
      </c>
    </row>
    <row r="3" spans="1:8" x14ac:dyDescent="0.25">
      <c r="A3" t="s">
        <v>20</v>
      </c>
      <c r="B3">
        <v>1425</v>
      </c>
      <c r="C3" t="s">
        <v>14</v>
      </c>
      <c r="D3">
        <v>24</v>
      </c>
      <c r="F3" s="9" t="s">
        <v>2107</v>
      </c>
      <c r="G3">
        <f>ROUND(AVERAGE(B:B),0)</f>
        <v>851</v>
      </c>
      <c r="H3">
        <f>ROUND(AVERAGE(D:D),0)</f>
        <v>586</v>
      </c>
    </row>
    <row r="4" spans="1:8" x14ac:dyDescent="0.25">
      <c r="A4" t="s">
        <v>20</v>
      </c>
      <c r="B4">
        <v>174</v>
      </c>
      <c r="C4" t="s">
        <v>14</v>
      </c>
      <c r="D4">
        <v>53</v>
      </c>
      <c r="F4" s="9" t="s">
        <v>2106</v>
      </c>
      <c r="G4">
        <f>MEDIAN(B:B)</f>
        <v>201</v>
      </c>
      <c r="H4">
        <f>MEDIAN(D:D)</f>
        <v>114.5</v>
      </c>
    </row>
    <row r="5" spans="1:8" x14ac:dyDescent="0.25">
      <c r="A5" t="s">
        <v>20</v>
      </c>
      <c r="B5">
        <v>227</v>
      </c>
      <c r="C5" t="s">
        <v>14</v>
      </c>
      <c r="D5">
        <v>18</v>
      </c>
      <c r="F5" s="9" t="s">
        <v>2108</v>
      </c>
      <c r="G5">
        <f>MIN(B:B)</f>
        <v>16</v>
      </c>
      <c r="H5">
        <f>MIN(D:D)</f>
        <v>0</v>
      </c>
    </row>
    <row r="6" spans="1:8" x14ac:dyDescent="0.25">
      <c r="A6" t="s">
        <v>20</v>
      </c>
      <c r="B6">
        <v>220</v>
      </c>
      <c r="C6" t="s">
        <v>14</v>
      </c>
      <c r="D6">
        <v>44</v>
      </c>
      <c r="F6" s="9" t="s">
        <v>2109</v>
      </c>
      <c r="G6">
        <f>MAX(B:B)</f>
        <v>7295</v>
      </c>
      <c r="H6">
        <f>MAX(D:D)</f>
        <v>6080</v>
      </c>
    </row>
    <row r="7" spans="1:8" x14ac:dyDescent="0.25">
      <c r="A7" t="s">
        <v>20</v>
      </c>
      <c r="B7">
        <v>98</v>
      </c>
      <c r="C7" t="s">
        <v>14</v>
      </c>
      <c r="D7">
        <v>27</v>
      </c>
      <c r="F7" s="9" t="s">
        <v>2110</v>
      </c>
      <c r="G7">
        <f>ROUND(_xlfn.VAR.P(B:B),2)</f>
        <v>1603373.73</v>
      </c>
      <c r="H7">
        <f>ROUND(_xlfn.VAR.P(D:D),2)</f>
        <v>921574.68</v>
      </c>
    </row>
    <row r="8" spans="1:8" x14ac:dyDescent="0.25">
      <c r="A8" t="s">
        <v>20</v>
      </c>
      <c r="B8">
        <v>100</v>
      </c>
      <c r="C8" t="s">
        <v>14</v>
      </c>
      <c r="D8">
        <v>55</v>
      </c>
      <c r="F8" s="9" t="s">
        <v>2111</v>
      </c>
      <c r="G8">
        <f>ROUND(_xlfn.STDEV.P(B:B),2)</f>
        <v>1266.24</v>
      </c>
      <c r="H8">
        <f>ROUND(_xlfn.STDEV.P(D:D),2)</f>
        <v>959.99</v>
      </c>
    </row>
    <row r="9" spans="1:8" x14ac:dyDescent="0.25">
      <c r="A9" t="s">
        <v>20</v>
      </c>
      <c r="B9">
        <v>1249</v>
      </c>
      <c r="C9" t="s">
        <v>14</v>
      </c>
      <c r="D9">
        <v>200</v>
      </c>
    </row>
    <row r="10" spans="1:8" x14ac:dyDescent="0.25">
      <c r="A10" t="s">
        <v>20</v>
      </c>
      <c r="B10">
        <v>1396</v>
      </c>
      <c r="C10" t="s">
        <v>14</v>
      </c>
      <c r="D10">
        <v>452</v>
      </c>
    </row>
    <row r="11" spans="1:8" x14ac:dyDescent="0.25">
      <c r="A11" t="s">
        <v>20</v>
      </c>
      <c r="B11">
        <v>890</v>
      </c>
      <c r="C11" t="s">
        <v>14</v>
      </c>
      <c r="D11">
        <v>674</v>
      </c>
    </row>
    <row r="12" spans="1:8" x14ac:dyDescent="0.25">
      <c r="A12" t="s">
        <v>20</v>
      </c>
      <c r="B12">
        <v>142</v>
      </c>
      <c r="C12" t="s">
        <v>14</v>
      </c>
      <c r="D12">
        <v>558</v>
      </c>
    </row>
    <row r="13" spans="1:8" x14ac:dyDescent="0.25">
      <c r="A13" t="s">
        <v>20</v>
      </c>
      <c r="B13">
        <v>2673</v>
      </c>
      <c r="C13" t="s">
        <v>14</v>
      </c>
      <c r="D13">
        <v>15</v>
      </c>
    </row>
    <row r="14" spans="1:8" x14ac:dyDescent="0.25">
      <c r="A14" t="s">
        <v>20</v>
      </c>
      <c r="B14">
        <v>163</v>
      </c>
      <c r="C14" t="s">
        <v>14</v>
      </c>
      <c r="D14">
        <v>2307</v>
      </c>
    </row>
    <row r="15" spans="1:8" x14ac:dyDescent="0.25">
      <c r="A15" t="s">
        <v>20</v>
      </c>
      <c r="B15">
        <v>2220</v>
      </c>
      <c r="C15" t="s">
        <v>14</v>
      </c>
      <c r="D15">
        <v>88</v>
      </c>
    </row>
    <row r="16" spans="1:8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"successful"</formula>
    </cfRule>
    <cfRule type="cellIs" dxfId="6" priority="6" operator="equal">
      <formula>"canceled"</formula>
    </cfRule>
    <cfRule type="cellIs" dxfId="5" priority="7" operator="equal">
      <formula>"live"</formula>
    </cfRule>
    <cfRule type="cellIs" dxfId="4" priority="8" operator="equal">
      <formula>"failed"</formula>
    </cfRule>
  </conditionalFormatting>
  <conditionalFormatting sqref="C2:C365">
    <cfRule type="cellIs" dxfId="3" priority="1" operator="equal">
      <formula>"successful"</formula>
    </cfRule>
    <cfRule type="cellIs" dxfId="2" priority="2" operator="equal">
      <formula>"canceled"</formula>
    </cfRule>
    <cfRule type="cellIs" dxfId="1" priority="3" operator="equal">
      <formula>"live"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Long Le</cp:lastModifiedBy>
  <dcterms:created xsi:type="dcterms:W3CDTF">2021-09-29T18:52:28Z</dcterms:created>
  <dcterms:modified xsi:type="dcterms:W3CDTF">2023-10-05T22:18:46Z</dcterms:modified>
</cp:coreProperties>
</file>