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ownloads\"/>
    </mc:Choice>
  </mc:AlternateContent>
  <xr:revisionPtr revIDLastSave="0" documentId="13_ncr:1_{0A4023E4-A315-4875-8BE2-2E1508184C09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3" i="1" l="1"/>
  <c r="E183" i="1"/>
  <c r="D183" i="1"/>
  <c r="C183" i="1"/>
  <c r="B183" i="1"/>
  <c r="F182" i="1"/>
  <c r="E182" i="1"/>
  <c r="D182" i="1"/>
  <c r="C182" i="1"/>
  <c r="B182" i="1"/>
  <c r="F181" i="1"/>
  <c r="E181" i="1"/>
  <c r="D181" i="1"/>
  <c r="C181" i="1"/>
  <c r="B181" i="1"/>
  <c r="F180" i="1"/>
  <c r="E180" i="1"/>
  <c r="D180" i="1"/>
  <c r="C180" i="1"/>
  <c r="B180" i="1"/>
  <c r="F179" i="1"/>
  <c r="E179" i="1"/>
  <c r="D179" i="1"/>
  <c r="C179" i="1"/>
  <c r="B179" i="1"/>
  <c r="F178" i="1"/>
  <c r="E178" i="1"/>
  <c r="D178" i="1"/>
  <c r="C178" i="1"/>
  <c r="B178" i="1"/>
  <c r="F177" i="1"/>
  <c r="E177" i="1"/>
  <c r="D177" i="1"/>
  <c r="C177" i="1"/>
  <c r="B177" i="1"/>
  <c r="F176" i="1"/>
  <c r="E176" i="1"/>
  <c r="D176" i="1"/>
  <c r="C176" i="1"/>
  <c r="B176" i="1"/>
  <c r="F175" i="1"/>
  <c r="E175" i="1"/>
  <c r="D175" i="1"/>
  <c r="C175" i="1"/>
  <c r="B175" i="1"/>
  <c r="F174" i="1"/>
  <c r="E174" i="1"/>
  <c r="D174" i="1"/>
  <c r="C174" i="1"/>
  <c r="B174" i="1"/>
  <c r="F173" i="1"/>
  <c r="E173" i="1"/>
  <c r="D173" i="1"/>
  <c r="C173" i="1"/>
  <c r="B173" i="1"/>
  <c r="F172" i="1"/>
  <c r="E172" i="1"/>
  <c r="D172" i="1"/>
  <c r="C172" i="1"/>
  <c r="B172" i="1"/>
  <c r="F171" i="1"/>
  <c r="E171" i="1"/>
  <c r="D171" i="1"/>
  <c r="C171" i="1"/>
  <c r="B171" i="1"/>
  <c r="F170" i="1"/>
  <c r="E170" i="1"/>
  <c r="D170" i="1"/>
  <c r="C170" i="1"/>
  <c r="B170" i="1"/>
  <c r="F169" i="1"/>
  <c r="E169" i="1"/>
  <c r="D169" i="1"/>
  <c r="C169" i="1"/>
  <c r="B169" i="1"/>
  <c r="F168" i="1"/>
  <c r="E168" i="1"/>
  <c r="D168" i="1"/>
  <c r="C168" i="1"/>
  <c r="B168" i="1"/>
  <c r="F167" i="1"/>
  <c r="E167" i="1"/>
  <c r="D167" i="1"/>
  <c r="C167" i="1"/>
  <c r="B167" i="1"/>
  <c r="B166" i="1"/>
  <c r="B165" i="1"/>
  <c r="F162" i="1"/>
  <c r="E162" i="1"/>
  <c r="D162" i="1"/>
  <c r="C162" i="1"/>
  <c r="B162" i="1"/>
  <c r="F161" i="1"/>
  <c r="E161" i="1"/>
  <c r="D161" i="1"/>
  <c r="C161" i="1"/>
  <c r="B161" i="1"/>
  <c r="F160" i="1"/>
  <c r="E160" i="1"/>
  <c r="D160" i="1"/>
  <c r="C160" i="1"/>
  <c r="B160" i="1"/>
  <c r="F159" i="1"/>
  <c r="E159" i="1"/>
  <c r="D159" i="1"/>
  <c r="C159" i="1"/>
  <c r="B159" i="1"/>
  <c r="F158" i="1"/>
  <c r="E158" i="1"/>
  <c r="D158" i="1"/>
  <c r="C158" i="1"/>
  <c r="B158" i="1"/>
  <c r="F157" i="1"/>
  <c r="E157" i="1"/>
  <c r="D157" i="1"/>
  <c r="C157" i="1"/>
  <c r="B157" i="1"/>
  <c r="F156" i="1"/>
  <c r="E156" i="1"/>
  <c r="D156" i="1"/>
  <c r="C156" i="1"/>
  <c r="B156" i="1"/>
  <c r="F155" i="1"/>
  <c r="E155" i="1"/>
  <c r="D155" i="1"/>
  <c r="C155" i="1"/>
  <c r="B155" i="1"/>
  <c r="F154" i="1"/>
  <c r="E154" i="1"/>
  <c r="D154" i="1"/>
  <c r="C154" i="1"/>
  <c r="B154" i="1"/>
  <c r="F153" i="1"/>
  <c r="E153" i="1"/>
  <c r="D153" i="1"/>
  <c r="C153" i="1"/>
  <c r="B153" i="1"/>
  <c r="F152" i="1"/>
  <c r="E152" i="1"/>
  <c r="D152" i="1"/>
  <c r="C152" i="1"/>
  <c r="B152" i="1"/>
  <c r="F151" i="1"/>
  <c r="E151" i="1"/>
  <c r="D151" i="1"/>
  <c r="C151" i="1"/>
  <c r="B151" i="1"/>
  <c r="F150" i="1"/>
  <c r="E150" i="1"/>
  <c r="D150" i="1"/>
  <c r="C150" i="1"/>
  <c r="B150" i="1"/>
  <c r="F149" i="1"/>
  <c r="E149" i="1"/>
  <c r="D149" i="1"/>
  <c r="C149" i="1"/>
  <c r="B149" i="1"/>
  <c r="F148" i="1"/>
  <c r="E148" i="1"/>
  <c r="D148" i="1"/>
  <c r="C148" i="1"/>
  <c r="B148" i="1"/>
  <c r="F147" i="1"/>
  <c r="E147" i="1"/>
  <c r="D147" i="1"/>
  <c r="C147" i="1"/>
  <c r="B147" i="1"/>
  <c r="F146" i="1"/>
  <c r="E146" i="1"/>
  <c r="D146" i="1"/>
  <c r="C146" i="1"/>
  <c r="B146" i="1"/>
  <c r="F145" i="1"/>
  <c r="E145" i="1"/>
  <c r="D145" i="1"/>
  <c r="C145" i="1"/>
  <c r="B145" i="1"/>
  <c r="F144" i="1"/>
  <c r="E144" i="1"/>
  <c r="D144" i="1"/>
  <c r="C144" i="1"/>
  <c r="B144" i="1"/>
  <c r="B143" i="1"/>
  <c r="B142" i="1"/>
  <c r="F138" i="1"/>
  <c r="E138" i="1"/>
  <c r="D138" i="1"/>
  <c r="C138" i="1"/>
  <c r="B138" i="1"/>
  <c r="F137" i="1"/>
  <c r="E137" i="1"/>
  <c r="D137" i="1"/>
  <c r="C137" i="1"/>
  <c r="B137" i="1"/>
  <c r="F136" i="1"/>
  <c r="E136" i="1"/>
  <c r="D136" i="1"/>
  <c r="C136" i="1"/>
  <c r="B136" i="1"/>
  <c r="F135" i="1"/>
  <c r="E135" i="1"/>
  <c r="D135" i="1"/>
  <c r="C135" i="1"/>
  <c r="B135" i="1"/>
  <c r="F134" i="1"/>
  <c r="E134" i="1"/>
  <c r="D134" i="1"/>
  <c r="C134" i="1"/>
  <c r="B134" i="1"/>
  <c r="F133" i="1"/>
  <c r="E133" i="1"/>
  <c r="D133" i="1"/>
  <c r="C133" i="1"/>
  <c r="B133" i="1"/>
  <c r="F132" i="1"/>
  <c r="E132" i="1"/>
  <c r="D132" i="1"/>
  <c r="C132" i="1"/>
  <c r="B132" i="1"/>
  <c r="F131" i="1"/>
  <c r="E131" i="1"/>
  <c r="D131" i="1"/>
  <c r="C131" i="1"/>
  <c r="B131" i="1"/>
  <c r="F130" i="1"/>
  <c r="E130" i="1"/>
  <c r="D130" i="1"/>
  <c r="C130" i="1"/>
  <c r="B130" i="1"/>
  <c r="F129" i="1"/>
  <c r="E129" i="1"/>
  <c r="D129" i="1"/>
  <c r="C129" i="1"/>
  <c r="B129" i="1"/>
  <c r="F128" i="1"/>
  <c r="E128" i="1"/>
  <c r="D128" i="1"/>
  <c r="C128" i="1"/>
  <c r="B128" i="1"/>
  <c r="F127" i="1"/>
  <c r="E127" i="1"/>
  <c r="D127" i="1"/>
  <c r="C127" i="1"/>
  <c r="B127" i="1"/>
  <c r="F126" i="1"/>
  <c r="E126" i="1"/>
  <c r="D126" i="1"/>
  <c r="C126" i="1"/>
  <c r="B126" i="1"/>
  <c r="F125" i="1"/>
  <c r="E125" i="1"/>
  <c r="D125" i="1"/>
  <c r="C125" i="1"/>
  <c r="B125" i="1"/>
  <c r="F124" i="1"/>
  <c r="E124" i="1"/>
  <c r="D124" i="1"/>
  <c r="C124" i="1"/>
  <c r="B124" i="1"/>
  <c r="F123" i="1"/>
  <c r="E123" i="1"/>
  <c r="D123" i="1"/>
  <c r="C123" i="1"/>
  <c r="B123" i="1"/>
  <c r="F122" i="1"/>
  <c r="E122" i="1"/>
  <c r="D122" i="1"/>
  <c r="C122" i="1"/>
  <c r="B122" i="1"/>
  <c r="F121" i="1"/>
  <c r="E121" i="1"/>
  <c r="D121" i="1"/>
  <c r="C121" i="1"/>
  <c r="B121" i="1"/>
  <c r="B120" i="1"/>
  <c r="B119" i="1"/>
  <c r="F115" i="1"/>
  <c r="E115" i="1"/>
  <c r="D115" i="1"/>
  <c r="C115" i="1"/>
  <c r="B115" i="1"/>
  <c r="F114" i="1"/>
  <c r="E114" i="1"/>
  <c r="D114" i="1"/>
  <c r="C114" i="1"/>
  <c r="B114" i="1"/>
  <c r="F113" i="1"/>
  <c r="E113" i="1"/>
  <c r="D113" i="1"/>
  <c r="C113" i="1"/>
  <c r="B113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B97" i="1"/>
  <c r="B96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B73" i="1"/>
  <c r="B72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B64" i="1"/>
  <c r="B63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B41" i="1"/>
  <c r="B40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B218" i="1"/>
  <c r="B217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B208" i="1"/>
  <c r="B207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B198" i="1"/>
  <c r="B197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B188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7" i="1"/>
  <c r="B26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B14" i="1"/>
  <c r="B13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d"/>
    <numFmt numFmtId="165" formatCode="_ * #,##0.0_ ;_ * \-#,##0.0_ ;_ * &quot;-&quot;_ ;_ @_ "/>
    <numFmt numFmtId="166" formatCode="#,##0.0"/>
  </numFmts>
  <fonts count="16">
    <font>
      <sz val="10"/>
      <color rgb="FF000000"/>
      <name val="Arial"/>
    </font>
    <font>
      <sz val="10"/>
      <name val="Arial"/>
    </font>
    <font>
      <b/>
      <i/>
      <sz val="12"/>
      <name val="Arial"/>
    </font>
    <font>
      <b/>
      <sz val="12"/>
      <name val="Arial"/>
    </font>
    <font>
      <b/>
      <sz val="10"/>
      <name val="Arial"/>
    </font>
    <font>
      <sz val="9"/>
      <name val="Arial"/>
    </font>
    <font>
      <b/>
      <sz val="9"/>
      <name val="Arial"/>
    </font>
    <font>
      <b/>
      <sz val="13"/>
      <name val="Arial"/>
    </font>
    <font>
      <b/>
      <sz val="13"/>
      <name val="Arial"/>
    </font>
    <font>
      <b/>
      <sz val="11"/>
      <name val="Arial"/>
    </font>
    <font>
      <b/>
      <i/>
      <sz val="8"/>
      <name val="Arial"/>
    </font>
    <font>
      <sz val="9"/>
      <name val="Arial"/>
    </font>
    <font>
      <sz val="7"/>
      <name val="Arial"/>
    </font>
    <font>
      <sz val="11"/>
      <color rgb="FF000000"/>
      <name val="Inconsolata"/>
    </font>
    <font>
      <sz val="9"/>
      <color rgb="FF000000"/>
      <name val="&quot;Google Sans Mono&quot;"/>
    </font>
    <font>
      <b/>
      <i/>
      <sz val="13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164" fontId="3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wrapText="1"/>
    </xf>
    <xf numFmtId="165" fontId="4" fillId="2" borderId="2" xfId="0" applyNumberFormat="1" applyFont="1" applyFill="1" applyBorder="1" applyAlignment="1">
      <alignment horizontal="center"/>
    </xf>
    <xf numFmtId="166" fontId="5" fillId="2" borderId="3" xfId="0" applyNumberFormat="1" applyFont="1" applyFill="1" applyBorder="1" applyAlignment="1">
      <alignment horizontal="center"/>
    </xf>
    <xf numFmtId="166" fontId="6" fillId="2" borderId="2" xfId="0" applyNumberFormat="1" applyFont="1" applyFill="1" applyBorder="1" applyAlignment="1">
      <alignment horizontal="center" wrapText="1"/>
    </xf>
    <xf numFmtId="165" fontId="4" fillId="2" borderId="3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6" fontId="5" fillId="2" borderId="5" xfId="0" applyNumberFormat="1" applyFont="1" applyFill="1" applyBorder="1" applyAlignment="1">
      <alignment horizontal="center"/>
    </xf>
    <xf numFmtId="166" fontId="6" fillId="2" borderId="6" xfId="0" applyNumberFormat="1" applyFont="1" applyFill="1" applyBorder="1" applyAlignment="1">
      <alignment horizontal="center" wrapText="1"/>
    </xf>
    <xf numFmtId="165" fontId="7" fillId="2" borderId="1" xfId="0" applyNumberFormat="1" applyFont="1" applyFill="1" applyBorder="1" applyAlignment="1">
      <alignment horizontal="center"/>
    </xf>
    <xf numFmtId="166" fontId="8" fillId="2" borderId="1" xfId="0" applyNumberFormat="1" applyFont="1" applyFill="1" applyBorder="1" applyAlignment="1">
      <alignment horizontal="center"/>
    </xf>
    <xf numFmtId="166" fontId="8" fillId="2" borderId="1" xfId="0" applyNumberFormat="1" applyFont="1" applyFill="1" applyBorder="1" applyAlignment="1">
      <alignment horizontal="center" wrapText="1"/>
    </xf>
    <xf numFmtId="0" fontId="10" fillId="2" borderId="0" xfId="0" applyFont="1" applyFill="1" applyAlignment="1"/>
    <xf numFmtId="0" fontId="3" fillId="2" borderId="0" xfId="0" applyFont="1" applyFill="1"/>
    <xf numFmtId="164" fontId="4" fillId="3" borderId="1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6" fontId="5" fillId="2" borderId="2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2" fillId="2" borderId="0" xfId="0" applyFont="1" applyFill="1"/>
    <xf numFmtId="0" fontId="11" fillId="2" borderId="10" xfId="0" applyFont="1" applyFill="1" applyBorder="1" applyAlignment="1">
      <alignment horizontal="center" wrapText="1"/>
    </xf>
    <xf numFmtId="0" fontId="9" fillId="5" borderId="1" xfId="0" applyFont="1" applyFill="1" applyBorder="1" applyAlignment="1">
      <alignment horizontal="center"/>
    </xf>
    <xf numFmtId="4" fontId="9" fillId="5" borderId="1" xfId="0" applyNumberFormat="1" applyFont="1" applyFill="1" applyBorder="1" applyAlignment="1">
      <alignment horizontal="center" wrapText="1"/>
    </xf>
    <xf numFmtId="4" fontId="9" fillId="5" borderId="1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0" fontId="1" fillId="2" borderId="4" xfId="0" applyFont="1" applyFill="1" applyBorder="1"/>
    <xf numFmtId="166" fontId="5" fillId="2" borderId="4" xfId="0" applyNumberFormat="1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 wrapText="1"/>
    </xf>
    <xf numFmtId="164" fontId="4" fillId="3" borderId="4" xfId="0" applyNumberFormat="1" applyFont="1" applyFill="1" applyBorder="1"/>
    <xf numFmtId="0" fontId="13" fillId="2" borderId="0" xfId="0" applyFont="1" applyFill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0" fontId="7" fillId="2" borderId="0" xfId="0" applyFont="1" applyFill="1"/>
    <xf numFmtId="0" fontId="14" fillId="2" borderId="0" xfId="0" applyFont="1" applyFill="1" applyAlignment="1"/>
    <xf numFmtId="0" fontId="15" fillId="0" borderId="0" xfId="0" applyFont="1"/>
  </cellXfs>
  <cellStyles count="1">
    <cellStyle name="Normal" xfId="0" builtinId="0"/>
  </cellStyles>
  <dxfs count="11"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B7E1CD"/>
          <bgColor rgb="FFB7E1CD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U950"/>
  <sheetViews>
    <sheetView showGridLines="0" tabSelected="1" workbookViewId="0">
      <selection activeCell="F4" sqref="F4"/>
    </sheetView>
  </sheetViews>
  <sheetFormatPr baseColWidth="10" defaultColWidth="12.5703125" defaultRowHeight="15.75" customHeight="1"/>
  <cols>
    <col min="1" max="1" width="10.7109375" customWidth="1"/>
    <col min="2" max="2" width="37.42578125" customWidth="1"/>
    <col min="3" max="3" width="22.42578125" customWidth="1"/>
    <col min="4" max="4" width="24" customWidth="1"/>
    <col min="5" max="5" width="17.42578125" customWidth="1"/>
    <col min="6" max="6" width="28.28515625" customWidth="1"/>
    <col min="8" max="20" width="19.85546875" customWidth="1"/>
    <col min="21" max="25" width="12.5703125" hidden="1"/>
  </cols>
  <sheetData>
    <row r="1" spans="1:47" ht="4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>
      <c r="A2" s="1"/>
      <c r="B2" s="2" t="str">
        <f ca="1">IFERROR(__xludf.DUMMYFUNCTION("""COMPUTED_VALUE"""),"INDICE DE CONFIANZA EMPRESARIAL DE LA ARAUCANÍA DEL MES DE  JUNIO-2023")</f>
        <v>INDICE DE CONFIANZA EMPRESARIAL DE LA ARAUCANÍA DEL MES DE  JUNIO-2023</v>
      </c>
      <c r="C2" s="1"/>
      <c r="D2" s="1"/>
      <c r="E2" s="1"/>
      <c r="F2" s="1"/>
      <c r="G2" s="1"/>
      <c r="H2" s="1"/>
      <c r="I2" s="1"/>
      <c r="J2" s="1"/>
      <c r="K2" s="1"/>
      <c r="L2" s="3"/>
      <c r="O2" s="3"/>
      <c r="Q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31.5">
      <c r="A3" s="1"/>
      <c r="B3" s="4" t="str">
        <f ca="1">IFERROR(__xludf.DUMMYFUNCTION("""COMPUTED_VALUE"""),"Sector")</f>
        <v>Sector</v>
      </c>
      <c r="C3" s="4" t="str">
        <f ca="1">IFERROR(__xludf.DUMMYFUNCTION("""COMPUTED_VALUE"""),"ICE por Sector ")</f>
        <v xml:space="preserve">ICE por Sector </v>
      </c>
      <c r="D3" s="5" t="str">
        <f ca="1">IFERROR(__xludf.DUMMYFUNCTION("""COMPUTED_VALUE"""),"Nivel Actual de Confianza")</f>
        <v>Nivel Actual de Confianza</v>
      </c>
      <c r="J3" s="1"/>
      <c r="K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24">
      <c r="A4" s="1"/>
      <c r="B4" s="6" t="str">
        <f ca="1">IFERROR(__xludf.DUMMYFUNCTION("""COMPUTED_VALUE""")," Comercio ")</f>
        <v xml:space="preserve"> Comercio </v>
      </c>
      <c r="C4" s="7">
        <f ca="1">IFERROR(__xludf.DUMMYFUNCTION("""COMPUTED_VALUE"""),-48.135493530237)</f>
        <v>-48.135493530237</v>
      </c>
      <c r="D4" s="8" t="str">
        <f ca="1">IFERROR(__xludf.DUMMYFUNCTION("""COMPUTED_VALUE"""),"extraordinariamente pesimista")</f>
        <v>extraordinariamente pesimista</v>
      </c>
      <c r="J4" s="1"/>
      <c r="K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12.75">
      <c r="A5" s="1"/>
      <c r="B5" s="9" t="str">
        <f ca="1">IFERROR(__xludf.DUMMYFUNCTION("""COMPUTED_VALUE""")," Industrial ")</f>
        <v xml:space="preserve"> Industrial </v>
      </c>
      <c r="C5" s="7">
        <f ca="1">IFERROR(__xludf.DUMMYFUNCTION("""COMPUTED_VALUE"""),-33.2124233850497)</f>
        <v>-33.212423385049703</v>
      </c>
      <c r="D5" s="8" t="str">
        <f ca="1">IFERROR(__xludf.DUMMYFUNCTION("""COMPUTED_VALUE"""),"pesimista")</f>
        <v>pesimista</v>
      </c>
      <c r="J5" s="1"/>
      <c r="K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2.75">
      <c r="A6" s="1"/>
      <c r="B6" s="9" t="str">
        <f ca="1">IFERROR(__xludf.DUMMYFUNCTION("""COMPUTED_VALUE""")," Construcción ")</f>
        <v xml:space="preserve"> Construcción </v>
      </c>
      <c r="C6" s="7">
        <f ca="1">IFERROR(__xludf.DUMMYFUNCTION("""COMPUTED_VALUE"""),-22.0740297035652)</f>
        <v>-22.074029703565198</v>
      </c>
      <c r="D6" s="8" t="str">
        <f ca="1">IFERROR(__xludf.DUMMYFUNCTION("""COMPUTED_VALUE"""),"moderadamente pesimista")</f>
        <v>moderadamente pesimista</v>
      </c>
      <c r="J6" s="1"/>
      <c r="K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24">
      <c r="A7" s="1"/>
      <c r="B7" s="9" t="str">
        <f ca="1">IFERROR(__xludf.DUMMYFUNCTION("""COMPUTED_VALUE""")," Agro/Forestal ")</f>
        <v xml:space="preserve"> Agro/Forestal </v>
      </c>
      <c r="C7" s="7">
        <f ca="1">IFERROR(__xludf.DUMMYFUNCTION("""COMPUTED_VALUE"""),-50.4934578196301)</f>
        <v>-50.493457819630102</v>
      </c>
      <c r="D7" s="8" t="str">
        <f ca="1">IFERROR(__xludf.DUMMYFUNCTION("""COMPUTED_VALUE"""),"extraordinariamente pesimista")</f>
        <v>extraordinariamente pesimista</v>
      </c>
      <c r="J7" s="1"/>
      <c r="K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12.75">
      <c r="A8" s="1"/>
      <c r="B8" s="9" t="str">
        <f ca="1">IFERROR(__xludf.DUMMYFUNCTION("""COMPUTED_VALUE""")," Financiero ")</f>
        <v xml:space="preserve"> Financiero </v>
      </c>
      <c r="C8" s="7">
        <f ca="1">IFERROR(__xludf.DUMMYFUNCTION("""COMPUTED_VALUE"""),-6.25)</f>
        <v>-6.25</v>
      </c>
      <c r="D8" s="8" t="str">
        <f ca="1">IFERROR(__xludf.DUMMYFUNCTION("""COMPUTED_VALUE"""),"levemente pesimista")</f>
        <v>levemente pesimista</v>
      </c>
      <c r="J8" s="1"/>
      <c r="K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ht="24">
      <c r="A9" s="1"/>
      <c r="B9" s="10" t="str">
        <f ca="1">IFERROR(__xludf.DUMMYFUNCTION("""COMPUTED_VALUE""")," Transporte ")</f>
        <v xml:space="preserve"> Transporte </v>
      </c>
      <c r="C9" s="11">
        <f ca="1">IFERROR(__xludf.DUMMYFUNCTION("""COMPUTED_VALUE"""),-71.9713046088045)</f>
        <v>-71.971304608804502</v>
      </c>
      <c r="D9" s="12" t="str">
        <f ca="1">IFERROR(__xludf.DUMMYFUNCTION("""COMPUTED_VALUE"""),"extraordinariamente pesimista")</f>
        <v>extraordinariamente pesimista</v>
      </c>
      <c r="J9" s="1"/>
      <c r="K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ht="16.5">
      <c r="A10" s="1"/>
      <c r="B10" s="13" t="str">
        <f ca="1">IFERROR(__xludf.DUMMYFUNCTION("""COMPUTED_VALUE""")," Total ")</f>
        <v xml:space="preserve"> Total </v>
      </c>
      <c r="C10" s="14">
        <f ca="1">IFERROR(__xludf.DUMMYFUNCTION("""COMPUTED_VALUE"""),-38.6342185977147)</f>
        <v>-38.6342185977147</v>
      </c>
      <c r="D10" s="15" t="str">
        <f ca="1">IFERROR(__xludf.DUMMYFUNCTION("""COMPUTED_VALUE"""),"muy pesimista")</f>
        <v>muy pesimista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ht="12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ht="12.75">
      <c r="A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ht="12.75" hidden="1">
      <c r="A13" s="1"/>
      <c r="B13" s="1" t="str">
        <f ca="1">IFERROR(__xludf.DUMMYFUNCTION("IMPORTRANGE(""https://docs.google.com/spreadsheets/d/1vX4EJ5xHAydPw-zIZ-xMGfM_lMaz2GvXl_oDjgq6VZs/edit#gid=230007046"",""TotalSectores!M18:q27"")"),"")</f>
        <v/>
      </c>
      <c r="C13" s="1"/>
      <c r="D13" s="1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>
      <c r="A14" s="1"/>
      <c r="B14" s="17" t="str">
        <f ca="1">IFERROR(__xludf.DUMMYFUNCTION("""COMPUTED_VALUE"""),"Variación Mensual ICE por Puntaje y Niveles (Δ Mayo-2023 / Junio-2023)")</f>
        <v>Variación Mensual ICE por Puntaje y Niveles (Δ Mayo-2023 / Junio-2023)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ht="12.75">
      <c r="A15" s="1"/>
      <c r="B15" s="18" t="str">
        <f ca="1">IFERROR(__xludf.DUMMYFUNCTION("""COMPUTED_VALUE"""),"Sector Productivo")</f>
        <v>Sector Productivo</v>
      </c>
      <c r="C15" s="18" t="str">
        <f ca="1">IFERROR(__xludf.DUMMYFUNCTION("""COMPUTED_VALUE"""),"Mayo-2023")</f>
        <v>Mayo-2023</v>
      </c>
      <c r="D15" s="18" t="str">
        <f ca="1">IFERROR(__xludf.DUMMYFUNCTION("""COMPUTED_VALUE"""),"Junio-2023")</f>
        <v>Junio-2023</v>
      </c>
      <c r="E15" s="18" t="str">
        <f ca="1">IFERROR(__xludf.DUMMYFUNCTION("""COMPUTED_VALUE"""),"Δ m/m")</f>
        <v>Δ m/m</v>
      </c>
      <c r="F15" s="19" t="str">
        <f ca="1">IFERROR(__xludf.DUMMYFUNCTION("""COMPUTED_VALUE"""),"Variación de Nivel (Estado)")</f>
        <v>Variación de Nivel (Estado)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ht="36">
      <c r="A16" s="1"/>
      <c r="B16" s="20" t="str">
        <f ca="1">IFERROR(__xludf.DUMMYFUNCTION("""COMPUTED_VALUE"""),"Comercio")</f>
        <v>Comercio</v>
      </c>
      <c r="C16" s="21">
        <f ca="1">IFERROR(__xludf.DUMMYFUNCTION("""COMPUTED_VALUE"""),2.45840881657092)</f>
        <v>2.4584088165709201</v>
      </c>
      <c r="D16" s="21">
        <f ca="1">IFERROR(__xludf.DUMMYFUNCTION("""COMPUTED_VALUE"""),-48.135493530237)</f>
        <v>-48.135493530237</v>
      </c>
      <c r="E16" s="21">
        <f ca="1">IFERROR(__xludf.DUMMYFUNCTION("""COMPUTED_VALUE"""),-50.5939023468079)</f>
        <v>-50.593902346807901</v>
      </c>
      <c r="F16" s="22" t="str">
        <f ca="1">IFERROR(__xludf.DUMMYFUNCTION("""COMPUTED_VALUE"""),"Baja 5 niveles, de neutral de expectativas a extraordinariamente pesimista")</f>
        <v>Baja 5 niveles, de neutral de expectativas a extraordinariamente pesimista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ht="24">
      <c r="A17" s="1"/>
      <c r="B17" s="23" t="str">
        <f ca="1">IFERROR(__xludf.DUMMYFUNCTION("""COMPUTED_VALUE"""),"Industrial")</f>
        <v>Industrial</v>
      </c>
      <c r="C17" s="7">
        <f ca="1">IFERROR(__xludf.DUMMYFUNCTION("""COMPUTED_VALUE"""),-31.9646519845137)</f>
        <v>-31.964651984513701</v>
      </c>
      <c r="D17" s="7">
        <f ca="1">IFERROR(__xludf.DUMMYFUNCTION("""COMPUTED_VALUE"""),-33.2124233850497)</f>
        <v>-33.212423385049703</v>
      </c>
      <c r="E17" s="7">
        <f ca="1">IFERROR(__xludf.DUMMYFUNCTION("""COMPUTED_VALUE"""),-1.24777140053596)</f>
        <v>-1.2477714005359599</v>
      </c>
      <c r="F17" s="24" t="str">
        <f ca="1">IFERROR(__xludf.DUMMYFUNCTION("""COMPUTED_VALUE"""),"Se mantiene en su nivel anterior pesimista")</f>
        <v>Se mantiene en su nivel anterior pesimista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ht="36">
      <c r="A18" s="1"/>
      <c r="B18" s="23" t="str">
        <f ca="1">IFERROR(__xludf.DUMMYFUNCTION("""COMPUTED_VALUE"""),"Construcción")</f>
        <v>Construcción</v>
      </c>
      <c r="C18" s="7">
        <f ca="1">IFERROR(__xludf.DUMMYFUNCTION("""COMPUTED_VALUE"""),-3.06912710219807)</f>
        <v>-3.0691271021980699</v>
      </c>
      <c r="D18" s="7">
        <f ca="1">IFERROR(__xludf.DUMMYFUNCTION("""COMPUTED_VALUE"""),-22.0740297035652)</f>
        <v>-22.074029703565198</v>
      </c>
      <c r="E18" s="7">
        <f ca="1">IFERROR(__xludf.DUMMYFUNCTION("""COMPUTED_VALUE"""),-19.0049026013672)</f>
        <v>-19.004902601367199</v>
      </c>
      <c r="F18" s="24" t="str">
        <f ca="1">IFERROR(__xludf.DUMMYFUNCTION("""COMPUTED_VALUE"""),"Baja 2 niveles, de nivel neutral de expectativas a moderadamente pesimista")</f>
        <v>Baja 2 niveles, de nivel neutral de expectativas a moderadamente pesimista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ht="24">
      <c r="A19" s="1"/>
      <c r="B19" s="23" t="str">
        <f ca="1">IFERROR(__xludf.DUMMYFUNCTION("""COMPUTED_VALUE"""),"Agro/Forestal")</f>
        <v>Agro/Forestal</v>
      </c>
      <c r="C19" s="7">
        <f ca="1">IFERROR(__xludf.DUMMYFUNCTION("""COMPUTED_VALUE"""),-31.0951845572386)</f>
        <v>-31.0951845572386</v>
      </c>
      <c r="D19" s="7">
        <f ca="1">IFERROR(__xludf.DUMMYFUNCTION("""COMPUTED_VALUE"""),-50.4934578196301)</f>
        <v>-50.493457819630102</v>
      </c>
      <c r="E19" s="7">
        <f ca="1">IFERROR(__xludf.DUMMYFUNCTION("""COMPUTED_VALUE"""),-19.3982732623914)</f>
        <v>-19.398273262391399</v>
      </c>
      <c r="F19" s="24" t="str">
        <f ca="1">IFERROR(__xludf.DUMMYFUNCTION("""COMPUTED_VALUE"""),"Baja 2 niveles, de pesimista a extraordinariamente pesimista")</f>
        <v>Baja 2 niveles, de pesimista a extraordinariamente pesimista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36">
      <c r="A20" s="1"/>
      <c r="B20" s="25" t="str">
        <f ca="1">IFERROR(__xludf.DUMMYFUNCTION("""COMPUTED_VALUE"""),"Financiero")</f>
        <v>Financiero</v>
      </c>
      <c r="C20" s="7">
        <f ca="1">IFERROR(__xludf.DUMMYFUNCTION("""COMPUTED_VALUE"""),25)</f>
        <v>25</v>
      </c>
      <c r="D20" s="7">
        <f ca="1">IFERROR(__xludf.DUMMYFUNCTION("""COMPUTED_VALUE"""),-6.25)</f>
        <v>-6.25</v>
      </c>
      <c r="E20" s="7">
        <f ca="1">IFERROR(__xludf.DUMMYFUNCTION("""COMPUTED_VALUE"""),-31.25)</f>
        <v>-31.25</v>
      </c>
      <c r="F20" s="24" t="str">
        <f ca="1">IFERROR(__xludf.DUMMYFUNCTION("""COMPUTED_VALUE"""),"Baja 3 niveles, de moderadamente optimista a levemente pesimista")</f>
        <v>Baja 3 niveles, de moderadamente optimista a levemente pesimista</v>
      </c>
      <c r="G20" s="2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ht="24">
      <c r="A21" s="1"/>
      <c r="B21" s="25" t="str">
        <f ca="1">IFERROR(__xludf.DUMMYFUNCTION("""COMPUTED_VALUE"""),"Transporte")</f>
        <v>Transporte</v>
      </c>
      <c r="C21" s="11">
        <f ca="1">IFERROR(__xludf.DUMMYFUNCTION("""COMPUTED_VALUE"""),-50.9077644260398)</f>
        <v>-50.907764426039797</v>
      </c>
      <c r="D21" s="11">
        <f ca="1">IFERROR(__xludf.DUMMYFUNCTION("""COMPUTED_VALUE"""),-71.9713046088045)</f>
        <v>-71.971304608804502</v>
      </c>
      <c r="E21" s="11">
        <f ca="1">IFERROR(__xludf.DUMMYFUNCTION("""COMPUTED_VALUE"""),-21.0635401827647)</f>
        <v>-21.063540182764701</v>
      </c>
      <c r="F21" s="27" t="str">
        <f ca="1">IFERROR(__xludf.DUMMYFUNCTION("""COMPUTED_VALUE"""),"Se mantiene en su nivel anterior extraordinariamente pesimista")</f>
        <v>Se mantiene en su nivel anterior extraordinariamente pesimista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ht="63">
      <c r="A22" s="1"/>
      <c r="B22" s="28" t="str">
        <f ca="1">IFERROR(__xludf.DUMMYFUNCTION("""COMPUTED_VALUE"""),"Total ICE Araucanía")</f>
        <v>Total ICE Araucanía</v>
      </c>
      <c r="C22" s="29">
        <f ca="1">IFERROR(__xludf.DUMMYFUNCTION("""COMPUTED_VALUE"""),-15.0420055411777)</f>
        <v>-15.0420055411777</v>
      </c>
      <c r="D22" s="30">
        <f ca="1">IFERROR(__xludf.DUMMYFUNCTION("""COMPUTED_VALUE"""),-38.6342185977147)</f>
        <v>-38.6342185977147</v>
      </c>
      <c r="E22" s="30">
        <f ca="1">IFERROR(__xludf.DUMMYFUNCTION("""COMPUTED_VALUE"""),-23.5922130565369)</f>
        <v>-23.592213056536899</v>
      </c>
      <c r="F22" s="31" t="str">
        <f ca="1">IFERROR(__xludf.DUMMYFUNCTION("""COMPUTED_VALUE"""),"Baja 2 niveles, de moderadamente pesimista a muy pesimista")</f>
        <v>Baja 2 niveles, de moderadamente pesimista a muy pesimista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ht="12.75">
      <c r="A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ht="12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ht="12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ht="12.75" hidden="1">
      <c r="A26" s="1"/>
      <c r="B26" s="1" t="str">
        <f ca="1">IFERROR(__xludf.DUMMYFUNCTION("IMPORTRANGE(""https://docs.google.com/spreadsheets/d/1vX4EJ5xHAydPw-zIZ-xMGfM_lMaz2GvXl_oDjgq6VZs/edit#gid=230007046"",""TotalSectores!M6:Q15"")"),"")</f>
        <v/>
      </c>
      <c r="C26" s="1"/>
      <c r="D26" s="1"/>
      <c r="E26" s="1"/>
      <c r="F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>
      <c r="A27" s="1"/>
      <c r="B27" s="3" t="str">
        <f ca="1">IFERROR(__xludf.DUMMYFUNCTION("""COMPUTED_VALUE"""),"Variación Mensual Variables Relevantes (Mayo-2023 Junio-2023)")</f>
        <v>Variación Mensual Variables Relevantes (Mayo-2023 Junio-2023)</v>
      </c>
      <c r="C27" s="1"/>
      <c r="E27" s="1"/>
      <c r="F27" s="1"/>
      <c r="G27" s="1"/>
      <c r="H27" s="1"/>
      <c r="I27" s="1"/>
      <c r="J27" s="1"/>
      <c r="K27" s="3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ht="12.75">
      <c r="A28" s="1"/>
      <c r="B28" s="33"/>
      <c r="C28" s="33" t="str">
        <f ca="1">IFERROR(__xludf.DUMMYFUNCTION("""COMPUTED_VALUE"""),"Mayo-2023")</f>
        <v>Mayo-2023</v>
      </c>
      <c r="D28" s="33" t="str">
        <f ca="1">IFERROR(__xludf.DUMMYFUNCTION("""COMPUTED_VALUE"""),"Junio-2023")</f>
        <v>Junio-2023</v>
      </c>
      <c r="E28" s="33" t="str">
        <f ca="1">IFERROR(__xludf.DUMMYFUNCTION("""COMPUTED_VALUE"""),"Δ m/m")</f>
        <v>Δ m/m</v>
      </c>
      <c r="F28" s="33" t="str">
        <f ca="1">IFERROR(__xludf.DUMMYFUNCTION("""COMPUTED_VALUE"""),"Variación de Nivel (Estado)")</f>
        <v>Variación de Nivel (Estado)</v>
      </c>
      <c r="H28" s="1"/>
      <c r="I28" s="32"/>
      <c r="J28" s="1"/>
      <c r="K28" s="3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ht="36">
      <c r="A29" s="1"/>
      <c r="B29" s="34" t="str">
        <f ca="1">IFERROR(__xludf.DUMMYFUNCTION("""COMPUTED_VALUE"""),"Demanda Nacional (Presente)")</f>
        <v>Demanda Nacional (Presente)</v>
      </c>
      <c r="C29" s="35">
        <f ca="1">IFERROR(__xludf.DUMMYFUNCTION("""COMPUTED_VALUE"""),-20.3759260793496)</f>
        <v>-20.3759260793496</v>
      </c>
      <c r="D29" s="35">
        <f ca="1">IFERROR(__xludf.DUMMYFUNCTION("""COMPUTED_VALUE"""),-56.1867945889288)</f>
        <v>-56.186794588928798</v>
      </c>
      <c r="E29" s="35">
        <f ca="1">IFERROR(__xludf.DUMMYFUNCTION("""COMPUTED_VALUE"""),-35.8108685095792)</f>
        <v>-35.810868509579201</v>
      </c>
      <c r="F29" s="36" t="str">
        <f ca="1">IFERROR(__xludf.DUMMYFUNCTION("""COMPUTED_VALUE"""),"Baja 3 niveles, de moderadamente pesimista a extraordinariamente pesimista")</f>
        <v>Baja 3 niveles, de moderadamente pesimista a extraordinariamente pesimista</v>
      </c>
      <c r="G29" s="1"/>
      <c r="H29" s="1"/>
      <c r="I29" s="1"/>
      <c r="J29" s="1"/>
      <c r="K29" s="3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24">
      <c r="A30" s="1"/>
      <c r="B30" s="34" t="str">
        <f ca="1">IFERROR(__xludf.DUMMYFUNCTION("""COMPUTED_VALUE"""),"Nivel Inventarios (Presente)")</f>
        <v>Nivel Inventarios (Presente)</v>
      </c>
      <c r="C30" s="35">
        <f ca="1">IFERROR(__xludf.DUMMYFUNCTION("""COMPUTED_VALUE"""),-1.05163197149308)</f>
        <v>-1.05163197149308</v>
      </c>
      <c r="D30" s="35">
        <f ca="1">IFERROR(__xludf.DUMMYFUNCTION("""COMPUTED_VALUE"""),-25.7846349664249)</f>
        <v>-25.7846349664249</v>
      </c>
      <c r="E30" s="35">
        <f ca="1">IFERROR(__xludf.DUMMYFUNCTION("""COMPUTED_VALUE"""),-24.7330029949318)</f>
        <v>-24.733002994931802</v>
      </c>
      <c r="F30" s="36" t="str">
        <f ca="1">IFERROR(__xludf.DUMMYFUNCTION("""COMPUTED_VALUE"""),"Baja 3 niveles, de nivel neutral de expectativas a pesimista")</f>
        <v>Baja 3 niveles, de nivel neutral de expectativas a pesimista</v>
      </c>
      <c r="H30" s="1"/>
      <c r="I30" s="32"/>
      <c r="J30" s="1"/>
      <c r="K30" s="3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ht="24">
      <c r="A31" s="1"/>
      <c r="B31" s="34" t="str">
        <f ca="1">IFERROR(__xludf.DUMMYFUNCTION("""COMPUTED_VALUE"""),"Proyección Economía País (Futuro)")</f>
        <v>Proyección Economía País (Futuro)</v>
      </c>
      <c r="C31" s="35">
        <f ca="1">IFERROR(__xludf.DUMMYFUNCTION("""COMPUTED_VALUE"""),-25.7723110304291)</f>
        <v>-25.772311030429101</v>
      </c>
      <c r="D31" s="35">
        <f ca="1">IFERROR(__xludf.DUMMYFUNCTION("""COMPUTED_VALUE"""),-66.1039184921701)</f>
        <v>-66.103918492170095</v>
      </c>
      <c r="E31" s="35">
        <f ca="1">IFERROR(__xludf.DUMMYFUNCTION("""COMPUTED_VALUE"""),-40.331607461741)</f>
        <v>-40.331607461741001</v>
      </c>
      <c r="F31" s="36" t="str">
        <f ca="1">IFERROR(__xludf.DUMMYFUNCTION("""COMPUTED_VALUE"""),"Baja 2 niveles, de pesimista a extraordinariamente pesimista")</f>
        <v>Baja 2 niveles, de pesimista a extraordinariamente pesimista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ht="24">
      <c r="A32" s="1"/>
      <c r="B32" s="34" t="str">
        <f ca="1">IFERROR(__xludf.DUMMYFUNCTION("""COMPUTED_VALUE"""),"Proyección Situación Negocio (Futuro)")</f>
        <v>Proyección Situación Negocio (Futuro)</v>
      </c>
      <c r="C32" s="35">
        <f ca="1">IFERROR(__xludf.DUMMYFUNCTION("""COMPUTED_VALUE"""),-6.53485337156153)</f>
        <v>-6.53485337156153</v>
      </c>
      <c r="D32" s="35">
        <f ca="1">IFERROR(__xludf.DUMMYFUNCTION("""COMPUTED_VALUE"""),-29.4088038267127)</f>
        <v>-29.408803826712699</v>
      </c>
      <c r="E32" s="35">
        <f ca="1">IFERROR(__xludf.DUMMYFUNCTION("""COMPUTED_VALUE"""),-22.8739504551512)</f>
        <v>-22.873950455151199</v>
      </c>
      <c r="F32" s="36" t="str">
        <f ca="1">IFERROR(__xludf.DUMMYFUNCTION("""COMPUTED_VALUE"""),"Baja 2 niveles, de levemente pesimista a pesimista")</f>
        <v>Baja 2 niveles, de levemente pesimista a pesimista</v>
      </c>
      <c r="H32" s="1"/>
      <c r="I32" s="3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ht="24">
      <c r="A33" s="1"/>
      <c r="B33" s="34" t="str">
        <f ca="1">IFERROR(__xludf.DUMMYFUNCTION("""COMPUTED_VALUE"""),"Precios Insumos Futuros (Futuro)")</f>
        <v>Precios Insumos Futuros (Futuro)</v>
      </c>
      <c r="C33" s="35">
        <f ca="1">IFERROR(__xludf.DUMMYFUNCTION("""COMPUTED_VALUE"""),-23.8269058465615)</f>
        <v>-23.826905846561498</v>
      </c>
      <c r="D33" s="35">
        <f ca="1">IFERROR(__xludf.DUMMYFUNCTION("""COMPUTED_VALUE"""),-28.7516970860349)</f>
        <v>-28.751697086034898</v>
      </c>
      <c r="E33" s="35">
        <f ca="1">IFERROR(__xludf.DUMMYFUNCTION("""COMPUTED_VALUE"""),-4.92479123947337)</f>
        <v>-4.9247912394733699</v>
      </c>
      <c r="F33" s="36" t="str">
        <f ca="1">IFERROR(__xludf.DUMMYFUNCTION("""COMPUTED_VALUE"""),"Baja 1 nivel, de moderadamente pesimista a pesimista")</f>
        <v>Baja 1 nivel, de moderadamente pesimista a pesimista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ht="36">
      <c r="A34" s="1"/>
      <c r="B34" s="34" t="str">
        <f ca="1">IFERROR(__xludf.DUMMYFUNCTION("""COMPUTED_VALUE"""),"Proyección Empleos Futuros (Futuro)")</f>
        <v>Proyección Empleos Futuros (Futuro)</v>
      </c>
      <c r="C34" s="35">
        <f ca="1">IFERROR(__xludf.DUMMYFUNCTION("""COMPUTED_VALUE"""),-13.2848322194673)</f>
        <v>-13.284832219467299</v>
      </c>
      <c r="D34" s="35">
        <f ca="1">IFERROR(__xludf.DUMMYFUNCTION("""COMPUTED_VALUE"""),-21.1046984473128)</f>
        <v>-21.104698447312799</v>
      </c>
      <c r="E34" s="35">
        <f ca="1">IFERROR(__xludf.DUMMYFUNCTION("""COMPUTED_VALUE"""),-7.81986622784547)</f>
        <v>-7.8198662278454698</v>
      </c>
      <c r="F34" s="36" t="str">
        <f ca="1">IFERROR(__xludf.DUMMYFUNCTION("""COMPUTED_VALUE"""),"Baja 1 nivel, de levemente pesimista a moderadamente pesimista")</f>
        <v>Baja 1 nivel, de levemente pesimista a moderadamente pesimista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ht="24">
      <c r="A35" s="1"/>
      <c r="B35" s="34" t="str">
        <f ca="1">IFERROR(__xludf.DUMMYFUNCTION("""COMPUTED_VALUE"""),"Situación Negocio Esperada (Pasado)")</f>
        <v>Situación Negocio Esperada (Pasado)</v>
      </c>
      <c r="C35" s="35">
        <f ca="1">IFERROR(__xludf.DUMMYFUNCTION("""COMPUTED_VALUE"""),-32.4726730762854)</f>
        <v>-32.472673076285403</v>
      </c>
      <c r="D35" s="35">
        <f ca="1">IFERROR(__xludf.DUMMYFUNCTION("""COMPUTED_VALUE"""),-51.4450763652269)</f>
        <v>-51.445076365226903</v>
      </c>
      <c r="E35" s="35">
        <f ca="1">IFERROR(__xludf.DUMMYFUNCTION("""COMPUTED_VALUE"""),-18.9724032889414)</f>
        <v>-18.9724032889414</v>
      </c>
      <c r="F35" s="36" t="str">
        <f ca="1">IFERROR(__xludf.DUMMYFUNCTION("""COMPUTED_VALUE"""),"Baja 2 niveles, de pesimista a extraordinariamente pesimista")</f>
        <v>Baja 2 niveles, de pesimista a extraordinariamente pesimista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2.75">
      <c r="A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4.25">
      <c r="A39" s="1"/>
      <c r="B39" s="3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2.75" hidden="1">
      <c r="A40" s="1"/>
      <c r="B40" s="1" t="str">
        <f ca="1">IFERROR(__xludf.DUMMYFUNCTION("IMPORTRANGE(""https://docs.google.com/spreadsheets/d/1vX4EJ5xHAydPw-zIZ-xMGfM_lMaz2GvXl_oDjgq6VZs/edit#gid=230007046"",""Comercio!B48:F68"")"),"")</f>
        <v/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6.5">
      <c r="A41" s="1"/>
      <c r="B41" s="42" t="str">
        <f ca="1">IFERROR(__xludf.DUMMYFUNCTION("""COMPUTED_VALUE"""),"Variación Variables Sector Comercio")</f>
        <v>Variación Variables Sector Comercio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2.75">
      <c r="A42" s="1"/>
      <c r="B42" s="37" t="str">
        <f ca="1">IFERROR(__xludf.DUMMYFUNCTION("""COMPUTED_VALUE"""),"Variable")</f>
        <v>Variable</v>
      </c>
      <c r="C42" s="33" t="str">
        <f ca="1">IFERROR(__xludf.DUMMYFUNCTION("""COMPUTED_VALUE"""),"Mayo-2023")</f>
        <v>Mayo-2023</v>
      </c>
      <c r="D42" s="33" t="str">
        <f ca="1">IFERROR(__xludf.DUMMYFUNCTION("""COMPUTED_VALUE"""),"Junio-2023")</f>
        <v>Junio-2023</v>
      </c>
      <c r="E42" s="33" t="str">
        <f ca="1">IFERROR(__xludf.DUMMYFUNCTION("""COMPUTED_VALUE"""),"Δ")</f>
        <v>Δ</v>
      </c>
      <c r="F42" s="33" t="str">
        <f ca="1">IFERROR(__xludf.DUMMYFUNCTION("""COMPUTED_VALUE"""),"Nivel de Confianza")</f>
        <v>Nivel de Confianza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24">
      <c r="A43" s="1"/>
      <c r="B43" s="34" t="str">
        <f ca="1">IFERROR(__xludf.DUMMYFUNCTION("""COMPUTED_VALUE"""),"Capacidad Producción (Presente)")</f>
        <v>Capacidad Producción (Presente)</v>
      </c>
      <c r="C43" s="35">
        <f ca="1">IFERROR(__xludf.DUMMYFUNCTION("""COMPUTED_VALUE"""),-16.8080626125813)</f>
        <v>-16.808062612581299</v>
      </c>
      <c r="D43" s="35">
        <f ca="1">IFERROR(__xludf.DUMMYFUNCTION("""COMPUTED_VALUE"""),-18.5031970442637)</f>
        <v>-18.5031970442637</v>
      </c>
      <c r="E43" s="35">
        <f ca="1">IFERROR(__xludf.DUMMYFUNCTION("""COMPUTED_VALUE"""),-1.69513443168245)</f>
        <v>-1.6951344316824499</v>
      </c>
      <c r="F43" s="36" t="str">
        <f ca="1">IFERROR(__xludf.DUMMYFUNCTION("""COMPUTED_VALUE"""),"Se mantiene en su nivel anterior moderadamente pesimista")</f>
        <v>Se mantiene en su nivel anterior moderadamente pesimista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36">
      <c r="A44" s="1"/>
      <c r="B44" s="34" t="str">
        <f ca="1">IFERROR(__xludf.DUMMYFUNCTION("""COMPUTED_VALUE"""),"Demanda Nacional (Presente)")</f>
        <v>Demanda Nacional (Presente)</v>
      </c>
      <c r="C44" s="35">
        <f ca="1">IFERROR(__xludf.DUMMYFUNCTION("""COMPUTED_VALUE"""),-23.4747596217362)</f>
        <v>-23.474759621736201</v>
      </c>
      <c r="D44" s="35">
        <f ca="1">IFERROR(__xludf.DUMMYFUNCTION("""COMPUTED_VALUE"""),-80.0274342039682)</f>
        <v>-80.027434203968198</v>
      </c>
      <c r="E44" s="35">
        <f ca="1">IFERROR(__xludf.DUMMYFUNCTION("""COMPUTED_VALUE"""),-56.552674582232)</f>
        <v>-56.552674582232001</v>
      </c>
      <c r="F44" s="36" t="str">
        <f ca="1">IFERROR(__xludf.DUMMYFUNCTION("""COMPUTED_VALUE"""),"Baja 3 niveles, de moderadamente pesimista a extraordinariamente pesimista")</f>
        <v>Baja 3 niveles, de moderadamente pesimista a extraordinariamente pesimista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36">
      <c r="A45" s="1"/>
      <c r="B45" s="34" t="str">
        <f ca="1">IFERROR(__xludf.DUMMYFUNCTION("""COMPUTED_VALUE"""),"Demanda Internacional (Presente)")</f>
        <v>Demanda Internacional (Presente)</v>
      </c>
      <c r="C45" s="35">
        <f ca="1">IFERROR(__xludf.DUMMYFUNCTION("""COMPUTED_VALUE"""),9.41098110399208)</f>
        <v>9.4109811039920803</v>
      </c>
      <c r="D45" s="35">
        <f ca="1">IFERROR(__xludf.DUMMYFUNCTION("""COMPUTED_VALUE"""),-66.5855360671544)</f>
        <v>-66.585536067154393</v>
      </c>
      <c r="E45" s="35">
        <f ca="1">IFERROR(__xludf.DUMMYFUNCTION("""COMPUTED_VALUE"""),-75.9965171711464)</f>
        <v>-75.996517171146394</v>
      </c>
      <c r="F45" s="36" t="str">
        <f ca="1">IFERROR(__xludf.DUMMYFUNCTION("""COMPUTED_VALUE"""),"Baja 6 niveles, de levemente optimista a extraordinariamente pesimista")</f>
        <v>Baja 6 niveles, de levemente optimista a extraordinariamente pesimista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24">
      <c r="A46" s="1"/>
      <c r="B46" s="34" t="str">
        <f ca="1">IFERROR(__xludf.DUMMYFUNCTION("""COMPUTED_VALUE"""),"Nivel Inventarios (Presente)")</f>
        <v>Nivel Inventarios (Presente)</v>
      </c>
      <c r="C46" s="35">
        <f ca="1">IFERROR(__xludf.DUMMYFUNCTION("""COMPUTED_VALUE"""),31.4399062209185)</f>
        <v>31.439906220918498</v>
      </c>
      <c r="D46" s="35">
        <f ca="1">IFERROR(__xludf.DUMMYFUNCTION("""COMPUTED_VALUE"""),-62.8892522514469)</f>
        <v>-62.889252251446898</v>
      </c>
      <c r="E46" s="35">
        <f ca="1">IFERROR(__xludf.DUMMYFUNCTION("""COMPUTED_VALUE"""),-94.3291584723655)</f>
        <v>-94.329158472365506</v>
      </c>
      <c r="F46" s="36" t="str">
        <f ca="1">IFERROR(__xludf.DUMMYFUNCTION("""COMPUTED_VALUE"""),"Baja 8 niveles, de optimista a extraordinariamente pesimista")</f>
        <v>Baja 8 niveles, de optimista a extraordinariamente pesimista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24">
      <c r="A47" s="1"/>
      <c r="B47" s="34" t="str">
        <f ca="1">IFERROR(__xludf.DUMMYFUNCTION("""COMPUTED_VALUE"""),"Evolución Ventas (Pasado)")</f>
        <v>Evolución Ventas (Pasado)</v>
      </c>
      <c r="C47" s="35">
        <f ca="1">IFERROR(__xludf.DUMMYFUNCTION("""COMPUTED_VALUE"""),-83.2509329754454)</f>
        <v>-83.250932975445394</v>
      </c>
      <c r="D47" s="35">
        <f ca="1">IFERROR(__xludf.DUMMYFUNCTION("""COMPUTED_VALUE"""),-73.1930321549648)</f>
        <v>-73.193032154964797</v>
      </c>
      <c r="E47" s="35">
        <f ca="1">IFERROR(__xludf.DUMMYFUNCTION("""COMPUTED_VALUE"""),10.0579008204806)</f>
        <v>10.057900820480601</v>
      </c>
      <c r="F47" s="36" t="str">
        <f ca="1">IFERROR(__xludf.DUMMYFUNCTION("""COMPUTED_VALUE"""),"Se mantiene en su nivel anterior extraordinariamente pesimista")</f>
        <v>Se mantiene en su nivel anterior extraordinariamente pesimista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24">
      <c r="A48" s="1"/>
      <c r="B48" s="34" t="str">
        <f ca="1">IFERROR(__xludf.DUMMYFUNCTION("""COMPUTED_VALUE"""),"Evolución Precios (Pasado)")</f>
        <v>Evolución Precios (Pasado)</v>
      </c>
      <c r="C48" s="35">
        <f ca="1">IFERROR(__xludf.DUMMYFUNCTION("""COMPUTED_VALUE"""),42.1052758209701)</f>
        <v>42.1052758209701</v>
      </c>
      <c r="D48" s="35">
        <f ca="1">IFERROR(__xludf.DUMMYFUNCTION("""COMPUTED_VALUE"""),-50.9167228664011)</f>
        <v>-50.916722866401102</v>
      </c>
      <c r="E48" s="35">
        <f ca="1">IFERROR(__xludf.DUMMYFUNCTION("""COMPUTED_VALUE"""),-93.0219986873712)</f>
        <v>-93.021998687371195</v>
      </c>
      <c r="F48" s="36" t="str">
        <f ca="1">IFERROR(__xludf.DUMMYFUNCTION("""COMPUTED_VALUE"""),"Baja 9 niveles, de muy optimista a extraordinariamente pesimista")</f>
        <v>Baja 9 niveles, de muy optimista a extraordinariamente pesimista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36">
      <c r="A49" s="1"/>
      <c r="B49" s="34" t="str">
        <f ca="1">IFERROR(__xludf.DUMMYFUNCTION("""COMPUTED_VALUE"""),"Situación Negocio (Pasado)")</f>
        <v>Situación Negocio (Pasado)</v>
      </c>
      <c r="C49" s="35">
        <f ca="1">IFERROR(__xludf.DUMMYFUNCTION("""COMPUTED_VALUE"""),-20.1414111171587)</f>
        <v>-20.1414111171587</v>
      </c>
      <c r="D49" s="35">
        <f ca="1">IFERROR(__xludf.DUMMYFUNCTION("""COMPUTED_VALUE"""),-68.8892795596863)</f>
        <v>-68.889279559686301</v>
      </c>
      <c r="E49" s="35">
        <f ca="1">IFERROR(__xludf.DUMMYFUNCTION("""COMPUTED_VALUE"""),-48.7478684425276)</f>
        <v>-48.747868442527597</v>
      </c>
      <c r="F49" s="36" t="str">
        <f ca="1">IFERROR(__xludf.DUMMYFUNCTION("""COMPUTED_VALUE"""),"Baja 3 niveles, de moderadamente pesimista a extraordinariamente pesimista")</f>
        <v>Baja 3 niveles, de moderadamente pesimista a extraordinariamente pesimista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36">
      <c r="A50" s="1"/>
      <c r="B50" s="34" t="str">
        <f ca="1">IFERROR(__xludf.DUMMYFUNCTION("""COMPUTED_VALUE"""),"Situación Negocio Esperada (Pasado)")</f>
        <v>Situación Negocio Esperada (Pasado)</v>
      </c>
      <c r="C50" s="35">
        <f ca="1">IFERROR(__xludf.DUMMYFUNCTION("""COMPUTED_VALUE"""),8.82798151934007)</f>
        <v>8.8279815193400708</v>
      </c>
      <c r="D50" s="35">
        <f ca="1">IFERROR(__xludf.DUMMYFUNCTION("""COMPUTED_VALUE"""),-61.7511431208974)</f>
        <v>-61.751143120897403</v>
      </c>
      <c r="E50" s="35">
        <f ca="1">IFERROR(__xludf.DUMMYFUNCTION("""COMPUTED_VALUE"""),-70.5791246402375)</f>
        <v>-70.579124640237495</v>
      </c>
      <c r="F50" s="36" t="str">
        <f ca="1">IFERROR(__xludf.DUMMYFUNCTION("""COMPUTED_VALUE"""),"Baja 6 niveles, de levemente optimista a extraordinariamente pesimista")</f>
        <v>Baja 6 niveles, de levemente optimista a extraordinariamente pesimista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36">
      <c r="A51" s="1"/>
      <c r="B51" s="34" t="str">
        <f ca="1">IFERROR(__xludf.DUMMYFUNCTION("""COMPUTED_VALUE"""),"Proyección Economía País (Futuro)")</f>
        <v>Proyección Economía País (Futuro)</v>
      </c>
      <c r="C51" s="35">
        <f ca="1">IFERROR(__xludf.DUMMYFUNCTION("""COMPUTED_VALUE"""),16.9405130333047)</f>
        <v>16.9405130333047</v>
      </c>
      <c r="D51" s="35">
        <f ca="1">IFERROR(__xludf.DUMMYFUNCTION("""COMPUTED_VALUE"""),-66.3586301059614)</f>
        <v>-66.358630105961396</v>
      </c>
      <c r="E51" s="35">
        <f ca="1">IFERROR(__xludf.DUMMYFUNCTION("""COMPUTED_VALUE"""),-83.2991431392661)</f>
        <v>-83.299143139266107</v>
      </c>
      <c r="F51" s="36" t="str">
        <f ca="1">IFERROR(__xludf.DUMMYFUNCTION("""COMPUTED_VALUE"""),"Baja 7 niveles, de moderadamente optimista a extraordinariamente pesimista")</f>
        <v>Baja 7 niveles, de moderadamente optimista a extraordinariamente pesimista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24">
      <c r="A52" s="1"/>
      <c r="B52" s="34" t="str">
        <f ca="1">IFERROR(__xludf.DUMMYFUNCTION("""COMPUTED_VALUE"""),"Situación Sector (Futuro)")</f>
        <v>Situación Sector (Futuro)</v>
      </c>
      <c r="C52" s="35">
        <f ca="1">IFERROR(__xludf.DUMMYFUNCTION("""COMPUTED_VALUE"""),-25.7244334586769)</f>
        <v>-25.724433458676899</v>
      </c>
      <c r="D52" s="35">
        <f ca="1">IFERROR(__xludf.DUMMYFUNCTION("""COMPUTED_VALUE"""),-66.3586301059614)</f>
        <v>-66.358630105961396</v>
      </c>
      <c r="E52" s="35">
        <f ca="1">IFERROR(__xludf.DUMMYFUNCTION("""COMPUTED_VALUE"""),-40.6341966472844)</f>
        <v>-40.634196647284398</v>
      </c>
      <c r="F52" s="36" t="str">
        <f ca="1">IFERROR(__xludf.DUMMYFUNCTION("""COMPUTED_VALUE"""),"Baja 2 niveles, de pesimista a extraordinariamente pesimista")</f>
        <v>Baja 2 niveles, de pesimista a extraordinariamente pesimista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36">
      <c r="A53" s="1"/>
      <c r="B53" s="34" t="str">
        <f ca="1">IFERROR(__xludf.DUMMYFUNCTION("""COMPUTED_VALUE"""),"Expectativa Negocio (Futuro)")</f>
        <v>Expectativa Negocio (Futuro)</v>
      </c>
      <c r="C53" s="35">
        <f ca="1">IFERROR(__xludf.DUMMYFUNCTION("""COMPUTED_VALUE"""),23.1065349594749)</f>
        <v>23.106534959474899</v>
      </c>
      <c r="D53" s="35">
        <f ca="1">IFERROR(__xludf.DUMMYFUNCTION("""COMPUTED_VALUE"""),-50.3860825154226)</f>
        <v>-50.386082515422601</v>
      </c>
      <c r="E53" s="35">
        <f ca="1">IFERROR(__xludf.DUMMYFUNCTION("""COMPUTED_VALUE"""),-73.4926174748975)</f>
        <v>-73.4926174748975</v>
      </c>
      <c r="F53" s="36" t="str">
        <f ca="1">IFERROR(__xludf.DUMMYFUNCTION("""COMPUTED_VALUE"""),"Baja 7 niveles, de moderadamente optimista a extraordinariamente pesimista")</f>
        <v>Baja 7 niveles, de moderadamente optimista a extraordinariamente pesimista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24">
      <c r="A54" s="1"/>
      <c r="B54" s="34" t="str">
        <f ca="1">IFERROR(__xludf.DUMMYFUNCTION("""COMPUTED_VALUE"""),"Ventas Futuras (Futuro)")</f>
        <v>Ventas Futuras (Futuro)</v>
      </c>
      <c r="C54" s="35">
        <f ca="1">IFERROR(__xludf.DUMMYFUNCTION("""COMPUTED_VALUE"""),29.5523922211508)</f>
        <v>29.5523922211508</v>
      </c>
      <c r="D54" s="35">
        <f ca="1">IFERROR(__xludf.DUMMYFUNCTION("""COMPUTED_VALUE"""),-50.3860825154226)</f>
        <v>-50.386082515422601</v>
      </c>
      <c r="E54" s="35">
        <f ca="1">IFERROR(__xludf.DUMMYFUNCTION("""COMPUTED_VALUE"""),-79.9384747365734)</f>
        <v>-79.938474736573397</v>
      </c>
      <c r="F54" s="36" t="str">
        <f ca="1">IFERROR(__xludf.DUMMYFUNCTION("""COMPUTED_VALUE"""),"Baja 8 niveles, de optimista a extraordinariamente pesimista")</f>
        <v>Baja 8 niveles, de optimista a extraordinariamente pesimista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36">
      <c r="A55" s="1"/>
      <c r="B55" s="34" t="str">
        <f ca="1">IFERROR(__xludf.DUMMYFUNCTION("""COMPUTED_VALUE"""),"Precios Venta Futuros (Futuro)")</f>
        <v>Precios Venta Futuros (Futuro)</v>
      </c>
      <c r="C55" s="35">
        <f ca="1">IFERROR(__xludf.DUMMYFUNCTION("""COMPUTED_VALUE"""),54.41399075967)</f>
        <v>54.41399075967</v>
      </c>
      <c r="D55" s="35">
        <f ca="1">IFERROR(__xludf.DUMMYFUNCTION("""COMPUTED_VALUE"""),-30.1097823296053)</f>
        <v>-30.109782329605299</v>
      </c>
      <c r="E55" s="35">
        <f ca="1">IFERROR(__xludf.DUMMYFUNCTION("""COMPUTED_VALUE"""),-84.5237730892753)</f>
        <v>-84.523773089275295</v>
      </c>
      <c r="F55" s="36" t="str">
        <f ca="1">IFERROR(__xludf.DUMMYFUNCTION("""COMPUTED_VALUE"""),"Baja 8 niveles, de extraordinariamente optimista a pesimista")</f>
        <v>Baja 8 niveles, de extraordinariamente optimista a pesimista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24">
      <c r="A56" s="1"/>
      <c r="B56" s="34" t="str">
        <f ca="1">IFERROR(__xludf.DUMMYFUNCTION("""COMPUTED_VALUE"""),"Precios Insumos Futuros (Futuro)")</f>
        <v>Precios Insumos Futuros (Futuro)</v>
      </c>
      <c r="C56" s="35">
        <f ca="1">IFERROR(__xludf.DUMMYFUNCTION("""COMPUTED_VALUE"""),-35.8068034740765)</f>
        <v>-35.806803474076503</v>
      </c>
      <c r="D56" s="35">
        <f ca="1">IFERROR(__xludf.DUMMYFUNCTION("""COMPUTED_VALUE"""),13.3028599983025)</f>
        <v>13.3028599983025</v>
      </c>
      <c r="E56" s="35">
        <f ca="1">IFERROR(__xludf.DUMMYFUNCTION("""COMPUTED_VALUE"""),49.1096634723791)</f>
        <v>49.109663472379097</v>
      </c>
      <c r="F56" s="36" t="str">
        <f ca="1">IFERROR(__xludf.DUMMYFUNCTION("""COMPUTED_VALUE"""),"Sube 5 niveles, de muy pesimista a levemente optimista")</f>
        <v>Sube 5 niveles, de muy pesimista a levemente optimista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24">
      <c r="A57" s="1"/>
      <c r="B57" s="34" t="str">
        <f ca="1">IFERROR(__xludf.DUMMYFUNCTION("""COMPUTED_VALUE"""),"Proyección Empleos Futuros (Futuro)")</f>
        <v>Proyección Empleos Futuros (Futuro)</v>
      </c>
      <c r="C57" s="35">
        <f ca="1">IFERROR(__xludf.DUMMYFUNCTION("""COMPUTED_VALUE"""),27.3027183842101)</f>
        <v>27.302718384210099</v>
      </c>
      <c r="D57" s="35">
        <f ca="1">IFERROR(__xludf.DUMMYFUNCTION("""COMPUTED_VALUE"""),-7.13813643878893)</f>
        <v>-7.1381364387889299</v>
      </c>
      <c r="E57" s="35">
        <f ca="1">IFERROR(__xludf.DUMMYFUNCTION("""COMPUTED_VALUE"""),-34.440854822999)</f>
        <v>-34.440854822999</v>
      </c>
      <c r="F57" s="36" t="str">
        <f ca="1">IFERROR(__xludf.DUMMYFUNCTION("""COMPUTED_VALUE"""),"Baja 4 niveles, de optimista a levemente pesimista")</f>
        <v>Baja 4 niveles, de optimista a levemente pesimista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36">
      <c r="A58" s="1"/>
      <c r="B58" s="34" t="str">
        <f ca="1">IFERROR(__xludf.DUMMYFUNCTION("""COMPUTED_VALUE"""),"Salarios Futuros (Futuro)")</f>
        <v>Salarios Futuros (Futuro)</v>
      </c>
      <c r="C58" s="35">
        <f ca="1">IFERROR(__xludf.DUMMYFUNCTION("""COMPUTED_VALUE"""),-46.5812945812111)</f>
        <v>-46.581294581211097</v>
      </c>
      <c r="D58" s="35">
        <f ca="1">IFERROR(__xludf.DUMMYFUNCTION("""COMPUTED_VALUE"""),-19.9725657960317)</f>
        <v>-19.972565796031699</v>
      </c>
      <c r="E58" s="35">
        <f ca="1">IFERROR(__xludf.DUMMYFUNCTION("""COMPUTED_VALUE"""),26.6087287851793)</f>
        <v>26.608728785179299</v>
      </c>
      <c r="F58" s="36" t="str">
        <f ca="1">IFERROR(__xludf.DUMMYFUNCTION("""COMPUTED_VALUE"""),"Sube 3 niveles, de extraordinariamente pesimista a moderadamente pesimista")</f>
        <v>Sube 3 niveles, de extraordinariamente pesimista a moderadamente pesimista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24">
      <c r="A59" s="1"/>
      <c r="B59" s="34" t="str">
        <f ca="1">IFERROR(__xludf.DUMMYFUNCTION("""COMPUTED_VALUE"""),"Inversión Futura (Futuro)")</f>
        <v>Inversión Futura (Futuro)</v>
      </c>
      <c r="C59" s="35">
        <f ca="1">IFERROR(__xludf.DUMMYFUNCTION("""COMPUTED_VALUE"""),28.9693926364988)</f>
        <v>28.969392636498799</v>
      </c>
      <c r="D59" s="35">
        <f ca="1">IFERROR(__xludf.DUMMYFUNCTION("""COMPUTED_VALUE"""),-21.1106749265812)</f>
        <v>-21.110674926581201</v>
      </c>
      <c r="E59" s="35">
        <f ca="1">IFERROR(__xludf.DUMMYFUNCTION("""COMPUTED_VALUE"""),-50.0800675630801)</f>
        <v>-50.0800675630801</v>
      </c>
      <c r="F59" s="36" t="str">
        <f ca="1">IFERROR(__xludf.DUMMYFUNCTION("""COMPUTED_VALUE"""),"Baja 5 niveles, de optimista a moderadamente pesimista")</f>
        <v>Baja 5 niveles, de optimista a moderadamente pesimista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36">
      <c r="A60" s="1"/>
      <c r="B60" s="34" t="str">
        <f ca="1">IFERROR(__xludf.DUMMYFUNCTION("""COMPUTED_VALUE"""),"Situación Financiera Futura (Futuro)")</f>
        <v>Situación Financiera Futura (Futuro)</v>
      </c>
      <c r="C60" s="35">
        <f ca="1">IFERROR(__xludf.DUMMYFUNCTION("""COMPUTED_VALUE"""),23.9693698796326)</f>
        <v>23.969369879632598</v>
      </c>
      <c r="D60" s="35">
        <f ca="1">IFERROR(__xludf.DUMMYFUNCTION("""COMPUTED_VALUE"""),-85.1655615400107)</f>
        <v>-85.1655615400107</v>
      </c>
      <c r="E60" s="35">
        <f ca="1">IFERROR(__xludf.DUMMYFUNCTION("""COMPUTED_VALUE"""),-109.134931419643)</f>
        <v>-109.134931419643</v>
      </c>
      <c r="F60" s="36" t="str">
        <f ca="1">IFERROR(__xludf.DUMMYFUNCTION("""COMPUTED_VALUE"""),"Baja 7 niveles, de moderadamente optimista a extraordinariamente pesimista")</f>
        <v>Baja 7 niveles, de moderadamente optimista a extraordinariamente pesimista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2.75" hidden="1">
      <c r="A63" s="1"/>
      <c r="B63" s="43" t="str">
        <f ca="1">IFERROR(__xludf.DUMMYFUNCTION("IMPORTRANGE(""https://docs.google.com/spreadsheets/d/1TTWxeesZL8il7MzWWMwm_ECI5a0WGJ4RSLO7BZrEGv8/edit#gid=0"",""comercio1!AH76:Al81"")"),"")</f>
        <v/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6.5">
      <c r="A64" s="1"/>
      <c r="B64" s="44" t="str">
        <f ca="1">IFERROR(__xludf.DUMMYFUNCTION("""COMPUTED_VALUE"""),"Variación Mensual Sector Comercio Desagregado")</f>
        <v>Variación Mensual Sector Comercio Desagregado</v>
      </c>
      <c r="C64" s="1"/>
      <c r="E64" s="3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2.75">
      <c r="A65" s="1"/>
      <c r="B65" s="37" t="str">
        <f ca="1">IFERROR(__xludf.DUMMYFUNCTION("""COMPUTED_VALUE"""),"Subsector")</f>
        <v>Subsector</v>
      </c>
      <c r="C65" s="33" t="str">
        <f ca="1">IFERROR(__xludf.DUMMYFUNCTION("""COMPUTED_VALUE"""),"mayo-2023")</f>
        <v>mayo-2023</v>
      </c>
      <c r="D65" s="33" t="str">
        <f ca="1">IFERROR(__xludf.DUMMYFUNCTION("""COMPUTED_VALUE"""),"junio-2023")</f>
        <v>junio-2023</v>
      </c>
      <c r="E65" s="33" t="str">
        <f ca="1">IFERROR(__xludf.DUMMYFUNCTION("""COMPUTED_VALUE"""),"Δ m/m")</f>
        <v>Δ m/m</v>
      </c>
      <c r="F65" s="33" t="str">
        <f ca="1">IFERROR(__xludf.DUMMYFUNCTION("""COMPUTED_VALUE"""),"Nivel de Confianza")</f>
        <v>Nivel de Confianza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24">
      <c r="A66" s="1"/>
      <c r="B66" s="34" t="str">
        <f ca="1">IFERROR(__xludf.DUMMYFUNCTION("""COMPUTED_VALUE"""),"Comercio")</f>
        <v>Comercio</v>
      </c>
      <c r="C66" s="35">
        <f ca="1">IFERROR(__xludf.DUMMYFUNCTION("""COMPUTED_VALUE"""),-41.6666666666666)</f>
        <v>-41.6666666666666</v>
      </c>
      <c r="D66" s="35">
        <f ca="1">IFERROR(__xludf.DUMMYFUNCTION("""COMPUTED_VALUE"""),-45.3703703703703)</f>
        <v>-45.370370370370303</v>
      </c>
      <c r="E66" s="35">
        <f ca="1">IFERROR(__xludf.DUMMYFUNCTION("""COMPUTED_VALUE"""),-3.70370370370369)</f>
        <v>-3.70370370370369</v>
      </c>
      <c r="F66" s="36" t="str">
        <f ca="1">IFERROR(__xludf.DUMMYFUNCTION("""COMPUTED_VALUE"""),"Baja 1 nivel, de muy pesimista a extraordinariamente pesimista")</f>
        <v>Baja 1 nivel, de muy pesimista a extraordinariamente pesimista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36">
      <c r="A67" s="1"/>
      <c r="B67" s="34" t="str">
        <f ca="1">IFERROR(__xludf.DUMMYFUNCTION("""COMPUTED_VALUE"""),"Servicios")</f>
        <v>Servicios</v>
      </c>
      <c r="C67" s="35">
        <f ca="1">IFERROR(__xludf.DUMMYFUNCTION("""COMPUTED_VALUE"""),3.67063492063492)</f>
        <v>3.67063492063492</v>
      </c>
      <c r="D67" s="35">
        <f ca="1">IFERROR(__xludf.DUMMYFUNCTION("""COMPUTED_VALUE"""),-16.2037037037037)</f>
        <v>-16.203703703703699</v>
      </c>
      <c r="E67" s="35">
        <f ca="1">IFERROR(__xludf.DUMMYFUNCTION("""COMPUTED_VALUE"""),-19.8743386243386)</f>
        <v>-19.874338624338598</v>
      </c>
      <c r="F67" s="36" t="str">
        <f ca="1">IFERROR(__xludf.DUMMYFUNCTION("""COMPUTED_VALUE"""),"Baja 2 niveles, de neutral de expectativas a moderadamente pesimista")</f>
        <v>Baja 2 niveles, de neutral de expectativas a moderadamente pesimista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24">
      <c r="A68" s="1"/>
      <c r="B68" s="34" t="str">
        <f ca="1">IFERROR(__xludf.DUMMYFUNCTION("""COMPUTED_VALUE"""),"Turismo")</f>
        <v>Turismo</v>
      </c>
      <c r="C68" s="35">
        <f ca="1">IFERROR(__xludf.DUMMYFUNCTION("""COMPUTED_VALUE"""),-18.75)</f>
        <v>-18.75</v>
      </c>
      <c r="D68" s="35">
        <f ca="1">IFERROR(__xludf.DUMMYFUNCTION("""COMPUTED_VALUE"""),-13.3333333333333)</f>
        <v>-13.3333333333333</v>
      </c>
      <c r="E68" s="35">
        <f ca="1">IFERROR(__xludf.DUMMYFUNCTION("""COMPUTED_VALUE"""),5.41666666666667)</f>
        <v>5.4166666666666696</v>
      </c>
      <c r="F68" s="36" t="str">
        <f ca="1">IFERROR(__xludf.DUMMYFUNCTION("""COMPUTED_VALUE"""),"Sube 1 nivel, de moderadamente pesimista a levemente pesimista")</f>
        <v>Sube 1 nivel, de moderadamente pesimista a levemente pesimista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2.75" hidden="1">
      <c r="A72" s="1"/>
      <c r="B72" s="1" t="str">
        <f ca="1">IFERROR(__xludf.DUMMYFUNCTION("IMPORTRANGE(""https://docs.google.com/spreadsheets/d/1vX4EJ5xHAydPw-zIZ-xMGfM_lMaz2GvXl_oDjgq6VZs/edit#gid=230007046"",""Industrial!B48:F68"")"),"")</f>
        <v/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6.5">
      <c r="A73" s="1"/>
      <c r="B73" s="42" t="str">
        <f ca="1">IFERROR(__xludf.DUMMYFUNCTION("""COMPUTED_VALUE"""),"Variación Variables Sector Industrial")</f>
        <v>Variación Variables Sector Industrial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2.75">
      <c r="A74" s="1"/>
      <c r="B74" s="37" t="str">
        <f ca="1">IFERROR(__xludf.DUMMYFUNCTION("""COMPUTED_VALUE"""),"Variable")</f>
        <v>Variable</v>
      </c>
      <c r="C74" s="33" t="str">
        <f ca="1">IFERROR(__xludf.DUMMYFUNCTION("""COMPUTED_VALUE"""),"Mayo-2023")</f>
        <v>Mayo-2023</v>
      </c>
      <c r="D74" s="33" t="str">
        <f ca="1">IFERROR(__xludf.DUMMYFUNCTION("""COMPUTED_VALUE"""),"Junio-2023")</f>
        <v>Junio-2023</v>
      </c>
      <c r="E74" s="33" t="str">
        <f ca="1">IFERROR(__xludf.DUMMYFUNCTION("""COMPUTED_VALUE"""),"Δ")</f>
        <v>Δ</v>
      </c>
      <c r="F74" s="33" t="str">
        <f ca="1">IFERROR(__xludf.DUMMYFUNCTION("""COMPUTED_VALUE"""),"Nivel de Confianza")</f>
        <v>Nivel de Confianza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36">
      <c r="A75" s="1"/>
      <c r="B75" s="34" t="str">
        <f ca="1">IFERROR(__xludf.DUMMYFUNCTION("""COMPUTED_VALUE"""),"Capacidad Producción (Presente)")</f>
        <v>Capacidad Producción (Presente)</v>
      </c>
      <c r="C75" s="35">
        <f ca="1">IFERROR(__xludf.DUMMYFUNCTION("""COMPUTED_VALUE"""),-16.0177659064751)</f>
        <v>-16.017765906475098</v>
      </c>
      <c r="D75" s="35">
        <f ca="1">IFERROR(__xludf.DUMMYFUNCTION("""COMPUTED_VALUE"""),-38.7963660106315)</f>
        <v>-38.796366010631502</v>
      </c>
      <c r="E75" s="35">
        <f ca="1">IFERROR(__xludf.DUMMYFUNCTION("""COMPUTED_VALUE"""),-22.7786001041563)</f>
        <v>-22.7786001041563</v>
      </c>
      <c r="F75" s="36" t="str">
        <f ca="1">IFERROR(__xludf.DUMMYFUNCTION("""COMPUTED_VALUE"""),"Baja 2 niveles, de moderadamente pesimista a muy pesimista")</f>
        <v>Baja 2 niveles, de moderadamente pesimista a muy pesimista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24">
      <c r="A76" s="1"/>
      <c r="B76" s="34" t="str">
        <f ca="1">IFERROR(__xludf.DUMMYFUNCTION("""COMPUTED_VALUE"""),"Demanda Nacional (Presente)")</f>
        <v>Demanda Nacional (Presente)</v>
      </c>
      <c r="C76" s="35">
        <f ca="1">IFERROR(__xludf.DUMMYFUNCTION("""COMPUTED_VALUE"""),-46.4782664490495)</f>
        <v>-46.478266449049499</v>
      </c>
      <c r="D76" s="35">
        <f ca="1">IFERROR(__xludf.DUMMYFUNCTION("""COMPUTED_VALUE"""),-69.3981830053157)</f>
        <v>-69.398183005315701</v>
      </c>
      <c r="E76" s="35">
        <f ca="1">IFERROR(__xludf.DUMMYFUNCTION("""COMPUTED_VALUE"""),-22.9199165562662)</f>
        <v>-22.919916556266202</v>
      </c>
      <c r="F76" s="36" t="str">
        <f ca="1">IFERROR(__xludf.DUMMYFUNCTION("""COMPUTED_VALUE"""),"Se mantiene en su nivel anterior extraordinariamente pesimista")</f>
        <v>Se mantiene en su nivel anterior extraordinariamente pesimista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24">
      <c r="A77" s="1"/>
      <c r="B77" s="34" t="str">
        <f ca="1">IFERROR(__xludf.DUMMYFUNCTION("""COMPUTED_VALUE"""),"Demanda Internacional (Presente)")</f>
        <v>Demanda Internacional (Presente)</v>
      </c>
      <c r="C77" s="35">
        <f ca="1">IFERROR(__xludf.DUMMYFUNCTION("""COMPUTED_VALUE"""),-46.4782664490495)</f>
        <v>-46.478266449049499</v>
      </c>
      <c r="D77" s="35">
        <f ca="1">IFERROR(__xludf.DUMMYFUNCTION("""COMPUTED_VALUE"""),-69.3981830053157)</f>
        <v>-69.398183005315701</v>
      </c>
      <c r="E77" s="35">
        <f ca="1">IFERROR(__xludf.DUMMYFUNCTION("""COMPUTED_VALUE"""),-22.9199165562662)</f>
        <v>-22.919916556266202</v>
      </c>
      <c r="F77" s="36" t="str">
        <f ca="1">IFERROR(__xludf.DUMMYFUNCTION("""COMPUTED_VALUE"""),"Se mantiene en su nivel anterior extraordinariamente pesimista")</f>
        <v>Se mantiene en su nivel anterior extraordinariamente pesimista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24">
      <c r="A78" s="1"/>
      <c r="B78" s="34" t="str">
        <f ca="1">IFERROR(__xludf.DUMMYFUNCTION("""COMPUTED_VALUE"""),"Nivel Inventarios (Presente)")</f>
        <v>Nivel Inventarios (Presente)</v>
      </c>
      <c r="C78" s="35">
        <f ca="1">IFERROR(__xludf.DUMMYFUNCTION("""COMPUTED_VALUE"""),-21.4862017380001)</f>
        <v>-21.486201738000101</v>
      </c>
      <c r="D78" s="35">
        <f ca="1">IFERROR(__xludf.DUMMYFUNCTION("""COMPUTED_VALUE"""),-30.6018169946842)</f>
        <v>-30.601816994684199</v>
      </c>
      <c r="E78" s="35">
        <f ca="1">IFERROR(__xludf.DUMMYFUNCTION("""COMPUTED_VALUE"""),-9.11561525668408)</f>
        <v>-9.1156152566840802</v>
      </c>
      <c r="F78" s="36" t="str">
        <f ca="1">IFERROR(__xludf.DUMMYFUNCTION("""COMPUTED_VALUE"""),"Baja 1 nivel, de moderadamente pesimista a pesimista")</f>
        <v>Baja 1 nivel, de moderadamente pesimista a pesimista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24">
      <c r="A79" s="1"/>
      <c r="B79" s="34" t="str">
        <f ca="1">IFERROR(__xludf.DUMMYFUNCTION("""COMPUTED_VALUE"""),"Evolución Ventas (Pasado)")</f>
        <v>Evolución Ventas (Pasado)</v>
      </c>
      <c r="C79" s="35">
        <f ca="1">IFERROR(__xludf.DUMMYFUNCTION("""COMPUTED_VALUE"""),-30.4605005425743)</f>
        <v>-30.460500542574302</v>
      </c>
      <c r="D79" s="35">
        <f ca="1">IFERROR(__xludf.DUMMYFUNCTION("""COMPUTED_VALUE"""),-38.7963660106315)</f>
        <v>-38.796366010631502</v>
      </c>
      <c r="E79" s="35">
        <f ca="1">IFERROR(__xludf.DUMMYFUNCTION("""COMPUTED_VALUE"""),-8.33586546805721)</f>
        <v>-8.3358654680572108</v>
      </c>
      <c r="F79" s="36" t="str">
        <f ca="1">IFERROR(__xludf.DUMMYFUNCTION("""COMPUTED_VALUE"""),"Baja 1 nivel, de pesimista a muy pesimista")</f>
        <v>Baja 1 nivel, de pesimista a muy pesimista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24">
      <c r="A80" s="1"/>
      <c r="B80" s="34" t="str">
        <f ca="1">IFERROR(__xludf.DUMMYFUNCTION("""COMPUTED_VALUE"""),"Evolución Precios (Pasado)")</f>
        <v>Evolución Precios (Pasado)</v>
      </c>
      <c r="C80" s="35">
        <f ca="1">IFERROR(__xludf.DUMMYFUNCTION("""COMPUTED_VALUE"""),-0.787515635188016)</f>
        <v>-0.78751563518801604</v>
      </c>
      <c r="D80" s="35">
        <f ca="1">IFERROR(__xludf.DUMMYFUNCTION("""COMPUTED_VALUE"""),-30.6018169946842)</f>
        <v>-30.601816994684199</v>
      </c>
      <c r="E80" s="35">
        <f ca="1">IFERROR(__xludf.DUMMYFUNCTION("""COMPUTED_VALUE"""),-29.8143013594962)</f>
        <v>-29.814301359496199</v>
      </c>
      <c r="F80" s="36" t="str">
        <f ca="1">IFERROR(__xludf.DUMMYFUNCTION("""COMPUTED_VALUE"""),"Baja 3 niveles, de neutral de expectativas a pesimista")</f>
        <v>Baja 3 niveles, de neutral de expectativas a pesimista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24">
      <c r="A81" s="1"/>
      <c r="B81" s="34" t="str">
        <f ca="1">IFERROR(__xludf.DUMMYFUNCTION("""COMPUTED_VALUE"""),"Situación Negocio (Pasado)")</f>
        <v>Situación Negocio (Pasado)</v>
      </c>
      <c r="C81" s="35">
        <f ca="1">IFERROR(__xludf.DUMMYFUNCTION("""COMPUTED_VALUE"""),-46.4782664490495)</f>
        <v>-46.478266449049499</v>
      </c>
      <c r="D81" s="35">
        <f ca="1">IFERROR(__xludf.DUMMYFUNCTION("""COMPUTED_VALUE"""),-69.3981830053157)</f>
        <v>-69.398183005315701</v>
      </c>
      <c r="E81" s="35">
        <f ca="1">IFERROR(__xludf.DUMMYFUNCTION("""COMPUTED_VALUE"""),-22.9199165562662)</f>
        <v>-22.919916556266202</v>
      </c>
      <c r="F81" s="36" t="str">
        <f ca="1">IFERROR(__xludf.DUMMYFUNCTION("""COMPUTED_VALUE"""),"Se mantiene en su nivel anterior extraordinariamente pesimista")</f>
        <v>Se mantiene en su nivel anterior extraordinariamente pesimista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24">
      <c r="A82" s="1"/>
      <c r="B82" s="34" t="str">
        <f ca="1">IFERROR(__xludf.DUMMYFUNCTION("""COMPUTED_VALUE"""),"Situación Negocio Esperada (Pasado)")</f>
        <v>Situación Negocio Esperada (Pasado)</v>
      </c>
      <c r="C82" s="35">
        <f ca="1">IFERROR(__xludf.DUMMYFUNCTION("""COMPUTED_VALUE"""),-67.9644681870496)</f>
        <v>-67.964468187049604</v>
      </c>
      <c r="D82" s="35">
        <f ca="1">IFERROR(__xludf.DUMMYFUNCTION("""COMPUTED_VALUE"""),-69.3981830053157)</f>
        <v>-69.398183005315701</v>
      </c>
      <c r="E82" s="35">
        <f ca="1">IFERROR(__xludf.DUMMYFUNCTION("""COMPUTED_VALUE"""),-1.43371481826611)</f>
        <v>-1.4337148182661099</v>
      </c>
      <c r="F82" s="36" t="str">
        <f ca="1">IFERROR(__xludf.DUMMYFUNCTION("""COMPUTED_VALUE"""),"Se mantiene en su nivel anterior extraordinariamente pesimista")</f>
        <v>Se mantiene en su nivel anterior extraordinariamente pesimista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24">
      <c r="A83" s="1"/>
      <c r="B83" s="34" t="str">
        <f ca="1">IFERROR(__xludf.DUMMYFUNCTION("""COMPUTED_VALUE"""),"Proyección Economía País (Futuro)")</f>
        <v>Proyección Economía País (Futuro)</v>
      </c>
      <c r="C83" s="35">
        <f ca="1">IFERROR(__xludf.DUMMYFUNCTION("""COMPUTED_VALUE"""),-16.0177659064751)</f>
        <v>-16.017765906475098</v>
      </c>
      <c r="D83" s="35">
        <f ca="1">IFERROR(__xludf.DUMMYFUNCTION("""COMPUTED_VALUE"""),-22.4072679787369)</f>
        <v>-22.4072679787369</v>
      </c>
      <c r="E83" s="35">
        <f ca="1">IFERROR(__xludf.DUMMYFUNCTION("""COMPUTED_VALUE"""),-6.38950207226176)</f>
        <v>-6.3895020722617604</v>
      </c>
      <c r="F83" s="36" t="str">
        <f ca="1">IFERROR(__xludf.DUMMYFUNCTION("""COMPUTED_VALUE"""),"Se mantiene en su nivel anterior moderadamente pesimista")</f>
        <v>Se mantiene en su nivel anterior moderadamente pesimista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36">
      <c r="A84" s="1"/>
      <c r="B84" s="34" t="str">
        <f ca="1">IFERROR(__xludf.DUMMYFUNCTION("""COMPUTED_VALUE"""),"Situación Sector (Futuro)")</f>
        <v>Situación Sector (Futuro)</v>
      </c>
      <c r="C84" s="35">
        <f ca="1">IFERROR(__xludf.DUMMYFUNCTION("""COMPUTED_VALUE"""),-52.7342179157624)</f>
        <v>-52.7342179157624</v>
      </c>
      <c r="D84" s="35">
        <f ca="1">IFERROR(__xludf.DUMMYFUNCTION("""COMPUTED_VALUE"""),8.19454901594729)</f>
        <v>8.19454901594729</v>
      </c>
      <c r="E84" s="35">
        <f ca="1">IFERROR(__xludf.DUMMYFUNCTION("""COMPUTED_VALUE"""),60.9287669317097)</f>
        <v>60.928766931709703</v>
      </c>
      <c r="F84" s="36" t="str">
        <f ca="1">IFERROR(__xludf.DUMMYFUNCTION("""COMPUTED_VALUE"""),"Sube 6 niveles, de extraordinariamente pesimista a levemente optimista")</f>
        <v>Sube 6 niveles, de extraordinariamente pesimista a levemente optimista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36">
      <c r="A85" s="1"/>
      <c r="B85" s="34" t="str">
        <f ca="1">IFERROR(__xludf.DUMMYFUNCTION("""COMPUTED_VALUE"""),"Expectativa Negocio (Futuro)")</f>
        <v>Expectativa Negocio (Futuro)</v>
      </c>
      <c r="C85" s="35">
        <f ca="1">IFERROR(__xludf.DUMMYFUNCTION("""COMPUTED_VALUE"""),-16.0177659064751)</f>
        <v>-16.017765906475098</v>
      </c>
      <c r="D85" s="35">
        <f ca="1">IFERROR(__xludf.DUMMYFUNCTION("""COMPUTED_VALUE"""),8.19454901594729)</f>
        <v>8.19454901594729</v>
      </c>
      <c r="E85" s="35">
        <f ca="1">IFERROR(__xludf.DUMMYFUNCTION("""COMPUTED_VALUE"""),24.2123149224224)</f>
        <v>24.212314922422401</v>
      </c>
      <c r="F85" s="36" t="str">
        <f ca="1">IFERROR(__xludf.DUMMYFUNCTION("""COMPUTED_VALUE"""),"Sube 3 niveles, de moderadamente pesimista a levemente optimista")</f>
        <v>Sube 3 niveles, de moderadamente pesimista a levemente optimista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36">
      <c r="A86" s="1"/>
      <c r="B86" s="34" t="str">
        <f ca="1">IFERROR(__xludf.DUMMYFUNCTION("""COMPUTED_VALUE"""),"Ventas Futuras (Futuro)")</f>
        <v>Ventas Futuras (Futuro)</v>
      </c>
      <c r="C86" s="35">
        <f ca="1">IFERROR(__xludf.DUMMYFUNCTION("""COMPUTED_VALUE"""),0)</f>
        <v>0</v>
      </c>
      <c r="D86" s="35">
        <f ca="1">IFERROR(__xludf.DUMMYFUNCTION("""COMPUTED_VALUE"""),-22.4072679787369)</f>
        <v>-22.4072679787369</v>
      </c>
      <c r="E86" s="35">
        <f ca="1">IFERROR(__xludf.DUMMYFUNCTION("""COMPUTED_VALUE"""),-22.4072679787369)</f>
        <v>-22.4072679787369</v>
      </c>
      <c r="F86" s="36" t="str">
        <f ca="1">IFERROR(__xludf.DUMMYFUNCTION("""COMPUTED_VALUE"""),"Baja 2 niveles, de neutral de expectativas a moderadamente pesimista")</f>
        <v>Baja 2 niveles, de neutral de expectativas a moderadamente pesimista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24">
      <c r="A87" s="1"/>
      <c r="B87" s="34" t="str">
        <f ca="1">IFERROR(__xludf.DUMMYFUNCTION("""COMPUTED_VALUE"""),"Precios Venta Futuros (Futuro)")</f>
        <v>Precios Venta Futuros (Futuro)</v>
      </c>
      <c r="C87" s="35">
        <f ca="1">IFERROR(__xludf.DUMMYFUNCTION("""COMPUTED_VALUE"""),-31.2480161777623)</f>
        <v>-31.248016177762299</v>
      </c>
      <c r="D87" s="35">
        <f ca="1">IFERROR(__xludf.DUMMYFUNCTION("""COMPUTED_VALUE"""),0)</f>
        <v>0</v>
      </c>
      <c r="E87" s="35">
        <f ca="1">IFERROR(__xludf.DUMMYFUNCTION("""COMPUTED_VALUE"""),31.2480161777623)</f>
        <v>31.248016177762299</v>
      </c>
      <c r="F87" s="36" t="str">
        <f ca="1">IFERROR(__xludf.DUMMYFUNCTION("""COMPUTED_VALUE"""),"Sube 3 niveles, de pesimista a neutral de expectativas")</f>
        <v>Sube 3 niveles, de pesimista a neutral de expectativas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36">
      <c r="A88" s="1"/>
      <c r="B88" s="34" t="str">
        <f ca="1">IFERROR(__xludf.DUMMYFUNCTION("""COMPUTED_VALUE"""),"Precios Insumos Futuros (Futuro)")</f>
        <v>Precios Insumos Futuros (Futuro)</v>
      </c>
      <c r="C88" s="35">
        <f ca="1">IFERROR(__xludf.DUMMYFUNCTION("""COMPUTED_VALUE"""),0)</f>
        <v>0</v>
      </c>
      <c r="D88" s="35">
        <f ca="1">IFERROR(__xludf.DUMMYFUNCTION("""COMPUTED_VALUE"""),-61.2036339893684)</f>
        <v>-61.203633989368399</v>
      </c>
      <c r="E88" s="35">
        <f ca="1">IFERROR(__xludf.DUMMYFUNCTION("""COMPUTED_VALUE"""),-61.2036339893684)</f>
        <v>-61.203633989368399</v>
      </c>
      <c r="F88" s="36" t="str">
        <f ca="1">IFERROR(__xludf.DUMMYFUNCTION("""COMPUTED_VALUE"""),"Baja 5 niveles, de neutral de expectativas a extraordinariamente pesimista")</f>
        <v>Baja 5 niveles, de neutral de expectativas a extraordinariamente pesimista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24">
      <c r="A89" s="1"/>
      <c r="B89" s="34" t="str">
        <f ca="1">IFERROR(__xludf.DUMMYFUNCTION("""COMPUTED_VALUE"""),"Proyección Empleos Futuros (Futuro)")</f>
        <v>Proyección Empleos Futuros (Futuro)</v>
      </c>
      <c r="C89" s="35">
        <f ca="1">IFERROR(__xludf.DUMMYFUNCTION("""COMPUTED_VALUE"""),-30.4605005425743)</f>
        <v>-30.460500542574302</v>
      </c>
      <c r="D89" s="35">
        <f ca="1">IFERROR(__xludf.DUMMYFUNCTION("""COMPUTED_VALUE"""),0)</f>
        <v>0</v>
      </c>
      <c r="E89" s="35">
        <f ca="1">IFERROR(__xludf.DUMMYFUNCTION("""COMPUTED_VALUE"""),30.4605005425743)</f>
        <v>30.460500542574302</v>
      </c>
      <c r="F89" s="36" t="str">
        <f ca="1">IFERROR(__xludf.DUMMYFUNCTION("""COMPUTED_VALUE"""),"Sube 3 niveles, de pesimista a neutral de expectativas")</f>
        <v>Sube 3 niveles, de pesimista a neutral de expectativas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36">
      <c r="A90" s="1"/>
      <c r="B90" s="34" t="str">
        <f ca="1">IFERROR(__xludf.DUMMYFUNCTION("""COMPUTED_VALUE"""),"Salarios Futuros (Futuro)")</f>
        <v>Salarios Futuros (Futuro)</v>
      </c>
      <c r="C90" s="35">
        <f ca="1">IFERROR(__xludf.DUMMYFUNCTION("""COMPUTED_VALUE"""),-68.7519838222376)</f>
        <v>-68.751983822237605</v>
      </c>
      <c r="D90" s="35">
        <f ca="1">IFERROR(__xludf.DUMMYFUNCTION("""COMPUTED_VALUE"""),0)</f>
        <v>0</v>
      </c>
      <c r="E90" s="35">
        <f ca="1">IFERROR(__xludf.DUMMYFUNCTION("""COMPUTED_VALUE"""),68.7519838222376)</f>
        <v>68.751983822237605</v>
      </c>
      <c r="F90" s="36" t="str">
        <f ca="1">IFERROR(__xludf.DUMMYFUNCTION("""COMPUTED_VALUE"""),"Sube 5 niveles, de extraordinariamente pesimista a neutral de expectativas")</f>
        <v>Sube 5 niveles, de extraordinariamente pesimista a neutral de expectativas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24">
      <c r="A91" s="1"/>
      <c r="B91" s="34" t="str">
        <f ca="1">IFERROR(__xludf.DUMMYFUNCTION("""COMPUTED_VALUE"""),"Inversión Futura (Futuro)")</f>
        <v>Inversión Futura (Futuro)</v>
      </c>
      <c r="C91" s="35">
        <f ca="1">IFERROR(__xludf.DUMMYFUNCTION("""COMPUTED_VALUE"""),-46.4782664490495)</f>
        <v>-46.478266449049499</v>
      </c>
      <c r="D91" s="35">
        <f ca="1">IFERROR(__xludf.DUMMYFUNCTION("""COMPUTED_VALUE"""),-100)</f>
        <v>-100</v>
      </c>
      <c r="E91" s="35">
        <f ca="1">IFERROR(__xludf.DUMMYFUNCTION("""COMPUTED_VALUE"""),-53.5217335509505)</f>
        <v>-53.521733550950501</v>
      </c>
      <c r="F91" s="36" t="str">
        <f ca="1">IFERROR(__xludf.DUMMYFUNCTION("""COMPUTED_VALUE"""),"Se mantiene en su nivel anterior extraordinariamente pesimista")</f>
        <v>Se mantiene en su nivel anterior extraordinariamente pesimista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24">
      <c r="A92" s="1"/>
      <c r="B92" s="34" t="str">
        <f ca="1">IFERROR(__xludf.DUMMYFUNCTION("""COMPUTED_VALUE"""),"Situación Financiera Futura (Futuro)")</f>
        <v>Situación Financiera Futura (Futuro)</v>
      </c>
      <c r="C92" s="35">
        <f ca="1">IFERROR(__xludf.DUMMYFUNCTION("""COMPUTED_VALUE"""),-37.5039676444753)</f>
        <v>-37.503967644475303</v>
      </c>
      <c r="D92" s="35">
        <f ca="1">IFERROR(__xludf.DUMMYFUNCTION("""COMPUTED_VALUE"""),8.19454901594729)</f>
        <v>8.19454901594729</v>
      </c>
      <c r="E92" s="35">
        <f ca="1">IFERROR(__xludf.DUMMYFUNCTION("""COMPUTED_VALUE"""),45.6985166604226)</f>
        <v>45.698516660422598</v>
      </c>
      <c r="F92" s="36" t="str">
        <f ca="1">IFERROR(__xludf.DUMMYFUNCTION("""COMPUTED_VALUE"""),"Sube 5 niveles, de muy pesimista a levemente optimista")</f>
        <v>Sube 5 niveles, de muy pesimista a levemente optimista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2.75" hidden="1">
      <c r="A96" s="1"/>
      <c r="B96" s="1" t="str">
        <f ca="1">IFERROR(__xludf.DUMMYFUNCTION("IMPORTRANGE(""https://docs.google.com/spreadsheets/d/1vX4EJ5xHAydPw-zIZ-xMGfM_lMaz2GvXl_oDjgq6VZs/edit#gid=230007046"",""Construccion!B48:F68"")"),"")</f>
        <v/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6.5">
      <c r="A97" s="1"/>
      <c r="B97" s="42" t="str">
        <f ca="1">IFERROR(__xludf.DUMMYFUNCTION("""COMPUTED_VALUE"""),"Variación Variables Sector Construcción")</f>
        <v>Variación Variables Sector Construcción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2.75">
      <c r="A98" s="1"/>
      <c r="B98" s="37" t="str">
        <f ca="1">IFERROR(__xludf.DUMMYFUNCTION("""COMPUTED_VALUE"""),"Variable")</f>
        <v>Variable</v>
      </c>
      <c r="C98" s="33" t="str">
        <f ca="1">IFERROR(__xludf.DUMMYFUNCTION("""COMPUTED_VALUE"""),"Mayo-2023")</f>
        <v>Mayo-2023</v>
      </c>
      <c r="D98" s="33" t="str">
        <f ca="1">IFERROR(__xludf.DUMMYFUNCTION("""COMPUTED_VALUE"""),"Junio-2023")</f>
        <v>Junio-2023</v>
      </c>
      <c r="E98" s="33" t="str">
        <f ca="1">IFERROR(__xludf.DUMMYFUNCTION("""COMPUTED_VALUE"""),"Δ")</f>
        <v>Δ</v>
      </c>
      <c r="F98" s="33" t="str">
        <f ca="1">IFERROR(__xludf.DUMMYFUNCTION("""COMPUTED_VALUE"""),"Nivel de Confianza")</f>
        <v>Nivel de Confianza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24">
      <c r="A99" s="1"/>
      <c r="B99" s="34" t="str">
        <f ca="1">IFERROR(__xludf.DUMMYFUNCTION("""COMPUTED_VALUE"""),"Capacidad Producción (Presente)")</f>
        <v>Capacidad Producción (Presente)</v>
      </c>
      <c r="C99" s="35">
        <f ca="1">IFERROR(__xludf.DUMMYFUNCTION("""COMPUTED_VALUE"""),-28.3781489372233)</f>
        <v>-28.378148937223301</v>
      </c>
      <c r="D99" s="35">
        <f ca="1">IFERROR(__xludf.DUMMYFUNCTION("""COMPUTED_VALUE"""),-52.5474462428459)</f>
        <v>-52.547446242845901</v>
      </c>
      <c r="E99" s="35">
        <f ca="1">IFERROR(__xludf.DUMMYFUNCTION("""COMPUTED_VALUE"""),-24.1692973056226)</f>
        <v>-24.169297305622599</v>
      </c>
      <c r="F99" s="36" t="str">
        <f ca="1">IFERROR(__xludf.DUMMYFUNCTION("""COMPUTED_VALUE"""),"Baja 2 niveles, de pesimista a extraordinariamente pesimista")</f>
        <v>Baja 2 niveles, de pesimista a extraordinariamente pesimista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24">
      <c r="A100" s="1"/>
      <c r="B100" s="34" t="str">
        <f ca="1">IFERROR(__xludf.DUMMYFUNCTION("""COMPUTED_VALUE"""),"Demanda Nacional (Presente)")</f>
        <v>Demanda Nacional (Presente)</v>
      </c>
      <c r="C100" s="35">
        <f ca="1">IFERROR(__xludf.DUMMYFUNCTION("""COMPUTED_VALUE"""),-25.5675817687339)</f>
        <v>-25.567581768733898</v>
      </c>
      <c r="D100" s="35">
        <f ca="1">IFERROR(__xludf.DUMMYFUNCTION("""COMPUTED_VALUE"""),-61.8631384392885)</f>
        <v>-61.863138439288498</v>
      </c>
      <c r="E100" s="35">
        <f ca="1">IFERROR(__xludf.DUMMYFUNCTION("""COMPUTED_VALUE"""),-36.2955566705545)</f>
        <v>-36.295556670554497</v>
      </c>
      <c r="F100" s="36" t="str">
        <f ca="1">IFERROR(__xludf.DUMMYFUNCTION("""COMPUTED_VALUE"""),"Baja 2 niveles, de pesimista a extraordinariamente pesimista")</f>
        <v>Baja 2 niveles, de pesimista a extraordinariamente pesimista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24">
      <c r="A101" s="1"/>
      <c r="B101" s="34" t="str">
        <f ca="1">IFERROR(__xludf.DUMMYFUNCTION("""COMPUTED_VALUE"""),"Nivel Inventarios (Presente)")</f>
        <v>Nivel Inventarios (Presente)</v>
      </c>
      <c r="C101" s="35">
        <f ca="1">IFERROR(__xludf.DUMMYFUNCTION("""COMPUTED_VALUE"""),0.499757106345713)</f>
        <v>0.49975710634571302</v>
      </c>
      <c r="D101" s="35">
        <f ca="1">IFERROR(__xludf.DUMMYFUNCTION("""COMPUTED_VALUE"""),1.06852718331251)</f>
        <v>1.0685271833125101</v>
      </c>
      <c r="E101" s="35">
        <f ca="1">IFERROR(__xludf.DUMMYFUNCTION("""COMPUTED_VALUE"""),0.568770076966799)</f>
        <v>0.56877007696679904</v>
      </c>
      <c r="F101" s="36" t="str">
        <f ca="1">IFERROR(__xludf.DUMMYFUNCTION("""COMPUTED_VALUE"""),"Se mantiene en su nivel anterior nivel neutral de expectativas")</f>
        <v>Se mantiene en su nivel anterior nivel neutral de expectativas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36">
      <c r="A102" s="1"/>
      <c r="B102" s="34" t="str">
        <f ca="1">IFERROR(__xludf.DUMMYFUNCTION("""COMPUTED_VALUE"""),"Evolución Ventas (Pasado)")</f>
        <v>Evolución Ventas (Pasado)</v>
      </c>
      <c r="C102" s="35">
        <f ca="1">IFERROR(__xludf.DUMMYFUNCTION("""COMPUTED_VALUE"""),-2.81056716848943)</f>
        <v>-2.8105671684894298</v>
      </c>
      <c r="D102" s="35">
        <f ca="1">IFERROR(__xludf.DUMMYFUNCTION("""COMPUTED_VALUE"""),-64.9448482737907)</f>
        <v>-64.944848273790697</v>
      </c>
      <c r="E102" s="35">
        <f ca="1">IFERROR(__xludf.DUMMYFUNCTION("""COMPUTED_VALUE"""),-62.1342811053013)</f>
        <v>-62.134281105301298</v>
      </c>
      <c r="F102" s="36" t="str">
        <f ca="1">IFERROR(__xludf.DUMMYFUNCTION("""COMPUTED_VALUE"""),"Baja 5 niveles, de nivel neutral de expectativas a extraordinariamente pesimista")</f>
        <v>Baja 5 niveles, de nivel neutral de expectativas a extraordinariamente pesimista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24">
      <c r="A103" s="1"/>
      <c r="B103" s="34" t="str">
        <f ca="1">IFERROR(__xludf.DUMMYFUNCTION("""COMPUTED_VALUE"""),"Evolución Precios (Pasado)")</f>
        <v>Evolución Precios (Pasado)</v>
      </c>
      <c r="C103" s="35">
        <f ca="1">IFERROR(__xludf.DUMMYFUNCTION("""COMPUTED_VALUE"""),26.3374589218564)</f>
        <v>26.337458921856399</v>
      </c>
      <c r="D103" s="35">
        <f ca="1">IFERROR(__xludf.DUMMYFUNCTION("""COMPUTED_VALUE"""),-12.3974020309447)</f>
        <v>-12.397402030944701</v>
      </c>
      <c r="E103" s="35">
        <f ca="1">IFERROR(__xludf.DUMMYFUNCTION("""COMPUTED_VALUE"""),-38.7348609528012)</f>
        <v>-38.734860952801199</v>
      </c>
      <c r="F103" s="36" t="str">
        <f ca="1">IFERROR(__xludf.DUMMYFUNCTION("""COMPUTED_VALUE"""),"Baja 4 niveles, de optimista a levemente pesimista")</f>
        <v>Baja 4 niveles, de optimista a levemente pesimista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36">
      <c r="A104" s="1"/>
      <c r="B104" s="34" t="str">
        <f ca="1">IFERROR(__xludf.DUMMYFUNCTION("""COMPUTED_VALUE"""),"Situación Negocio (Pasado)")</f>
        <v>Situación Negocio (Pasado)</v>
      </c>
      <c r="C104" s="35">
        <f ca="1">IFERROR(__xludf.DUMMYFUNCTION("""COMPUTED_VALUE"""),13.5542573388775)</f>
        <v>13.5542573388775</v>
      </c>
      <c r="D104" s="35">
        <f ca="1">IFERROR(__xludf.DUMMYFUNCTION("""COMPUTED_VALUE"""),-64.9448482737907)</f>
        <v>-64.944848273790697</v>
      </c>
      <c r="E104" s="35">
        <f ca="1">IFERROR(__xludf.DUMMYFUNCTION("""COMPUTED_VALUE"""),-78.4991056126683)</f>
        <v>-78.499105612668302</v>
      </c>
      <c r="F104" s="36" t="str">
        <f ca="1">IFERROR(__xludf.DUMMYFUNCTION("""COMPUTED_VALUE"""),"Baja 6 niveles, de levemente optimista a extraordinariamente pesimista")</f>
        <v>Baja 6 niveles, de levemente optimista a extraordinariamente pesimista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24">
      <c r="A105" s="1"/>
      <c r="B105" s="34" t="str">
        <f ca="1">IFERROR(__xludf.DUMMYFUNCTION("""COMPUTED_VALUE"""),"Situación Negocio Esperada (Pasado)")</f>
        <v>Situación Negocio Esperada (Pasado)</v>
      </c>
      <c r="C105" s="35">
        <f ca="1">IFERROR(__xludf.DUMMYFUNCTION("""COMPUTED_VALUE"""),9.20275726136694)</f>
        <v>9.2027572613669406</v>
      </c>
      <c r="D105" s="35">
        <f ca="1">IFERROR(__xludf.DUMMYFUNCTION("""COMPUTED_VALUE"""),-38.1368615607114)</f>
        <v>-38.136861560711402</v>
      </c>
      <c r="E105" s="35">
        <f ca="1">IFERROR(__xludf.DUMMYFUNCTION("""COMPUTED_VALUE"""),-47.3396188220784)</f>
        <v>-47.3396188220784</v>
      </c>
      <c r="F105" s="36" t="str">
        <f ca="1">IFERROR(__xludf.DUMMYFUNCTION("""COMPUTED_VALUE"""),"Baja 5 niveles, de levemente optimista a muy pesimista")</f>
        <v>Baja 5 niveles, de levemente optimista a muy pesimista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24">
      <c r="A106" s="1"/>
      <c r="B106" s="34" t="str">
        <f ca="1">IFERROR(__xludf.DUMMYFUNCTION("""COMPUTED_VALUE"""),"Proyección Economía País (Futuro)")</f>
        <v>Proyección Economía País (Futuro)</v>
      </c>
      <c r="C106" s="35">
        <f ca="1">IFERROR(__xludf.DUMMYFUNCTION("""COMPUTED_VALUE"""),-19.1753916758564)</f>
        <v>-19.1753916758564</v>
      </c>
      <c r="D106" s="35">
        <f ca="1">IFERROR(__xludf.DUMMYFUNCTION("""COMPUTED_VALUE"""),-26.8079867130792)</f>
        <v>-26.807986713079199</v>
      </c>
      <c r="E106" s="35">
        <f ca="1">IFERROR(__xludf.DUMMYFUNCTION("""COMPUTED_VALUE"""),-7.63259503722282)</f>
        <v>-7.6325950372228197</v>
      </c>
      <c r="F106" s="36" t="str">
        <f ca="1">IFERROR(__xludf.DUMMYFUNCTION("""COMPUTED_VALUE"""),"Baja 1 nivel, de moderadamente pesimista a pesimista")</f>
        <v>Baja 1 nivel, de moderadamente pesimista a pesimista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24">
      <c r="A107" s="1"/>
      <c r="B107" s="34" t="str">
        <f ca="1">IFERROR(__xludf.DUMMYFUNCTION("""COMPUTED_VALUE"""),"Situación Sector (Futuro)")</f>
        <v>Situación Sector (Futuro)</v>
      </c>
      <c r="C107" s="35">
        <f ca="1">IFERROR(__xludf.DUMMYFUNCTION("""COMPUTED_VALUE"""),-25.0678246623882)</f>
        <v>-25.067824662388201</v>
      </c>
      <c r="D107" s="35">
        <f ca="1">IFERROR(__xludf.DUMMYFUNCTION("""COMPUTED_VALUE"""),-26.8079867130792)</f>
        <v>-26.807986713079199</v>
      </c>
      <c r="E107" s="35">
        <f ca="1">IFERROR(__xludf.DUMMYFUNCTION("""COMPUTED_VALUE"""),-1.74016205069101)</f>
        <v>-1.74016205069101</v>
      </c>
      <c r="F107" s="36" t="str">
        <f ca="1">IFERROR(__xludf.DUMMYFUNCTION("""COMPUTED_VALUE"""),"Se mantiene en su nivel anterior pesimista")</f>
        <v>Se mantiene en su nivel anterior pesimista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36">
      <c r="A108" s="1"/>
      <c r="B108" s="34" t="str">
        <f ca="1">IFERROR(__xludf.DUMMYFUNCTION("""COMPUTED_VALUE"""),"Expectativa Negocio (Futuro)")</f>
        <v>Expectativa Negocio (Futuro)</v>
      </c>
      <c r="C108" s="35">
        <f ca="1">IFERROR(__xludf.DUMMYFUNCTION("""COMPUTED_VALUE"""),4.35150007751061)</f>
        <v>4.3515000775106101</v>
      </c>
      <c r="D108" s="35">
        <f ca="1">IFERROR(__xludf.DUMMYFUNCTION("""COMPUTED_VALUE"""),11.3288748476322)</f>
        <v>11.3288748476322</v>
      </c>
      <c r="E108" s="35">
        <f ca="1">IFERROR(__xludf.DUMMYFUNCTION("""COMPUTED_VALUE"""),6.97737477012162)</f>
        <v>6.97737477012162</v>
      </c>
      <c r="F108" s="36" t="str">
        <f ca="1">IFERROR(__xludf.DUMMYFUNCTION("""COMPUTED_VALUE"""),"Sube 1 nivel, de nivel neutral de expectativas a levemente optimista")</f>
        <v>Sube 1 nivel, de nivel neutral de expectativas a levemente optimista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36">
      <c r="A109" s="1"/>
      <c r="B109" s="34" t="str">
        <f ca="1">IFERROR(__xludf.DUMMYFUNCTION("""COMPUTED_VALUE"""),"Ventas Futuras (Futuro)")</f>
        <v>Ventas Futuras (Futuro)</v>
      </c>
      <c r="C109" s="35">
        <f ca="1">IFERROR(__xludf.DUMMYFUNCTION("""COMPUTED_VALUE"""),55.4866636149785)</f>
        <v>55.486663614978497</v>
      </c>
      <c r="D109" s="35">
        <f ca="1">IFERROR(__xludf.DUMMYFUNCTION("""COMPUTED_VALUE"""),39.205388744024)</f>
        <v>39.205388744023999</v>
      </c>
      <c r="E109" s="35">
        <f ca="1">IFERROR(__xludf.DUMMYFUNCTION("""COMPUTED_VALUE"""),-16.2812748709544)</f>
        <v>-16.281274870954402</v>
      </c>
      <c r="F109" s="36" t="str">
        <f ca="1">IFERROR(__xludf.DUMMYFUNCTION("""COMPUTED_VALUE"""),"Baja 1 nivel, de extraordinariamente optimista a muy optimista")</f>
        <v>Baja 1 nivel, de extraordinariamente optimista a muy optimista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24">
      <c r="A110" s="1"/>
      <c r="B110" s="34" t="str">
        <f ca="1">IFERROR(__xludf.DUMMYFUNCTION("""COMPUTED_VALUE"""),"Precios Venta Futuros (Futuro)")</f>
        <v>Precios Venta Futuros (Futuro)</v>
      </c>
      <c r="C110" s="35">
        <f ca="1">IFERROR(__xludf.DUMMYFUNCTION("""COMPUTED_VALUE"""),27.3786347245319)</f>
        <v>27.378634724531899</v>
      </c>
      <c r="D110" s="35">
        <f ca="1">IFERROR(__xludf.DUMMYFUNCTION("""COMPUTED_VALUE"""),-12.3974020309447)</f>
        <v>-12.397402030944701</v>
      </c>
      <c r="E110" s="35">
        <f ca="1">IFERROR(__xludf.DUMMYFUNCTION("""COMPUTED_VALUE"""),-39.7760367554767)</f>
        <v>-39.776036755476703</v>
      </c>
      <c r="F110" s="36" t="str">
        <f ca="1">IFERROR(__xludf.DUMMYFUNCTION("""COMPUTED_VALUE"""),"Baja 4 niveles, de optimista a levemente pesimista")</f>
        <v>Baja 4 niveles, de optimista a levemente pesimista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24">
      <c r="A111" s="1"/>
      <c r="B111" s="34" t="str">
        <f ca="1">IFERROR(__xludf.DUMMYFUNCTION("""COMPUTED_VALUE"""),"Precios Insumos Futuros (Futuro)")</f>
        <v>Precios Insumos Futuros (Futuro)</v>
      </c>
      <c r="C111" s="35">
        <f ca="1">IFERROR(__xludf.DUMMYFUNCTION("""COMPUTED_VALUE"""),-36.5813919858989)</f>
        <v>-36.581391985898897</v>
      </c>
      <c r="D111" s="35">
        <f ca="1">IFERROR(__xludf.DUMMYFUNCTION("""COMPUTED_VALUE"""),-11.3288748476322)</f>
        <v>-11.3288748476322</v>
      </c>
      <c r="E111" s="35">
        <f ca="1">IFERROR(__xludf.DUMMYFUNCTION("""COMPUTED_VALUE"""),25.2525171382666)</f>
        <v>25.252517138266601</v>
      </c>
      <c r="F111" s="36" t="str">
        <f ca="1">IFERROR(__xludf.DUMMYFUNCTION("""COMPUTED_VALUE"""),"Sube 3 niveles, de muy pesimista a levemente pesimista")</f>
        <v>Sube 3 niveles, de muy pesimista a levemente pesimista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36">
      <c r="A112" s="1"/>
      <c r="B112" s="34" t="str">
        <f ca="1">IFERROR(__xludf.DUMMYFUNCTION("""COMPUTED_VALUE"""),"Proyección Empleos Futuros (Futuro)")</f>
        <v>Proyección Empleos Futuros (Futuro)</v>
      </c>
      <c r="C112" s="35">
        <f ca="1">IFERROR(__xludf.DUMMYFUNCTION("""COMPUTED_VALUE"""),-19.1753916758564)</f>
        <v>-19.1753916758564</v>
      </c>
      <c r="D112" s="35">
        <f ca="1">IFERROR(__xludf.DUMMYFUNCTION("""COMPUTED_VALUE"""),0)</f>
        <v>0</v>
      </c>
      <c r="E112" s="35">
        <f ca="1">IFERROR(__xludf.DUMMYFUNCTION("""COMPUTED_VALUE"""),19.1753916758564)</f>
        <v>19.1753916758564</v>
      </c>
      <c r="F112" s="36" t="str">
        <f ca="1">IFERROR(__xludf.DUMMYFUNCTION("""COMPUTED_VALUE"""),"Sube 2 niveles, de moderadamente pesimista a nivel neutral de expectativas")</f>
        <v>Sube 2 niveles, de moderadamente pesimista a nivel neutral de expectativas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24">
      <c r="A113" s="1"/>
      <c r="B113" s="34" t="str">
        <f ca="1">IFERROR(__xludf.DUMMYFUNCTION("""COMPUTED_VALUE"""),"Salarios Futuros (Futuro)")</f>
        <v>Salarios Futuros (Futuro)</v>
      </c>
      <c r="C113" s="35">
        <f ca="1">IFERROR(__xludf.DUMMYFUNCTION("""COMPUTED_VALUE"""),-20.2165674785319)</f>
        <v>-20.2165674785319</v>
      </c>
      <c r="D113" s="35">
        <f ca="1">IFERROR(__xludf.DUMMYFUNCTION("""COMPUTED_VALUE"""),-26.8079867130792)</f>
        <v>-26.807986713079199</v>
      </c>
      <c r="E113" s="35">
        <f ca="1">IFERROR(__xludf.DUMMYFUNCTION("""COMPUTED_VALUE"""),-6.59141923454735)</f>
        <v>-6.5914192345473497</v>
      </c>
      <c r="F113" s="36" t="str">
        <f ca="1">IFERROR(__xludf.DUMMYFUNCTION("""COMPUTED_VALUE"""),"Baja 1 nivel, de moderadamente pesimista a pesimista")</f>
        <v>Baja 1 nivel, de moderadamente pesimista a pesimista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24">
      <c r="A114" s="1"/>
      <c r="B114" s="34" t="str">
        <f ca="1">IFERROR(__xludf.DUMMYFUNCTION("""COMPUTED_VALUE"""),"Inversión Futura (Futuro)")</f>
        <v>Inversión Futura (Futuro)</v>
      </c>
      <c r="C114" s="35">
        <f ca="1">IFERROR(__xludf.DUMMYFUNCTION("""COMPUTED_VALUE"""),-12.0133244298563)</f>
        <v>-12.013324429856301</v>
      </c>
      <c r="D114" s="35">
        <f ca="1">IFERROR(__xludf.DUMMYFUNCTION("""COMPUTED_VALUE"""),-26.8079867130792)</f>
        <v>-26.807986713079199</v>
      </c>
      <c r="E114" s="35">
        <f ca="1">IFERROR(__xludf.DUMMYFUNCTION("""COMPUTED_VALUE"""),-14.7946622832228)</f>
        <v>-14.794662283222801</v>
      </c>
      <c r="F114" s="36" t="str">
        <f ca="1">IFERROR(__xludf.DUMMYFUNCTION("""COMPUTED_VALUE"""),"Baja 2 niveles, de levemente pesimista a pesimista")</f>
        <v>Baja 2 niveles, de levemente pesimista a pesimista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24">
      <c r="A115" s="1"/>
      <c r="B115" s="34" t="str">
        <f ca="1">IFERROR(__xludf.DUMMYFUNCTION("""COMPUTED_VALUE"""),"Situación Financiera Futura (Futuro)")</f>
        <v>Situación Financiera Futura (Futuro)</v>
      </c>
      <c r="C115" s="35">
        <f ca="1">IFERROR(__xludf.DUMMYFUNCTION("""COMPUTED_VALUE"""),0)</f>
        <v>0</v>
      </c>
      <c r="D115" s="35">
        <f ca="1">IFERROR(__xludf.DUMMYFUNCTION("""COMPUTED_VALUE"""),-1.06852718331251)</f>
        <v>-1.0685271833125101</v>
      </c>
      <c r="E115" s="35">
        <f ca="1">IFERROR(__xludf.DUMMYFUNCTION("""COMPUTED_VALUE"""),-1.06852718331251)</f>
        <v>-1.0685271833125101</v>
      </c>
      <c r="F115" s="36" t="str">
        <f ca="1">IFERROR(__xludf.DUMMYFUNCTION("""COMPUTED_VALUE"""),"Se mantiene en su nivel anterior nivel neutral de expectativas")</f>
        <v>Se mantiene en su nivel anterior nivel neutral de expectativas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2.75" hidden="1">
      <c r="A119" s="1"/>
      <c r="B119" s="1" t="str">
        <f ca="1">IFERROR(__xludf.DUMMYFUNCTION("IMPORTRANGE(""https://docs.google.com/spreadsheets/d/1vX4EJ5xHAydPw-zIZ-xMGfM_lMaz2GvXl_oDjgq6VZs/edit#gid=230007046"",""Agroforestal!B48:F68"")"),"")</f>
        <v/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6.5">
      <c r="A120" s="1"/>
      <c r="B120" s="42" t="str">
        <f ca="1">IFERROR(__xludf.DUMMYFUNCTION("""COMPUTED_VALUE"""),"Variación Variables Sector Agroforestal")</f>
        <v>Variación Variables Sector Agroforestal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2.75">
      <c r="A121" s="1"/>
      <c r="B121" s="37" t="str">
        <f ca="1">IFERROR(__xludf.DUMMYFUNCTION("""COMPUTED_VALUE"""),"Variable")</f>
        <v>Variable</v>
      </c>
      <c r="C121" s="33" t="str">
        <f ca="1">IFERROR(__xludf.DUMMYFUNCTION("""COMPUTED_VALUE"""),"Mayo-2023")</f>
        <v>Mayo-2023</v>
      </c>
      <c r="D121" s="33" t="str">
        <f ca="1">IFERROR(__xludf.DUMMYFUNCTION("""COMPUTED_VALUE"""),"Junio-2023")</f>
        <v>Junio-2023</v>
      </c>
      <c r="E121" s="33" t="str">
        <f ca="1">IFERROR(__xludf.DUMMYFUNCTION("""COMPUTED_VALUE"""),"Δ")</f>
        <v>Δ</v>
      </c>
      <c r="F121" s="33" t="str">
        <f ca="1">IFERROR(__xludf.DUMMYFUNCTION("""COMPUTED_VALUE"""),"Nivel de Confianza")</f>
        <v>Nivel de Confianza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36">
      <c r="A122" s="1"/>
      <c r="B122" s="34" t="str">
        <f ca="1">IFERROR(__xludf.DUMMYFUNCTION("""COMPUTED_VALUE"""),"Capacidad Producción (Presente)")</f>
        <v>Capacidad Producción (Presente)</v>
      </c>
      <c r="C122" s="35">
        <f ca="1">IFERROR(__xludf.DUMMYFUNCTION("""COMPUTED_VALUE"""),3.39866245428967)</f>
        <v>3.3986624542896702</v>
      </c>
      <c r="D122" s="35">
        <f ca="1">IFERROR(__xludf.DUMMYFUNCTION("""COMPUTED_VALUE"""),-21.3363870007284)</f>
        <v>-21.336387000728401</v>
      </c>
      <c r="E122" s="35">
        <f ca="1">IFERROR(__xludf.DUMMYFUNCTION("""COMPUTED_VALUE"""),-24.7350494550181)</f>
        <v>-24.7350494550181</v>
      </c>
      <c r="F122" s="36" t="str">
        <f ca="1">IFERROR(__xludf.DUMMYFUNCTION("""COMPUTED_VALUE"""),"Baja 2 niveles, de nivel neutral de expectativas a moderadamente pesimista")</f>
        <v>Baja 2 niveles, de nivel neutral de expectativas a moderadamente pesimista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24">
      <c r="A123" s="1"/>
      <c r="B123" s="34" t="str">
        <f ca="1">IFERROR(__xludf.DUMMYFUNCTION("""COMPUTED_VALUE"""),"Demanda Nacional (Presente)")</f>
        <v>Demanda Nacional (Presente)</v>
      </c>
      <c r="C123" s="35">
        <f ca="1">IFERROR(__xludf.DUMMYFUNCTION("""COMPUTED_VALUE"""),-24.5244420693862)</f>
        <v>-24.5244420693862</v>
      </c>
      <c r="D123" s="35">
        <f ca="1">IFERROR(__xludf.DUMMYFUNCTION("""COMPUTED_VALUE"""),-29.3089039941725)</f>
        <v>-29.3089039941725</v>
      </c>
      <c r="E123" s="35">
        <f ca="1">IFERROR(__xludf.DUMMYFUNCTION("""COMPUTED_VALUE"""),-4.78446192478627)</f>
        <v>-4.7844619247862701</v>
      </c>
      <c r="F123" s="36" t="str">
        <f ca="1">IFERROR(__xludf.DUMMYFUNCTION("""COMPUTED_VALUE"""),"Baja 1 nivel, de moderadamente pesimista a pesimista")</f>
        <v>Baja 1 nivel, de moderadamente pesimista a pesimista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24">
      <c r="A124" s="1"/>
      <c r="B124" s="34" t="str">
        <f ca="1">IFERROR(__xludf.DUMMYFUNCTION("""COMPUTED_VALUE"""),"Demanda Internacional (Presente)")</f>
        <v>Demanda Internacional (Presente)</v>
      </c>
      <c r="C124" s="35">
        <f ca="1">IFERROR(__xludf.DUMMYFUNCTION("""COMPUTED_VALUE"""),-64.4008916971402)</f>
        <v>-64.400891697140196</v>
      </c>
      <c r="D124" s="35">
        <f ca="1">IFERROR(__xludf.DUMMYFUNCTION("""COMPUTED_VALUE"""),-71.9816779956294)</f>
        <v>-71.981677995629397</v>
      </c>
      <c r="E124" s="35">
        <f ca="1">IFERROR(__xludf.DUMMYFUNCTION("""COMPUTED_VALUE"""),-7.5807862984892)</f>
        <v>-7.5807862984892003</v>
      </c>
      <c r="F124" s="36" t="str">
        <f ca="1">IFERROR(__xludf.DUMMYFUNCTION("""COMPUTED_VALUE"""),"Se mantiene en su nivel anterior extraordinariamente pesimista")</f>
        <v>Se mantiene en su nivel anterior extraordinariamente pesimista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24">
      <c r="A125" s="1"/>
      <c r="B125" s="34" t="str">
        <f ca="1">IFERROR(__xludf.DUMMYFUNCTION("""COMPUTED_VALUE"""),"Evolución Ventas (Pasado)")</f>
        <v>Evolución Ventas (Pasado)</v>
      </c>
      <c r="C125" s="35">
        <f ca="1">IFERROR(__xludf.DUMMYFUNCTION("""COMPUTED_VALUE"""),-25.2582469587448)</f>
        <v>-25.258246958744799</v>
      </c>
      <c r="D125" s="35">
        <f ca="1">IFERROR(__xludf.DUMMYFUNCTION("""COMPUTED_VALUE"""),-50.6452909949009)</f>
        <v>-50.645290994900897</v>
      </c>
      <c r="E125" s="35">
        <f ca="1">IFERROR(__xludf.DUMMYFUNCTION("""COMPUTED_VALUE"""),-25.3870440361561)</f>
        <v>-25.387044036156102</v>
      </c>
      <c r="F125" s="36" t="str">
        <f ca="1">IFERROR(__xludf.DUMMYFUNCTION("""COMPUTED_VALUE"""),"Baja 2 niveles, de pesimista a extraordinariamente pesimista")</f>
        <v>Baja 2 niveles, de pesimista a extraordinariamente pesimista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24">
      <c r="A126" s="1"/>
      <c r="B126" s="34" t="str">
        <f ca="1">IFERROR(__xludf.DUMMYFUNCTION("""COMPUTED_VALUE"""),"Evolución Precios (Pasado)")</f>
        <v>Evolución Precios (Pasado)</v>
      </c>
      <c r="C126" s="35">
        <f ca="1">IFERROR(__xludf.DUMMYFUNCTION("""COMPUTED_VALUE"""),-29.3907143023931)</f>
        <v>-29.3907143023931</v>
      </c>
      <c r="D126" s="35">
        <f ca="1">IFERROR(__xludf.DUMMYFUNCTION("""COMPUTED_VALUE"""),-57.3272259985431)</f>
        <v>-57.327225998543099</v>
      </c>
      <c r="E126" s="35">
        <f ca="1">IFERROR(__xludf.DUMMYFUNCTION("""COMPUTED_VALUE"""),-27.93651169615)</f>
        <v>-27.936511696149999</v>
      </c>
      <c r="F126" s="36" t="str">
        <f ca="1">IFERROR(__xludf.DUMMYFUNCTION("""COMPUTED_VALUE"""),"Baja 2 niveles, de pesimista a extraordinariamente pesimista")</f>
        <v>Baja 2 niveles, de pesimista a extraordinariamente pesimista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24">
      <c r="A127" s="1"/>
      <c r="B127" s="34" t="str">
        <f ca="1">IFERROR(__xludf.DUMMYFUNCTION("""COMPUTED_VALUE"""),"Situación Negocio (Pasado)")</f>
        <v>Situación Negocio (Pasado)</v>
      </c>
      <c r="C127" s="35">
        <f ca="1">IFERROR(__xludf.DUMMYFUNCTION("""COMPUTED_VALUE"""),-50.6613678987356)</f>
        <v>-50.661367898735598</v>
      </c>
      <c r="D127" s="35">
        <f ca="1">IFERROR(__xludf.DUMMYFUNCTION("""COMPUTED_VALUE"""),-86.6361299927157)</f>
        <v>-86.636129992715695</v>
      </c>
      <c r="E127" s="35">
        <f ca="1">IFERROR(__xludf.DUMMYFUNCTION("""COMPUTED_VALUE"""),-35.97476209398)</f>
        <v>-35.974762093979997</v>
      </c>
      <c r="F127" s="36" t="str">
        <f ca="1">IFERROR(__xludf.DUMMYFUNCTION("""COMPUTED_VALUE"""),"Se mantiene en su nivel anterior extraordinariamente pesimista")</f>
        <v>Se mantiene en su nivel anterior extraordinariamente pesimista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24">
      <c r="A128" s="1"/>
      <c r="B128" s="34" t="str">
        <f ca="1">IFERROR(__xludf.DUMMYFUNCTION("""COMPUTED_VALUE"""),"Situación Negocio Esperada (Pasado)")</f>
        <v>Situación Negocio Esperada (Pasado)</v>
      </c>
      <c r="C128" s="35">
        <f ca="1">IFERROR(__xludf.DUMMYFUNCTION("""COMPUTED_VALUE"""),-47.2627054444459)</f>
        <v>-47.262705444445899</v>
      </c>
      <c r="D128" s="35">
        <f ca="1">IFERROR(__xludf.DUMMYFUNCTION("""COMPUTED_VALUE"""),-93.3180649963578)</f>
        <v>-93.318064996357805</v>
      </c>
      <c r="E128" s="35">
        <f ca="1">IFERROR(__xludf.DUMMYFUNCTION("""COMPUTED_VALUE"""),-46.0553595519119)</f>
        <v>-46.055359551911899</v>
      </c>
      <c r="F128" s="36" t="str">
        <f ca="1">IFERROR(__xludf.DUMMYFUNCTION("""COMPUTED_VALUE"""),"Se mantiene en su nivel anterior extraordinariamente pesimista")</f>
        <v>Se mantiene en su nivel anterior extraordinariamente pesimista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24">
      <c r="A129" s="1"/>
      <c r="B129" s="34" t="str">
        <f ca="1">IFERROR(__xludf.DUMMYFUNCTION("""COMPUTED_VALUE"""),"Proyección Economía País (Futuro)")</f>
        <v>Proyección Economía País (Futuro)</v>
      </c>
      <c r="C129" s="35">
        <f ca="1">IFERROR(__xludf.DUMMYFUNCTION("""COMPUTED_VALUE"""),-86.4053501828413)</f>
        <v>-86.405350182841303</v>
      </c>
      <c r="D129" s="35">
        <f ca="1">IFERROR(__xludf.DUMMYFUNCTION("""COMPUTED_VALUE"""),-86.6361299927157)</f>
        <v>-86.636129992715695</v>
      </c>
      <c r="E129" s="35">
        <f ca="1">IFERROR(__xludf.DUMMYFUNCTION("""COMPUTED_VALUE"""),-0.230779809874405)</f>
        <v>-0.230779809874405</v>
      </c>
      <c r="F129" s="36" t="str">
        <f ca="1">IFERROR(__xludf.DUMMYFUNCTION("""COMPUTED_VALUE"""),"Se mantiene en su nivel anterior extraordinariamente pesimista")</f>
        <v>Se mantiene en su nivel anterior extraordinariamente pesimista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24">
      <c r="A130" s="1"/>
      <c r="B130" s="34" t="str">
        <f ca="1">IFERROR(__xludf.DUMMYFUNCTION("""COMPUTED_VALUE"""),"Situación Sector (Futuro)")</f>
        <v>Situación Sector (Futuro)</v>
      </c>
      <c r="C130" s="35">
        <f ca="1">IFERROR(__xludf.DUMMYFUNCTION("""COMPUTED_VALUE"""),-47.2627054444459)</f>
        <v>-47.262705444445899</v>
      </c>
      <c r="D130" s="35">
        <f ca="1">IFERROR(__xludf.DUMMYFUNCTION("""COMPUTED_VALUE"""),-78.6636129992715)</f>
        <v>-78.663612999271507</v>
      </c>
      <c r="E130" s="35">
        <f ca="1">IFERROR(__xludf.DUMMYFUNCTION("""COMPUTED_VALUE"""),-31.4009075548256)</f>
        <v>-31.400907554825601</v>
      </c>
      <c r="F130" s="36" t="str">
        <f ca="1">IFERROR(__xludf.DUMMYFUNCTION("""COMPUTED_VALUE"""),"Se mantiene en su nivel anterior extraordinariamente pesimista")</f>
        <v>Se mantiene en su nivel anterior extraordinariamente pesimista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36">
      <c r="A131" s="1"/>
      <c r="B131" s="34" t="str">
        <f ca="1">IFERROR(__xludf.DUMMYFUNCTION("""COMPUTED_VALUE"""),"Expectativa Negocio (Futuro)")</f>
        <v>Expectativa Negocio (Futuro)</v>
      </c>
      <c r="C131" s="35">
        <f ca="1">IFERROR(__xludf.DUMMYFUNCTION("""COMPUTED_VALUE"""),-22.5933893938137)</f>
        <v>-22.593389393813698</v>
      </c>
      <c r="D131" s="35">
        <f ca="1">IFERROR(__xludf.DUMMYFUNCTION("""COMPUTED_VALUE"""),-50.6452909949009)</f>
        <v>-50.645290994900897</v>
      </c>
      <c r="E131" s="35">
        <f ca="1">IFERROR(__xludf.DUMMYFUNCTION("""COMPUTED_VALUE"""),-28.0519016010872)</f>
        <v>-28.051901601087199</v>
      </c>
      <c r="F131" s="36" t="str">
        <f ca="1">IFERROR(__xludf.DUMMYFUNCTION("""COMPUTED_VALUE"""),"Baja 3 niveles, de moderadamente pesimista a extraordinariamente pesimista")</f>
        <v>Baja 3 niveles, de moderadamente pesimista a extraordinariamente pesimista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24">
      <c r="A132" s="1"/>
      <c r="B132" s="34" t="str">
        <f ca="1">IFERROR(__xludf.DUMMYFUNCTION("""COMPUTED_VALUE"""),"Ventas Futuras (Futuro)")</f>
        <v>Ventas Futuras (Futuro)</v>
      </c>
      <c r="C132" s="35">
        <f ca="1">IFERROR(__xludf.DUMMYFUNCTION("""COMPUTED_VALUE"""),-22.5933893938137)</f>
        <v>-22.593389393813698</v>
      </c>
      <c r="D132" s="35">
        <f ca="1">IFERROR(__xludf.DUMMYFUNCTION("""COMPUTED_VALUE"""),-29.3089039941725)</f>
        <v>-29.3089039941725</v>
      </c>
      <c r="E132" s="35">
        <f ca="1">IFERROR(__xludf.DUMMYFUNCTION("""COMPUTED_VALUE"""),-6.71551460035878)</f>
        <v>-6.7155146003587802</v>
      </c>
      <c r="F132" s="36" t="str">
        <f ca="1">IFERROR(__xludf.DUMMYFUNCTION("""COMPUTED_VALUE"""),"Baja 1 nivel, de moderadamente pesimista a pesimista")</f>
        <v>Baja 1 nivel, de moderadamente pesimista a pesimista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36">
      <c r="A133" s="1"/>
      <c r="B133" s="34" t="str">
        <f ca="1">IFERROR(__xludf.DUMMYFUNCTION("""COMPUTED_VALUE"""),"Precios Venta Futuros (Futuro)")</f>
        <v>Precios Venta Futuros (Futuro)</v>
      </c>
      <c r="C133" s="35">
        <f ca="1">IFERROR(__xludf.DUMMYFUNCTION("""COMPUTED_VALUE"""),10.3408613441149)</f>
        <v>10.3408613441149</v>
      </c>
      <c r="D133" s="35">
        <f ca="1">IFERROR(__xludf.DUMMYFUNCTION("""COMPUTED_VALUE"""),-50.6452909949009)</f>
        <v>-50.645290994900897</v>
      </c>
      <c r="E133" s="35">
        <f ca="1">IFERROR(__xludf.DUMMYFUNCTION("""COMPUTED_VALUE"""),-60.9861523390159)</f>
        <v>-60.986152339015902</v>
      </c>
      <c r="F133" s="36" t="str">
        <f ca="1">IFERROR(__xludf.DUMMYFUNCTION("""COMPUTED_VALUE"""),"Baja 6 niveles, de levemente optimista a extraordinariamente pesimista")</f>
        <v>Baja 6 niveles, de levemente optimista a extraordinariamente pesimista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24">
      <c r="A134" s="1"/>
      <c r="B134" s="34" t="str">
        <f ca="1">IFERROR(__xludf.DUMMYFUNCTION("""COMPUTED_VALUE"""),"Precios Insumos Futuros (Futuro)")</f>
        <v>Precios Insumos Futuros (Futuro)</v>
      </c>
      <c r="C134" s="35">
        <f ca="1">IFERROR(__xludf.DUMMYFUNCTION("""COMPUTED_VALUE"""),-25.4031209399907)</f>
        <v>-25.4031209399907</v>
      </c>
      <c r="D134" s="35">
        <f ca="1">IFERROR(__xludf.DUMMYFUNCTION("""COMPUTED_VALUE"""),-20.0458050109264)</f>
        <v>-20.045805010926401</v>
      </c>
      <c r="E134" s="35">
        <f ca="1">IFERROR(__xludf.DUMMYFUNCTION("""COMPUTED_VALUE"""),5.35731592906432)</f>
        <v>5.3573159290643204</v>
      </c>
      <c r="F134" s="36" t="str">
        <f ca="1">IFERROR(__xludf.DUMMYFUNCTION("""COMPUTED_VALUE"""),"Sube 1 nivel, de pesimista a moderadamente pesimista")</f>
        <v>Sube 1 nivel, de pesimista a moderadamente pesimista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24">
      <c r="A135" s="1"/>
      <c r="B135" s="34" t="str">
        <f ca="1">IFERROR(__xludf.DUMMYFUNCTION("""COMPUTED_VALUE"""),"Proyección Empleos Futuros (Futuro)")</f>
        <v>Proyección Empleos Futuros (Futuro)</v>
      </c>
      <c r="C135" s="35">
        <f ca="1">IFERROR(__xludf.DUMMYFUNCTION("""COMPUTED_VALUE"""),-32.2004458485701)</f>
        <v>-32.200445848570098</v>
      </c>
      <c r="D135" s="35">
        <f ca="1">IFERROR(__xludf.DUMMYFUNCTION("""COMPUTED_VALUE"""),-22.6269689905304)</f>
        <v>-22.626968990530401</v>
      </c>
      <c r="E135" s="35">
        <f ca="1">IFERROR(__xludf.DUMMYFUNCTION("""COMPUTED_VALUE"""),9.57347685803969)</f>
        <v>9.5734768580396903</v>
      </c>
      <c r="F135" s="36" t="str">
        <f ca="1">IFERROR(__xludf.DUMMYFUNCTION("""COMPUTED_VALUE"""),"Sube 1 nivel, de pesimista a moderadamente pesimista")</f>
        <v>Sube 1 nivel, de pesimista a moderadamente pesimista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24">
      <c r="A136" s="1"/>
      <c r="B136" s="34" t="str">
        <f ca="1">IFERROR(__xludf.DUMMYFUNCTION("""COMPUTED_VALUE"""),"Salarios Futuros (Futuro)")</f>
        <v>Salarios Futuros (Futuro)</v>
      </c>
      <c r="C136" s="35">
        <f ca="1">IFERROR(__xludf.DUMMYFUNCTION("""COMPUTED_VALUE"""),-10.195987362869)</f>
        <v>-10.195987362868999</v>
      </c>
      <c r="D136" s="35">
        <f ca="1">IFERROR(__xludf.DUMMYFUNCTION("""COMPUTED_VALUE"""),-43.9633559912588)</f>
        <v>-43.963355991258801</v>
      </c>
      <c r="E136" s="35">
        <f ca="1">IFERROR(__xludf.DUMMYFUNCTION("""COMPUTED_VALUE"""),-33.7673686283898)</f>
        <v>-33.767368628389796</v>
      </c>
      <c r="F136" s="36" t="str">
        <f ca="1">IFERROR(__xludf.DUMMYFUNCTION("""COMPUTED_VALUE"""),"Baja 3 niveles, de levemente pesimista a muy pesimista")</f>
        <v>Baja 3 niveles, de levemente pesimista a muy pesimista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36">
      <c r="A137" s="1"/>
      <c r="B137" s="34" t="str">
        <f ca="1">IFERROR(__xludf.DUMMYFUNCTION("""COMPUTED_VALUE"""),"Inversión Futura (Futuro)")</f>
        <v>Inversión Futura (Futuro)</v>
      </c>
      <c r="C137" s="35">
        <f ca="1">IFERROR(__xludf.DUMMYFUNCTION("""COMPUTED_VALUE"""),-21.2706535963425)</f>
        <v>-21.270653596342498</v>
      </c>
      <c r="D137" s="35">
        <f ca="1">IFERROR(__xludf.DUMMYFUNCTION("""COMPUTED_VALUE"""),-35.9908389978147)</f>
        <v>-35.990838997814699</v>
      </c>
      <c r="E137" s="35">
        <f ca="1">IFERROR(__xludf.DUMMYFUNCTION("""COMPUTED_VALUE"""),-14.7201854014722)</f>
        <v>-14.7201854014722</v>
      </c>
      <c r="F137" s="36" t="str">
        <f ca="1">IFERROR(__xludf.DUMMYFUNCTION("""COMPUTED_VALUE"""),"Baja 2 niveles, de moderadamente pesimista a muy pesimista")</f>
        <v>Baja 2 niveles, de moderadamente pesimista a muy pesimista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24">
      <c r="A138" s="1"/>
      <c r="B138" s="34" t="str">
        <f ca="1">IFERROR(__xludf.DUMMYFUNCTION("""COMPUTED_VALUE"""),"Situación Financiera Futura (Futuro)")</f>
        <v>Situación Financiera Futura (Futuro)</v>
      </c>
      <c r="C138" s="35">
        <f ca="1">IFERROR(__xludf.DUMMYFUNCTION("""COMPUTED_VALUE"""),-32.9342507379286)</f>
        <v>-32.9342507379286</v>
      </c>
      <c r="D138" s="35">
        <f ca="1">IFERROR(__xludf.DUMMYFUNCTION("""COMPUTED_VALUE"""),-29.3089039941725)</f>
        <v>-29.3089039941725</v>
      </c>
      <c r="E138" s="35">
        <f ca="1">IFERROR(__xludf.DUMMYFUNCTION("""COMPUTED_VALUE"""),3.62534674375612)</f>
        <v>3.6253467437561202</v>
      </c>
      <c r="F138" s="36" t="str">
        <f ca="1">IFERROR(__xludf.DUMMYFUNCTION("""COMPUTED_VALUE"""),"Se mantiene en su nivel anterior pesimista")</f>
        <v>Se mantiene en su nivel anterior pesimista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2.75" hidden="1">
      <c r="A142" s="1"/>
      <c r="B142" s="1" t="str">
        <f ca="1">IFERROR(__xludf.DUMMYFUNCTION("IMPORTRANGE(""https://docs.google.com/spreadsheets/d/1vX4EJ5xHAydPw-zIZ-xMGfM_lMaz2GvXl_oDjgq6VZs/edit#gid=230007046"",""Transporte!B48:F68"")"),"")</f>
        <v/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6.5">
      <c r="A143" s="1"/>
      <c r="B143" s="42" t="str">
        <f ca="1">IFERROR(__xludf.DUMMYFUNCTION("""COMPUTED_VALUE"""),"Variación Variables Sector Transporte")</f>
        <v>Variación Variables Sector Transporte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2.75">
      <c r="A144" s="1"/>
      <c r="B144" s="37" t="str">
        <f ca="1">IFERROR(__xludf.DUMMYFUNCTION("""COMPUTED_VALUE"""),"Variable")</f>
        <v>Variable</v>
      </c>
      <c r="C144" s="33" t="str">
        <f ca="1">IFERROR(__xludf.DUMMYFUNCTION("""COMPUTED_VALUE"""),"Mayo-2023")</f>
        <v>Mayo-2023</v>
      </c>
      <c r="D144" s="33" t="str">
        <f ca="1">IFERROR(__xludf.DUMMYFUNCTION("""COMPUTED_VALUE"""),"Junio-2023")</f>
        <v>Junio-2023</v>
      </c>
      <c r="E144" s="33" t="str">
        <f ca="1">IFERROR(__xludf.DUMMYFUNCTION("""COMPUTED_VALUE"""),"Δ")</f>
        <v>Δ</v>
      </c>
      <c r="F144" s="33" t="str">
        <f ca="1">IFERROR(__xludf.DUMMYFUNCTION("""COMPUTED_VALUE"""),"Nivel de Confianza")</f>
        <v>Nivel de Confianza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36">
      <c r="A145" s="1"/>
      <c r="B145" s="34" t="str">
        <f ca="1">IFERROR(__xludf.DUMMYFUNCTION("""COMPUTED_VALUE"""),"Capacidad Producción (Presente)")</f>
        <v>Capacidad Producción (Presente)</v>
      </c>
      <c r="C145" s="35">
        <f ca="1">IFERROR(__xludf.DUMMYFUNCTION("""COMPUTED_VALUE"""),-18.7312625617837)</f>
        <v>-18.731262561783701</v>
      </c>
      <c r="D145" s="35">
        <f ca="1">IFERROR(__xludf.DUMMYFUNCTION("""COMPUTED_VALUE"""),-65.9139138264137)</f>
        <v>-65.913913826413705</v>
      </c>
      <c r="E145" s="35">
        <f ca="1">IFERROR(__xludf.DUMMYFUNCTION("""COMPUTED_VALUE"""),-47.1826512646299)</f>
        <v>-47.182651264629897</v>
      </c>
      <c r="F145" s="36" t="str">
        <f ca="1">IFERROR(__xludf.DUMMYFUNCTION("""COMPUTED_VALUE"""),"Baja 3 niveles, de moderadamente pesimista a extraordinariamente pesimista")</f>
        <v>Baja 3 niveles, de moderadamente pesimista a extraordinariamente pesimista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24">
      <c r="A146" s="1"/>
      <c r="B146" s="34" t="str">
        <f ca="1">IFERROR(__xludf.DUMMYFUNCTION("""COMPUTED_VALUE"""),"Demanda Nacional (Presente)")</f>
        <v>Demanda Nacional (Presente)</v>
      </c>
      <c r="C146" s="35">
        <f ca="1">IFERROR(__xludf.DUMMYFUNCTION("""COMPUTED_VALUE"""),-49.4163037311993)</f>
        <v>-49.416303731199299</v>
      </c>
      <c r="D146" s="35">
        <f ca="1">IFERROR(__xludf.DUMMYFUNCTION("""COMPUTED_VALUE"""),-100)</f>
        <v>-100</v>
      </c>
      <c r="E146" s="35">
        <f ca="1">IFERROR(__xludf.DUMMYFUNCTION("""COMPUTED_VALUE"""),-50.5836962688006)</f>
        <v>-50.583696268800601</v>
      </c>
      <c r="F146" s="36" t="str">
        <f ca="1">IFERROR(__xludf.DUMMYFUNCTION("""COMPUTED_VALUE"""),"Se mantiene en su nivel anterior extraordinariamente pesimista")</f>
        <v>Se mantiene en su nivel anterior extraordinariamente pesimista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24">
      <c r="A147" s="1"/>
      <c r="B147" s="34" t="str">
        <f ca="1">IFERROR(__xludf.DUMMYFUNCTION("""COMPUTED_VALUE"""),"Demanda Internacional (Presente)")</f>
        <v>Demanda Internacional (Presente)</v>
      </c>
      <c r="C147" s="35">
        <f ca="1">IFERROR(__xludf.DUMMYFUNCTION("""COMPUTED_VALUE"""),-34.0737831464915)</f>
        <v>-34.0737831464915</v>
      </c>
      <c r="D147" s="35">
        <f ca="1">IFERROR(__xludf.DUMMYFUNCTION("""COMPUTED_VALUE"""),-65.9139138264137)</f>
        <v>-65.913913826413705</v>
      </c>
      <c r="E147" s="35">
        <f ca="1">IFERROR(__xludf.DUMMYFUNCTION("""COMPUTED_VALUE"""),-31.8401306799221)</f>
        <v>-31.840130679922101</v>
      </c>
      <c r="F147" s="36" t="str">
        <f ca="1">IFERROR(__xludf.DUMMYFUNCTION("""COMPUTED_VALUE"""),"Baja 2 niveles, de pesimista a extraordinariamente pesimista")</f>
        <v>Baja 2 niveles, de pesimista a extraordinariamente pesimista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36">
      <c r="A148" s="1"/>
      <c r="B148" s="34" t="str">
        <f ca="1">IFERROR(__xludf.DUMMYFUNCTION("""COMPUTED_VALUE"""),"Nivel Inventarios (Presente)")</f>
        <v>Nivel Inventarios (Presente)</v>
      </c>
      <c r="C148" s="35">
        <f ca="1">IFERROR(__xludf.DUMMYFUNCTION("""COMPUTED_VALUE"""),-18.7312625617837)</f>
        <v>-18.731262561783701</v>
      </c>
      <c r="D148" s="35">
        <f ca="1">IFERROR(__xludf.DUMMYFUNCTION("""COMPUTED_VALUE"""),-65.9139138264137)</f>
        <v>-65.913913826413705</v>
      </c>
      <c r="E148" s="35">
        <f ca="1">IFERROR(__xludf.DUMMYFUNCTION("""COMPUTED_VALUE"""),-47.1826512646299)</f>
        <v>-47.182651264629897</v>
      </c>
      <c r="F148" s="36" t="str">
        <f ca="1">IFERROR(__xludf.DUMMYFUNCTION("""COMPUTED_VALUE"""),"Baja 3 niveles, de moderadamente pesimista a extraordinariamente pesimista")</f>
        <v>Baja 3 niveles, de moderadamente pesimista a extraordinariamente pesimista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24">
      <c r="A149" s="1"/>
      <c r="B149" s="34" t="str">
        <f ca="1">IFERROR(__xludf.DUMMYFUNCTION("""COMPUTED_VALUE"""),"Evolución Ventas (Pasado)")</f>
        <v>Evolución Ventas (Pasado)</v>
      </c>
      <c r="C149" s="35">
        <f ca="1">IFERROR(__xludf.DUMMYFUNCTION("""COMPUTED_VALUE"""),-82.3794121579535)</f>
        <v>-82.379412157953496</v>
      </c>
      <c r="D149" s="35">
        <f ca="1">IFERROR(__xludf.DUMMYFUNCTION("""COMPUTED_VALUE"""),-65.9139138264137)</f>
        <v>-65.913913826413705</v>
      </c>
      <c r="E149" s="35">
        <f ca="1">IFERROR(__xludf.DUMMYFUNCTION("""COMPUTED_VALUE"""),16.4654983315398)</f>
        <v>16.465498331539798</v>
      </c>
      <c r="F149" s="36" t="str">
        <f ca="1">IFERROR(__xludf.DUMMYFUNCTION("""COMPUTED_VALUE"""),"Se mantiene en su nivel anterior extraordinariamente pesimista")</f>
        <v>Se mantiene en su nivel anterior extraordinariamente pesimista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24">
      <c r="A150" s="1"/>
      <c r="B150" s="34" t="str">
        <f ca="1">IFERROR(__xludf.DUMMYFUNCTION("""COMPUTED_VALUE"""),"Evolución Precios (Pasado)")</f>
        <v>Evolución Precios (Pasado)</v>
      </c>
      <c r="C150" s="35">
        <f ca="1">IFERROR(__xludf.DUMMYFUNCTION("""COMPUTED_VALUE"""),-67.0368915732457)</f>
        <v>-67.036891573245697</v>
      </c>
      <c r="D150" s="35">
        <f ca="1">IFERROR(__xludf.DUMMYFUNCTION("""COMPUTED_VALUE"""),-65.9139138264137)</f>
        <v>-65.913913826413705</v>
      </c>
      <c r="E150" s="35">
        <f ca="1">IFERROR(__xludf.DUMMYFUNCTION("""COMPUTED_VALUE"""),1.12297774683203)</f>
        <v>1.1229777468320301</v>
      </c>
      <c r="F150" s="36" t="str">
        <f ca="1">IFERROR(__xludf.DUMMYFUNCTION("""COMPUTED_VALUE"""),"Se mantiene en su nivel anterior extraordinariamente pesimista")</f>
        <v>Se mantiene en su nivel anterior extraordinariamente pesimista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24">
      <c r="A151" s="1"/>
      <c r="B151" s="34" t="str">
        <f ca="1">IFERROR(__xludf.DUMMYFUNCTION("""COMPUTED_VALUE"""),"Situación Negocio (Pasado)")</f>
        <v>Situación Negocio (Pasado)</v>
      </c>
      <c r="C151" s="35">
        <f ca="1">IFERROR(__xludf.DUMMYFUNCTION("""COMPUTED_VALUE"""),-58.2265976522225)</f>
        <v>-58.226597652222502</v>
      </c>
      <c r="D151" s="35">
        <f ca="1">IFERROR(__xludf.DUMMYFUNCTION("""COMPUTED_VALUE"""),-65.9139138264137)</f>
        <v>-65.913913826413705</v>
      </c>
      <c r="E151" s="35">
        <f ca="1">IFERROR(__xludf.DUMMYFUNCTION("""COMPUTED_VALUE"""),-7.68731617419118)</f>
        <v>-7.6873161741911797</v>
      </c>
      <c r="F151" s="36" t="str">
        <f ca="1">IFERROR(__xludf.DUMMYFUNCTION("""COMPUTED_VALUE"""),"Se mantiene en su nivel anterior extraordinariamente pesimista")</f>
        <v>Se mantiene en su nivel anterior extraordinariamente pesimista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36">
      <c r="A152" s="1"/>
      <c r="B152" s="34" t="str">
        <f ca="1">IFERROR(__xludf.DUMMYFUNCTION("""COMPUTED_VALUE"""),"Situación Negocio Esperada (Pasado)")</f>
        <v>Situación Negocio Esperada (Pasado)</v>
      </c>
      <c r="C152" s="35">
        <f ca="1">IFERROR(__xludf.DUMMYFUNCTION("""COMPUTED_VALUE"""),-99.9999999999999)</f>
        <v>-99.999999999999901</v>
      </c>
      <c r="D152" s="35">
        <f ca="1">IFERROR(__xludf.DUMMYFUNCTION("""COMPUTED_VALUE"""),-34.0860861735862)</f>
        <v>-34.086086173586203</v>
      </c>
      <c r="E152" s="35">
        <f ca="1">IFERROR(__xludf.DUMMYFUNCTION("""COMPUTED_VALUE"""),65.9139138264137)</f>
        <v>65.913913826413705</v>
      </c>
      <c r="F152" s="36" t="str">
        <f ca="1">IFERROR(__xludf.DUMMYFUNCTION("""COMPUTED_VALUE"""),"Sube 2 niveles, de extraordinariamente pesimista a pesimista")</f>
        <v>Sube 2 niveles, de extraordinariamente pesimista a pesimista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24">
      <c r="A153" s="1"/>
      <c r="B153" s="34" t="str">
        <f ca="1">IFERROR(__xludf.DUMMYFUNCTION("""COMPUTED_VALUE"""),"Proyección Economía País (Futuro)")</f>
        <v>Proyección Economía País (Futuro)</v>
      </c>
      <c r="C153" s="35">
        <f ca="1">IFERROR(__xludf.DUMMYFUNCTION("""COMPUTED_VALUE"""),-99.9999999999999)</f>
        <v>-99.999999999999901</v>
      </c>
      <c r="D153" s="35">
        <f ca="1">IFERROR(__xludf.DUMMYFUNCTION("""COMPUTED_VALUE"""),-100)</f>
        <v>-100</v>
      </c>
      <c r="E153" s="35">
        <f ca="1">IFERROR(__xludf.DUMMYFUNCTION("""COMPUTED_VALUE"""),-1.4210854715202E-14)</f>
        <v>-1.4210854715202001E-14</v>
      </c>
      <c r="F153" s="36" t="str">
        <f ca="1">IFERROR(__xludf.DUMMYFUNCTION("""COMPUTED_VALUE"""),"Se mantiene en su nivel anterior extraordinariamente pesimista")</f>
        <v>Se mantiene en su nivel anterior extraordinariamente pesimista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24">
      <c r="A154" s="1"/>
      <c r="B154" s="34" t="str">
        <f ca="1">IFERROR(__xludf.DUMMYFUNCTION("""COMPUTED_VALUE"""),"Situación Sector (Futuro)")</f>
        <v>Situación Sector (Futuro)</v>
      </c>
      <c r="C154" s="35">
        <f ca="1">IFERROR(__xludf.DUMMYFUNCTION("""COMPUTED_VALUE"""),-58.2265976522225)</f>
        <v>-58.226597652222502</v>
      </c>
      <c r="D154" s="35">
        <f ca="1">IFERROR(__xludf.DUMMYFUNCTION("""COMPUTED_VALUE"""),-100)</f>
        <v>-100</v>
      </c>
      <c r="E154" s="35">
        <f ca="1">IFERROR(__xludf.DUMMYFUNCTION("""COMPUTED_VALUE"""),-41.7734023477774)</f>
        <v>-41.773402347777399</v>
      </c>
      <c r="F154" s="36" t="str">
        <f ca="1">IFERROR(__xludf.DUMMYFUNCTION("""COMPUTED_VALUE"""),"Se mantiene en su nivel anterior extraordinariamente pesimista")</f>
        <v>Se mantiene en su nivel anterior extraordinariamente pesimista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24">
      <c r="A155" s="1"/>
      <c r="B155" s="34" t="str">
        <f ca="1">IFERROR(__xludf.DUMMYFUNCTION("""COMPUTED_VALUE"""),"Expectativa Negocio (Futuro)")</f>
        <v>Expectativa Negocio (Futuro)</v>
      </c>
      <c r="C155" s="35">
        <f ca="1">IFERROR(__xludf.DUMMYFUNCTION("""COMPUTED_VALUE"""),-82.3794121579535)</f>
        <v>-82.379412157953496</v>
      </c>
      <c r="D155" s="35">
        <f ca="1">IFERROR(__xludf.DUMMYFUNCTION("""COMPUTED_VALUE"""),-100)</f>
        <v>-100</v>
      </c>
      <c r="E155" s="35">
        <f ca="1">IFERROR(__xludf.DUMMYFUNCTION("""COMPUTED_VALUE"""),-17.6205878420464)</f>
        <v>-17.620587842046401</v>
      </c>
      <c r="F155" s="36" t="str">
        <f ca="1">IFERROR(__xludf.DUMMYFUNCTION("""COMPUTED_VALUE"""),"Se mantiene en su nivel anterior extraordinariamente pesimista")</f>
        <v>Se mantiene en su nivel anterior extraordinariamente pesimista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24">
      <c r="A156" s="1"/>
      <c r="B156" s="34" t="str">
        <f ca="1">IFERROR(__xludf.DUMMYFUNCTION("""COMPUTED_VALUE"""),"Ventas Futuras (Futuro)")</f>
        <v>Ventas Futuras (Futuro)</v>
      </c>
      <c r="C156" s="35">
        <f ca="1">IFERROR(__xludf.DUMMYFUNCTION("""COMPUTED_VALUE"""),-82.3794121579535)</f>
        <v>-82.379412157953496</v>
      </c>
      <c r="D156" s="35">
        <f ca="1">IFERROR(__xludf.DUMMYFUNCTION("""COMPUTED_VALUE"""),-100)</f>
        <v>-100</v>
      </c>
      <c r="E156" s="35">
        <f ca="1">IFERROR(__xludf.DUMMYFUNCTION("""COMPUTED_VALUE"""),-17.6205878420464)</f>
        <v>-17.620587842046401</v>
      </c>
      <c r="F156" s="36" t="str">
        <f ca="1">IFERROR(__xludf.DUMMYFUNCTION("""COMPUTED_VALUE"""),"Se mantiene en su nivel anterior extraordinariamente pesimista")</f>
        <v>Se mantiene en su nivel anterior extraordinariamente pesimista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24">
      <c r="A157" s="1"/>
      <c r="B157" s="34" t="str">
        <f ca="1">IFERROR(__xludf.DUMMYFUNCTION("""COMPUTED_VALUE"""),"Precios Venta Futuros (Futuro)")</f>
        <v>Precios Venta Futuros (Futuro)</v>
      </c>
      <c r="C157" s="35">
        <f ca="1">IFERROR(__xludf.DUMMYFUNCTION("""COMPUTED_VALUE"""),0)</f>
        <v>0</v>
      </c>
      <c r="D157" s="35">
        <f ca="1">IFERROR(__xludf.DUMMYFUNCTION("""COMPUTED_VALUE"""),-34.0860861735862)</f>
        <v>-34.086086173586203</v>
      </c>
      <c r="E157" s="35">
        <f ca="1">IFERROR(__xludf.DUMMYFUNCTION("""COMPUTED_VALUE"""),-34.0860861735862)</f>
        <v>-34.086086173586203</v>
      </c>
      <c r="F157" s="36" t="str">
        <f ca="1">IFERROR(__xludf.DUMMYFUNCTION("""COMPUTED_VALUE"""),"Baja 3 niveles, de nivel neutral de expectativas a pesimista")</f>
        <v>Baja 3 niveles, de nivel neutral de expectativas a pesimista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24">
      <c r="A158" s="1"/>
      <c r="B158" s="34" t="str">
        <f ca="1">IFERROR(__xludf.DUMMYFUNCTION("""COMPUTED_VALUE"""),"Precios Insumos Futuros (Futuro)")</f>
        <v>Precios Insumos Futuros (Futuro)</v>
      </c>
      <c r="C158" s="35">
        <f ca="1">IFERROR(__xludf.DUMMYFUNCTION("""COMPUTED_VALUE"""),-48.305629011462)</f>
        <v>-48.305629011462003</v>
      </c>
      <c r="D158" s="35">
        <f ca="1">IFERROR(__xludf.DUMMYFUNCTION("""COMPUTED_VALUE"""),-100)</f>
        <v>-100</v>
      </c>
      <c r="E158" s="35">
        <f ca="1">IFERROR(__xludf.DUMMYFUNCTION("""COMPUTED_VALUE"""),-51.6943709885379)</f>
        <v>-51.694370988537898</v>
      </c>
      <c r="F158" s="36" t="str">
        <f ca="1">IFERROR(__xludf.DUMMYFUNCTION("""COMPUTED_VALUE"""),"Se mantiene en su nivel anterior extraordinariamente pesimista")</f>
        <v>Se mantiene en su nivel anterior extraordinariamente pesimista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36">
      <c r="A159" s="1"/>
      <c r="B159" s="34" t="str">
        <f ca="1">IFERROR(__xludf.DUMMYFUNCTION("""COMPUTED_VALUE"""),"Proyección Empleos Futuros (Futuro)")</f>
        <v>Proyección Empleos Futuros (Futuro)</v>
      </c>
      <c r="C159" s="35">
        <f ca="1">IFERROR(__xludf.DUMMYFUNCTION("""COMPUTED_VALUE"""),-24.152814505731)</f>
        <v>-24.152814505731001</v>
      </c>
      <c r="D159" s="35">
        <f ca="1">IFERROR(__xludf.DUMMYFUNCTION("""COMPUTED_VALUE"""),0)</f>
        <v>0</v>
      </c>
      <c r="E159" s="35">
        <f ca="1">IFERROR(__xludf.DUMMYFUNCTION("""COMPUTED_VALUE"""),24.152814505731)</f>
        <v>24.152814505731001</v>
      </c>
      <c r="F159" s="36" t="str">
        <f ca="1">IFERROR(__xludf.DUMMYFUNCTION("""COMPUTED_VALUE"""),"Sube 2 niveles, de moderadamente pesimista a nivel neutral de expectativas")</f>
        <v>Sube 2 niveles, de moderadamente pesimista a nivel neutral de expectativas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36">
      <c r="A160" s="1"/>
      <c r="B160" s="34" t="str">
        <f ca="1">IFERROR(__xludf.DUMMYFUNCTION("""COMPUTED_VALUE"""),"Salarios Futuros (Futuro)")</f>
        <v>Salarios Futuros (Futuro)</v>
      </c>
      <c r="C160" s="35">
        <f ca="1">IFERROR(__xludf.DUMMYFUNCTION("""COMPUTED_VALUE"""),0)</f>
        <v>0</v>
      </c>
      <c r="D160" s="35">
        <f ca="1">IFERROR(__xludf.DUMMYFUNCTION("""COMPUTED_VALUE"""),-65.9139138264137)</f>
        <v>-65.913913826413705</v>
      </c>
      <c r="E160" s="35">
        <f ca="1">IFERROR(__xludf.DUMMYFUNCTION("""COMPUTED_VALUE"""),-65.9139138264137)</f>
        <v>-65.913913826413705</v>
      </c>
      <c r="F160" s="36" t="str">
        <f ca="1">IFERROR(__xludf.DUMMYFUNCTION("""COMPUTED_VALUE"""),"Baja 5 niveles, de nivel neutral de expectativas a extraordinariamente pesimista")</f>
        <v>Baja 5 niveles, de nivel neutral de expectativas a extraordinariamente pesimista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24">
      <c r="A161" s="1"/>
      <c r="B161" s="34" t="str">
        <f ca="1">IFERROR(__xludf.DUMMYFUNCTION("""COMPUTED_VALUE"""),"Inversión Futura (Futuro)")</f>
        <v>Inversión Futura (Futuro)</v>
      </c>
      <c r="C161" s="35">
        <f ca="1">IFERROR(__xludf.DUMMYFUNCTION("""COMPUTED_VALUE"""),-34.0737831464915)</f>
        <v>-34.0737831464915</v>
      </c>
      <c r="D161" s="35">
        <f ca="1">IFERROR(__xludf.DUMMYFUNCTION("""COMPUTED_VALUE"""),-65.9139138264137)</f>
        <v>-65.913913826413705</v>
      </c>
      <c r="E161" s="35">
        <f ca="1">IFERROR(__xludf.DUMMYFUNCTION("""COMPUTED_VALUE"""),-31.8401306799221)</f>
        <v>-31.840130679922101</v>
      </c>
      <c r="F161" s="36" t="str">
        <f ca="1">IFERROR(__xludf.DUMMYFUNCTION("""COMPUTED_VALUE"""),"Baja 2 niveles, de pesimista a extraordinariamente pesimista")</f>
        <v>Baja 2 niveles, de pesimista a extraordinariamente pesimista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24">
      <c r="A162" s="1"/>
      <c r="B162" s="34" t="str">
        <f ca="1">IFERROR(__xludf.DUMMYFUNCTION("""COMPUTED_VALUE"""),"Situación Financiera Futura (Futuro)")</f>
        <v>Situación Financiera Futura (Futuro)</v>
      </c>
      <c r="C162" s="35">
        <f ca="1">IFERROR(__xludf.DUMMYFUNCTION("""COMPUTED_VALUE"""),-58.2265976522225)</f>
        <v>-58.226597652222502</v>
      </c>
      <c r="D162" s="35">
        <f ca="1">IFERROR(__xludf.DUMMYFUNCTION("""COMPUTED_VALUE"""),-100)</f>
        <v>-100</v>
      </c>
      <c r="E162" s="35">
        <f ca="1">IFERROR(__xludf.DUMMYFUNCTION("""COMPUTED_VALUE"""),-41.7734023477774)</f>
        <v>-41.773402347777399</v>
      </c>
      <c r="F162" s="36" t="str">
        <f ca="1">IFERROR(__xludf.DUMMYFUNCTION("""COMPUTED_VALUE"""),"Se mantiene en su nivel anterior extraordinariamente pesimista")</f>
        <v>Se mantiene en su nivel anterior extraordinariamente pesimista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2.75" hidden="1">
      <c r="A165" s="1"/>
      <c r="B165" s="1" t="str">
        <f ca="1">IFERROR(__xludf.DUMMYFUNCTION("IMPORTRANGE(""https://docs.google.com/spreadsheets/d/1vX4EJ5xHAydPw-zIZ-xMGfM_lMaz2GvXl_oDjgq6VZs/edit#gid=230007046"",""Financiero!B48:F68"")"),"")</f>
        <v/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6.5">
      <c r="A166" s="1"/>
      <c r="B166" s="42" t="str">
        <f ca="1">IFERROR(__xludf.DUMMYFUNCTION("""COMPUTED_VALUE"""),"Variación Variables Sector Financiero")</f>
        <v>Variación Variables Sector Financiero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2.75">
      <c r="A167" s="1"/>
      <c r="B167" s="37" t="str">
        <f ca="1">IFERROR(__xludf.DUMMYFUNCTION("""COMPUTED_VALUE"""),"Variable")</f>
        <v>Variable</v>
      </c>
      <c r="C167" s="33" t="str">
        <f ca="1">IFERROR(__xludf.DUMMYFUNCTION("""COMPUTED_VALUE"""),"Mayo-2023")</f>
        <v>Mayo-2023</v>
      </c>
      <c r="D167" s="33" t="str">
        <f ca="1">IFERROR(__xludf.DUMMYFUNCTION("""COMPUTED_VALUE"""),"Junio-2023")</f>
        <v>Junio-2023</v>
      </c>
      <c r="E167" s="33" t="str">
        <f ca="1">IFERROR(__xludf.DUMMYFUNCTION("""COMPUTED_VALUE"""),"Δ")</f>
        <v>Δ</v>
      </c>
      <c r="F167" s="33" t="str">
        <f ca="1">IFERROR(__xludf.DUMMYFUNCTION("""COMPUTED_VALUE"""),"Nivel de Confianza")</f>
        <v>Nivel de Confianza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36">
      <c r="A168" s="1"/>
      <c r="B168" s="34" t="str">
        <f ca="1">IFERROR(__xludf.DUMMYFUNCTION("""COMPUTED_VALUE"""),"Capacidad Producción (Presente)")</f>
        <v>Capacidad Producción (Presente)</v>
      </c>
      <c r="C168" s="35">
        <f ca="1">IFERROR(__xludf.DUMMYFUNCTION("""COMPUTED_VALUE"""),50)</f>
        <v>50</v>
      </c>
      <c r="D168" s="35">
        <f ca="1">IFERROR(__xludf.DUMMYFUNCTION("""COMPUTED_VALUE"""),0)</f>
        <v>0</v>
      </c>
      <c r="E168" s="35">
        <f ca="1">IFERROR(__xludf.DUMMYFUNCTION("""COMPUTED_VALUE"""),-50)</f>
        <v>-50</v>
      </c>
      <c r="F168" s="36" t="str">
        <f ca="1">IFERROR(__xludf.DUMMYFUNCTION("""COMPUTED_VALUE"""),"Baja 5 niveles, de extraordinariamente optimista a nivel neutral de expectativas")</f>
        <v>Baja 5 niveles, de extraordinariamente optimista a nivel neutral de expectativas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36">
      <c r="A169" s="1"/>
      <c r="B169" s="34" t="str">
        <f ca="1">IFERROR(__xludf.DUMMYFUNCTION("""COMPUTED_VALUE"""),"Demanda Nacional (Presente)")</f>
        <v>Demanda Nacional (Presente)</v>
      </c>
      <c r="C169" s="35">
        <f ca="1">IFERROR(__xludf.DUMMYFUNCTION("""COMPUTED_VALUE"""),50)</f>
        <v>50</v>
      </c>
      <c r="D169" s="35">
        <f ca="1">IFERROR(__xludf.DUMMYFUNCTION("""COMPUTED_VALUE"""),0)</f>
        <v>0</v>
      </c>
      <c r="E169" s="35">
        <f ca="1">IFERROR(__xludf.DUMMYFUNCTION("""COMPUTED_VALUE"""),-50)</f>
        <v>-50</v>
      </c>
      <c r="F169" s="36" t="str">
        <f ca="1">IFERROR(__xludf.DUMMYFUNCTION("""COMPUTED_VALUE"""),"Baja 5 niveles, de extraordinariamente optimista a nivel neutral de expectativas")</f>
        <v>Baja 5 niveles, de extraordinariamente optimista a nivel neutral de expectativas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36">
      <c r="A170" s="1"/>
      <c r="B170" s="34" t="str">
        <f ca="1">IFERROR(__xludf.DUMMYFUNCTION("""COMPUTED_VALUE"""),"Evolución Ventas (Pasado)")</f>
        <v>Evolución Ventas (Pasado)</v>
      </c>
      <c r="C170" s="35">
        <f ca="1">IFERROR(__xludf.DUMMYFUNCTION("""COMPUTED_VALUE"""),-100)</f>
        <v>-100</v>
      </c>
      <c r="D170" s="35">
        <f ca="1">IFERROR(__xludf.DUMMYFUNCTION("""COMPUTED_VALUE"""),0)</f>
        <v>0</v>
      </c>
      <c r="E170" s="35">
        <f ca="1">IFERROR(__xludf.DUMMYFUNCTION("""COMPUTED_VALUE"""),100)</f>
        <v>100</v>
      </c>
      <c r="F170" s="36" t="str">
        <f ca="1">IFERROR(__xludf.DUMMYFUNCTION("""COMPUTED_VALUE"""),"Sube 5 niveles, de extraordinariamente pesimista a nivel neutral de expectativas")</f>
        <v>Sube 5 niveles, de extraordinariamente pesimista a nivel neutral de expectativas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24">
      <c r="A171" s="1"/>
      <c r="B171" s="34" t="str">
        <f ca="1">IFERROR(__xludf.DUMMYFUNCTION("""COMPUTED_VALUE"""),"Evolución Precios (Pasado)")</f>
        <v>Evolución Precios (Pasado)</v>
      </c>
      <c r="C171" s="35">
        <f ca="1">IFERROR(__xludf.DUMMYFUNCTION("""COMPUTED_VALUE"""),100)</f>
        <v>100</v>
      </c>
      <c r="D171" s="35">
        <f ca="1">IFERROR(__xludf.DUMMYFUNCTION("""COMPUTED_VALUE"""),100)</f>
        <v>100</v>
      </c>
      <c r="E171" s="35">
        <f ca="1">IFERROR(__xludf.DUMMYFUNCTION("""COMPUTED_VALUE"""),0)</f>
        <v>0</v>
      </c>
      <c r="F171" s="36" t="str">
        <f ca="1">IFERROR(__xludf.DUMMYFUNCTION("""COMPUTED_VALUE"""),"Se mantiene en su nivel anterior extraordinariamente optimista")</f>
        <v>Se mantiene en su nivel anterior extraordinariamente optimista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24">
      <c r="A172" s="1"/>
      <c r="B172" s="34" t="str">
        <f ca="1">IFERROR(__xludf.DUMMYFUNCTION("""COMPUTED_VALUE"""),"Situación Negocio (Pasado)")</f>
        <v>Situación Negocio (Pasado)</v>
      </c>
      <c r="C172" s="35">
        <f ca="1">IFERROR(__xludf.DUMMYFUNCTION("""COMPUTED_VALUE"""),0)</f>
        <v>0</v>
      </c>
      <c r="D172" s="35">
        <f ca="1">IFERROR(__xludf.DUMMYFUNCTION("""COMPUTED_VALUE"""),0)</f>
        <v>0</v>
      </c>
      <c r="E172" s="35">
        <f ca="1">IFERROR(__xludf.DUMMYFUNCTION("""COMPUTED_VALUE"""),0)</f>
        <v>0</v>
      </c>
      <c r="F172" s="36" t="str">
        <f ca="1">IFERROR(__xludf.DUMMYFUNCTION("""COMPUTED_VALUE"""),"Se mantiene en su nivel anterior nivel neutral de expectativas")</f>
        <v>Se mantiene en su nivel anterior nivel neutral de expectativas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24">
      <c r="A173" s="1"/>
      <c r="B173" s="34" t="str">
        <f ca="1">IFERROR(__xludf.DUMMYFUNCTION("""COMPUTED_VALUE"""),"Situación Negocio Esperada (Pasado)")</f>
        <v>Situación Negocio Esperada (Pasado)</v>
      </c>
      <c r="C173" s="35">
        <f ca="1">IFERROR(__xludf.DUMMYFUNCTION("""COMPUTED_VALUE"""),0)</f>
        <v>0</v>
      </c>
      <c r="D173" s="35">
        <f ca="1">IFERROR(__xludf.DUMMYFUNCTION("""COMPUTED_VALUE"""),0)</f>
        <v>0</v>
      </c>
      <c r="E173" s="35">
        <f ca="1">IFERROR(__xludf.DUMMYFUNCTION("""COMPUTED_VALUE"""),0)</f>
        <v>0</v>
      </c>
      <c r="F173" s="36" t="str">
        <f ca="1">IFERROR(__xludf.DUMMYFUNCTION("""COMPUTED_VALUE"""),"Se mantiene en su nivel anterior nivel neutral de expectativas")</f>
        <v>Se mantiene en su nivel anterior nivel neutral de expectativas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36">
      <c r="A174" s="1"/>
      <c r="B174" s="34" t="str">
        <f ca="1">IFERROR(__xludf.DUMMYFUNCTION("""COMPUTED_VALUE"""),"Proyección Economía País (Futuro)")</f>
        <v>Proyección Economía País (Futuro)</v>
      </c>
      <c r="C174" s="35">
        <f ca="1">IFERROR(__xludf.DUMMYFUNCTION("""COMPUTED_VALUE"""),50)</f>
        <v>50</v>
      </c>
      <c r="D174" s="35">
        <f ca="1">IFERROR(__xludf.DUMMYFUNCTION("""COMPUTED_VALUE"""),-100)</f>
        <v>-100</v>
      </c>
      <c r="E174" s="35">
        <f ca="1">IFERROR(__xludf.DUMMYFUNCTION("""COMPUTED_VALUE"""),-150)</f>
        <v>-150</v>
      </c>
      <c r="F174" s="36" t="str">
        <f ca="1">IFERROR(__xludf.DUMMYFUNCTION("""COMPUTED_VALUE"""),"Baja 10 niveles, de extraordinariamente optimista a extraordinariamente pesimista")</f>
        <v>Baja 10 niveles, de extraordinariamente optimista a extraordinariamente pesimista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36">
      <c r="A175" s="1"/>
      <c r="B175" s="34" t="str">
        <f ca="1">IFERROR(__xludf.DUMMYFUNCTION("""COMPUTED_VALUE"""),"Situación Sector (Futuro)")</f>
        <v>Situación Sector (Futuro)</v>
      </c>
      <c r="C175" s="35">
        <f ca="1">IFERROR(__xludf.DUMMYFUNCTION("""COMPUTED_VALUE"""),50)</f>
        <v>50</v>
      </c>
      <c r="D175" s="35">
        <f ca="1">IFERROR(__xludf.DUMMYFUNCTION("""COMPUTED_VALUE"""),0)</f>
        <v>0</v>
      </c>
      <c r="E175" s="35">
        <f ca="1">IFERROR(__xludf.DUMMYFUNCTION("""COMPUTED_VALUE"""),-50)</f>
        <v>-50</v>
      </c>
      <c r="F175" s="36" t="str">
        <f ca="1">IFERROR(__xludf.DUMMYFUNCTION("""COMPUTED_VALUE"""),"Baja 5 niveles, de extraordinariamente optimista a nivel neutral de expectativas")</f>
        <v>Baja 5 niveles, de extraordinariamente optimista a nivel neutral de expectativas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36">
      <c r="A176" s="1"/>
      <c r="B176" s="34" t="str">
        <f ca="1">IFERROR(__xludf.DUMMYFUNCTION("""COMPUTED_VALUE"""),"Expectativa Negocio (Futuro)")</f>
        <v>Expectativa Negocio (Futuro)</v>
      </c>
      <c r="C176" s="35">
        <f ca="1">IFERROR(__xludf.DUMMYFUNCTION("""COMPUTED_VALUE"""),50)</f>
        <v>50</v>
      </c>
      <c r="D176" s="35">
        <f ca="1">IFERROR(__xludf.DUMMYFUNCTION("""COMPUTED_VALUE"""),0)</f>
        <v>0</v>
      </c>
      <c r="E176" s="35">
        <f ca="1">IFERROR(__xludf.DUMMYFUNCTION("""COMPUTED_VALUE"""),-50)</f>
        <v>-50</v>
      </c>
      <c r="F176" s="36" t="str">
        <f ca="1">IFERROR(__xludf.DUMMYFUNCTION("""COMPUTED_VALUE"""),"Baja 5 niveles, de extraordinariamente optimista a nivel neutral de expectativas")</f>
        <v>Baja 5 niveles, de extraordinariamente optimista a nivel neutral de expectativas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36">
      <c r="A177" s="1"/>
      <c r="B177" s="34" t="str">
        <f ca="1">IFERROR(__xludf.DUMMYFUNCTION("""COMPUTED_VALUE"""),"Ventas Futuras (Futuro)")</f>
        <v>Ventas Futuras (Futuro)</v>
      </c>
      <c r="C177" s="35">
        <f ca="1">IFERROR(__xludf.DUMMYFUNCTION("""COMPUTED_VALUE"""),50)</f>
        <v>50</v>
      </c>
      <c r="D177" s="35">
        <f ca="1">IFERROR(__xludf.DUMMYFUNCTION("""COMPUTED_VALUE"""),0)</f>
        <v>0</v>
      </c>
      <c r="E177" s="35">
        <f ca="1">IFERROR(__xludf.DUMMYFUNCTION("""COMPUTED_VALUE"""),-50)</f>
        <v>-50</v>
      </c>
      <c r="F177" s="36" t="str">
        <f ca="1">IFERROR(__xludf.DUMMYFUNCTION("""COMPUTED_VALUE"""),"Baja 5 niveles, de extraordinariamente optimista a nivel neutral de expectativas")</f>
        <v>Baja 5 niveles, de extraordinariamente optimista a nivel neutral de expectativas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24">
      <c r="A178" s="1"/>
      <c r="B178" s="34" t="str">
        <f ca="1">IFERROR(__xludf.DUMMYFUNCTION("""COMPUTED_VALUE"""),"Precios Venta Futuros (Futuro)")</f>
        <v>Precios Venta Futuros (Futuro)</v>
      </c>
      <c r="C178" s="35">
        <f ca="1">IFERROR(__xludf.DUMMYFUNCTION("""COMPUTED_VALUE"""),0)</f>
        <v>0</v>
      </c>
      <c r="D178" s="35">
        <f ca="1">IFERROR(__xludf.DUMMYFUNCTION("""COMPUTED_VALUE"""),0)</f>
        <v>0</v>
      </c>
      <c r="E178" s="35">
        <f ca="1">IFERROR(__xludf.DUMMYFUNCTION("""COMPUTED_VALUE"""),0)</f>
        <v>0</v>
      </c>
      <c r="F178" s="36" t="str">
        <f ca="1">IFERROR(__xludf.DUMMYFUNCTION("""COMPUTED_VALUE"""),"Se mantiene en su nivel anterior nivel neutral de expectativas")</f>
        <v>Se mantiene en su nivel anterior nivel neutral de expectativas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24">
      <c r="A179" s="1"/>
      <c r="B179" s="34" t="str">
        <f ca="1">IFERROR(__xludf.DUMMYFUNCTION("""COMPUTED_VALUE"""),"Precios Insumos Futuros (Futuro)")</f>
        <v>Precios Insumos Futuros (Futuro)</v>
      </c>
      <c r="C179" s="35">
        <f ca="1">IFERROR(__xludf.DUMMYFUNCTION("""COMPUTED_VALUE"""),0)</f>
        <v>0</v>
      </c>
      <c r="D179" s="35">
        <f ca="1">IFERROR(__xludf.DUMMYFUNCTION("""COMPUTED_VALUE"""),0)</f>
        <v>0</v>
      </c>
      <c r="E179" s="35">
        <f ca="1">IFERROR(__xludf.DUMMYFUNCTION("""COMPUTED_VALUE"""),0)</f>
        <v>0</v>
      </c>
      <c r="F179" s="36" t="str">
        <f ca="1">IFERROR(__xludf.DUMMYFUNCTION("""COMPUTED_VALUE"""),"Se mantiene en su nivel anterior nivel neutral de expectativas")</f>
        <v>Se mantiene en su nivel anterior nivel neutral de expectativas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36">
      <c r="A180" s="1"/>
      <c r="B180" s="34" t="str">
        <f ca="1">IFERROR(__xludf.DUMMYFUNCTION("""COMPUTED_VALUE"""),"Proyección Empleos Futuros (Futuro)")</f>
        <v>Proyección Empleos Futuros (Futuro)</v>
      </c>
      <c r="C180" s="35">
        <f ca="1">IFERROR(__xludf.DUMMYFUNCTION("""COMPUTED_VALUE"""),0)</f>
        <v>0</v>
      </c>
      <c r="D180" s="35">
        <f ca="1">IFERROR(__xludf.DUMMYFUNCTION("""COMPUTED_VALUE"""),-100)</f>
        <v>-100</v>
      </c>
      <c r="E180" s="35">
        <f ca="1">IFERROR(__xludf.DUMMYFUNCTION("""COMPUTED_VALUE"""),-100)</f>
        <v>-100</v>
      </c>
      <c r="F180" s="36" t="str">
        <f ca="1">IFERROR(__xludf.DUMMYFUNCTION("""COMPUTED_VALUE"""),"Baja 5 niveles, de nivel neutral de expectativas a extraordinariamente pesimista")</f>
        <v>Baja 5 niveles, de nivel neutral de expectativas a extraordinariamente pesimista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24">
      <c r="A181" s="1"/>
      <c r="B181" s="34" t="str">
        <f ca="1">IFERROR(__xludf.DUMMYFUNCTION("""COMPUTED_VALUE"""),"Salarios Futuros (Futuro)")</f>
        <v>Salarios Futuros (Futuro)</v>
      </c>
      <c r="C181" s="35">
        <f ca="1">IFERROR(__xludf.DUMMYFUNCTION("""COMPUTED_VALUE"""),0)</f>
        <v>0</v>
      </c>
      <c r="D181" s="35">
        <f ca="1">IFERROR(__xludf.DUMMYFUNCTION("""COMPUTED_VALUE"""),0)</f>
        <v>0</v>
      </c>
      <c r="E181" s="35">
        <f ca="1">IFERROR(__xludf.DUMMYFUNCTION("""COMPUTED_VALUE"""),0)</f>
        <v>0</v>
      </c>
      <c r="F181" s="36" t="str">
        <f ca="1">IFERROR(__xludf.DUMMYFUNCTION("""COMPUTED_VALUE"""),"Se mantiene en su nivel anterior nivel neutral de expectativas")</f>
        <v>Se mantiene en su nivel anterior nivel neutral de expectativas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36">
      <c r="A182" s="1"/>
      <c r="B182" s="34" t="str">
        <f ca="1">IFERROR(__xludf.DUMMYFUNCTION("""COMPUTED_VALUE"""),"Inversión Futura (Futuro)")</f>
        <v>Inversión Futura (Futuro)</v>
      </c>
      <c r="C182" s="35">
        <f ca="1">IFERROR(__xludf.DUMMYFUNCTION("""COMPUTED_VALUE"""),50)</f>
        <v>50</v>
      </c>
      <c r="D182" s="35">
        <f ca="1">IFERROR(__xludf.DUMMYFUNCTION("""COMPUTED_VALUE"""),0)</f>
        <v>0</v>
      </c>
      <c r="E182" s="35">
        <f ca="1">IFERROR(__xludf.DUMMYFUNCTION("""COMPUTED_VALUE"""),-50)</f>
        <v>-50</v>
      </c>
      <c r="F182" s="36" t="str">
        <f ca="1">IFERROR(__xludf.DUMMYFUNCTION("""COMPUTED_VALUE"""),"Baja 5 niveles, de extraordinariamente optimista a nivel neutral de expectativas")</f>
        <v>Baja 5 niveles, de extraordinariamente optimista a nivel neutral de expectativas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36">
      <c r="A183" s="1"/>
      <c r="B183" s="34" t="str">
        <f ca="1">IFERROR(__xludf.DUMMYFUNCTION("""COMPUTED_VALUE"""),"Situación Financiera Futura (Futuro)")</f>
        <v>Situación Financiera Futura (Futuro)</v>
      </c>
      <c r="C183" s="35">
        <f ca="1">IFERROR(__xludf.DUMMYFUNCTION("""COMPUTED_VALUE"""),50)</f>
        <v>50</v>
      </c>
      <c r="D183" s="35">
        <f ca="1">IFERROR(__xludf.DUMMYFUNCTION("""COMPUTED_VALUE"""),0)</f>
        <v>0</v>
      </c>
      <c r="E183" s="35">
        <f ca="1">IFERROR(__xludf.DUMMYFUNCTION("""COMPUTED_VALUE"""),-50)</f>
        <v>-50</v>
      </c>
      <c r="F183" s="36" t="str">
        <f ca="1">IFERROR(__xludf.DUMMYFUNCTION("""COMPUTED_VALUE"""),"Baja 5 niveles, de extraordinariamente optimista a nivel neutral de expectativas")</f>
        <v>Baja 5 niveles, de extraordinariamente optimista a nivel neutral de expectativas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>
      <c r="A188" s="1"/>
      <c r="B188" s="3" t="str">
        <f ca="1">IFERROR(__xludf.DUMMYFUNCTION("""COMPUTED_VALUE"""),"Variables con mayor nivel de  Confianza en el mes de Junio-23")</f>
        <v>Variables con mayor nivel de  Confianza en el mes de Junio-23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2.75">
      <c r="A189" s="1"/>
      <c r="B189" s="39" t="str">
        <f ca="1">IFERROR(__xludf.DUMMYFUNCTION("""COMPUTED_VALUE"""),"Variables")</f>
        <v>Variables</v>
      </c>
      <c r="C189" s="40" t="str">
        <f ca="1">IFERROR(__xludf.DUMMYFUNCTION("""COMPUTED_VALUE"""),"Junio-23")</f>
        <v>Junio-23</v>
      </c>
      <c r="D189" s="39" t="str">
        <f ca="1">IFERROR(__xludf.DUMMYFUNCTION("""COMPUTED_VALUE"""),"Nivel de Confianza Actual")</f>
        <v>Nivel de Confianza Actual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2.75">
      <c r="A190" s="1"/>
      <c r="B190" s="34" t="str">
        <f ca="1">IFERROR(__xludf.DUMMYFUNCTION("""COMPUTED_VALUE"""),"Evolución Precios (Pasado)")</f>
        <v>Evolución Precios (Pasado)</v>
      </c>
      <c r="C190" s="41">
        <f ca="1">IFERROR(__xludf.DUMMYFUNCTION("""COMPUTED_VALUE"""),-20.8155617154118)</f>
        <v>-20.8155617154118</v>
      </c>
      <c r="D190" s="34" t="str">
        <f ca="1">IFERROR(__xludf.DUMMYFUNCTION("""COMPUTED_VALUE"""),"moderadamente pesimista")</f>
        <v>moderadamente pesimista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2.75">
      <c r="A191" s="1"/>
      <c r="B191" s="34" t="str">
        <f ca="1">IFERROR(__xludf.DUMMYFUNCTION("""COMPUTED_VALUE"""),"Proyección Empleos Futuros (Futuro)")</f>
        <v>Proyección Empleos Futuros (Futuro)</v>
      </c>
      <c r="C191" s="41">
        <f ca="1">IFERROR(__xludf.DUMMYFUNCTION("""COMPUTED_VALUE"""),-21.1046984473128)</f>
        <v>-21.104698447312799</v>
      </c>
      <c r="D191" s="34" t="str">
        <f ca="1">IFERROR(__xludf.DUMMYFUNCTION("""COMPUTED_VALUE"""),"moderadamente pesimista")</f>
        <v>moderadamente pesimista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2.75">
      <c r="A192" s="1"/>
      <c r="B192" s="34" t="str">
        <f ca="1">IFERROR(__xludf.DUMMYFUNCTION("""COMPUTED_VALUE"""),"Precios Venta Futuros (Futuro)")</f>
        <v>Precios Venta Futuros (Futuro)</v>
      </c>
      <c r="C192" s="41">
        <f ca="1">IFERROR(__xludf.DUMMYFUNCTION("""COMPUTED_VALUE"""),-25.5267450391632)</f>
        <v>-25.526745039163199</v>
      </c>
      <c r="D192" s="34" t="str">
        <f ca="1">IFERROR(__xludf.DUMMYFUNCTION("""COMPUTED_VALUE"""),"pesimista")</f>
        <v>pesimista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2.75">
      <c r="A193" s="1"/>
      <c r="B193" s="34" t="str">
        <f ca="1">IFERROR(__xludf.DUMMYFUNCTION("""COMPUTED_VALUE"""),"Salarios Futuros (Futuro)")</f>
        <v>Salarios Futuros (Futuro)</v>
      </c>
      <c r="C193" s="41">
        <f ca="1">IFERROR(__xludf.DUMMYFUNCTION("""COMPUTED_VALUE"""),-25.7846349664249)</f>
        <v>-25.7846349664249</v>
      </c>
      <c r="D193" s="34" t="str">
        <f ca="1">IFERROR(__xludf.DUMMYFUNCTION("""COMPUTED_VALUE"""),"pesimista")</f>
        <v>pesimista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2.75">
      <c r="A194" s="1"/>
      <c r="B194" s="34" t="str">
        <f ca="1">IFERROR(__xludf.DUMMYFUNCTION("""COMPUTED_VALUE"""),"Nivel Inventarios (Presente)")</f>
        <v>Nivel Inventarios (Presente)</v>
      </c>
      <c r="C194" s="41">
        <f ca="1">IFERROR(__xludf.DUMMYFUNCTION("""COMPUTED_VALUE"""),-26.4369133228793)</f>
        <v>-26.436913322879299</v>
      </c>
      <c r="D194" s="34" t="str">
        <f ca="1">IFERROR(__xludf.DUMMYFUNCTION("""COMPUTED_VALUE"""),"pesimista")</f>
        <v>pesimista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4.25">
      <c r="A197" s="1"/>
      <c r="B197" s="38" t="str">
        <f ca="1">IFERROR(__xludf.DUMMYFUNCTION("IMPORTRANGE(""https://docs.google.com/spreadsheets/d/1vX4EJ5xHAydPw-zIZ-xMGfM_lMaz2GvXl_oDjgq6VZs/edit#gid=230007046"",""TotalSectores!Q46:S53"")"),"")</f>
        <v/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>
      <c r="A198" s="1"/>
      <c r="B198" s="3" t="str">
        <f ca="1">IFERROR(__xludf.DUMMYFUNCTION("""COMPUTED_VALUE"""),"Variables con menor nivel de  Confianza en el mes de Junio-23")</f>
        <v>Variables con menor nivel de  Confianza en el mes de Junio-23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2.75">
      <c r="A199" s="1"/>
      <c r="B199" s="39" t="str">
        <f ca="1">IFERROR(__xludf.DUMMYFUNCTION("""COMPUTED_VALUE"""),"Variables")</f>
        <v>Variables</v>
      </c>
      <c r="C199" s="40" t="str">
        <f ca="1">IFERROR(__xludf.DUMMYFUNCTION("""COMPUTED_VALUE"""),"Junio-23")</f>
        <v>Junio-23</v>
      </c>
      <c r="D199" s="39" t="str">
        <f ca="1">IFERROR(__xludf.DUMMYFUNCTION("""COMPUTED_VALUE"""),"Nivel de Confianza Actual")</f>
        <v>Nivel de Confianza Actual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2.75">
      <c r="A200" s="1"/>
      <c r="B200" s="34" t="str">
        <f ca="1">IFERROR(__xludf.DUMMYFUNCTION("""COMPUTED_VALUE"""),"Proyección Economía País (Futuro)")</f>
        <v>Proyección Economía País (Futuro)</v>
      </c>
      <c r="C200" s="41">
        <f ca="1">IFERROR(__xludf.DUMMYFUNCTION("""COMPUTED_VALUE"""),-66.1039184921701)</f>
        <v>-66.103918492170095</v>
      </c>
      <c r="D200" s="34" t="str">
        <f ca="1">IFERROR(__xludf.DUMMYFUNCTION("""COMPUTED_VALUE"""),"extraordinariamente pesimista")</f>
        <v>extraordinariamente pesimista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2.75">
      <c r="A201" s="1"/>
      <c r="B201" s="34" t="str">
        <f ca="1">IFERROR(__xludf.DUMMYFUNCTION("""COMPUTED_VALUE"""),"Situación Negocio (Pasado)")</f>
        <v>Situación Negocio (Pasado)</v>
      </c>
      <c r="C201" s="41">
        <f ca="1">IFERROR(__xludf.DUMMYFUNCTION("""COMPUTED_VALUE"""),-60.3966720949236)</f>
        <v>-60.396672094923602</v>
      </c>
      <c r="D201" s="34" t="str">
        <f ca="1">IFERROR(__xludf.DUMMYFUNCTION("""COMPUTED_VALUE"""),"extraordinariamente pesimista")</f>
        <v>extraordinariamente pesimista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2.75">
      <c r="A202" s="1"/>
      <c r="B202" s="34" t="str">
        <f ca="1">IFERROR(__xludf.DUMMYFUNCTION("""COMPUTED_VALUE"""),"Demanda Nacional (Presente)")</f>
        <v>Demanda Nacional (Presente)</v>
      </c>
      <c r="C202" s="41">
        <f ca="1">IFERROR(__xludf.DUMMYFUNCTION("""COMPUTED_VALUE"""),-56.1867945889288)</f>
        <v>-56.186794588928798</v>
      </c>
      <c r="D202" s="34" t="str">
        <f ca="1">IFERROR(__xludf.DUMMYFUNCTION("""COMPUTED_VALUE"""),"extraordinariamente pesimista")</f>
        <v>extraordinariamente pesimista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2.75">
      <c r="A203" s="1"/>
      <c r="B203" s="34" t="str">
        <f ca="1">IFERROR(__xludf.DUMMYFUNCTION("""COMPUTED_VALUE"""),"Situación Negocio Esperada (Pasado)")</f>
        <v>Situación Negocio Esperada (Pasado)</v>
      </c>
      <c r="C203" s="41">
        <f ca="1">IFERROR(__xludf.DUMMYFUNCTION("""COMPUTED_VALUE"""),-51.4450763652269)</f>
        <v>-51.445076365226903</v>
      </c>
      <c r="D203" s="34" t="str">
        <f ca="1">IFERROR(__xludf.DUMMYFUNCTION("""COMPUTED_VALUE"""),"extraordinariamente pesimista")</f>
        <v>extraordinariamente pesimista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2.75">
      <c r="A204" s="1"/>
      <c r="B204" s="34" t="str">
        <f ca="1">IFERROR(__xludf.DUMMYFUNCTION("""COMPUTED_VALUE"""),"Evolución Ventas (Pasado)")</f>
        <v>Evolución Ventas (Pasado)</v>
      </c>
      <c r="C204" s="41">
        <f ca="1">IFERROR(__xludf.DUMMYFUNCTION("""COMPUTED_VALUE"""),-49.0159233844003)</f>
        <v>-49.015923384400303</v>
      </c>
      <c r="D204" s="34" t="str">
        <f ca="1">IFERROR(__xludf.DUMMYFUNCTION("""COMPUTED_VALUE"""),"extraordinariamente pesimista")</f>
        <v>extraordinariamente pesimista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2.75">
      <c r="A207" s="1"/>
      <c r="B207" s="1" t="str">
        <f ca="1">IFERROR(__xludf.DUMMYFUNCTION("IMPORTRANGE(""https://docs.google.com/spreadsheets/d/1vX4EJ5xHAydPw-zIZ-xMGfM_lMaz2GvXl_oDjgq6VZs/edit#gid=230007046"",""TotalSectores!H16:I24"")"),"")</f>
        <v/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>
      <c r="A208" s="1"/>
      <c r="B208" s="3" t="str">
        <f ca="1">IFERROR(__xludf.DUMMYFUNCTION("""COMPUTED_VALUE"""),"Variaciones más altas ")</f>
        <v xml:space="preserve">Variaciones más altas 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2.75">
      <c r="A209" s="1"/>
      <c r="B209" s="39" t="str">
        <f ca="1">IFERROR(__xludf.DUMMYFUNCTION("""COMPUTED_VALUE"""),"Variables")</f>
        <v>Variables</v>
      </c>
      <c r="C209" s="40" t="str">
        <f ca="1">IFERROR(__xludf.DUMMYFUNCTION("""COMPUTED_VALUE"""),"Δ Mayo-2023 / Junio-2023")</f>
        <v>Δ Mayo-2023 / Junio-2023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2.75">
      <c r="A210" s="1"/>
      <c r="B210" s="34" t="str">
        <f ca="1">IFERROR(__xludf.DUMMYFUNCTION("""COMPUTED_VALUE"""),"Evolución Ventas (Pasado)")</f>
        <v>Evolución Ventas (Pasado)</v>
      </c>
      <c r="C210" s="41">
        <f ca="1">IFERROR(__xludf.DUMMYFUNCTION("""COMPUTED_VALUE"""),3.64919587964647)</f>
        <v>3.6491958796464701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2.75">
      <c r="A211" s="1"/>
      <c r="B211" s="34" t="str">
        <f ca="1">IFERROR(__xludf.DUMMYFUNCTION("""COMPUTED_VALUE"""),"Salarios Futuros (Futuro)")</f>
        <v>Salarios Futuros (Futuro)</v>
      </c>
      <c r="C211" s="41">
        <f ca="1">IFERROR(__xludf.DUMMYFUNCTION("""COMPUTED_VALUE"""),-0.070386038781244)</f>
        <v>-7.0386038781243998E-2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2.75">
      <c r="A212" s="1"/>
      <c r="B212" s="34" t="str">
        <f ca="1">IFERROR(__xludf.DUMMYFUNCTION("""COMPUTED_VALUE"""),"Precios Insumos Futuros (Futuro)")</f>
        <v>Precios Insumos Futuros (Futuro)</v>
      </c>
      <c r="C212" s="41">
        <f ca="1">IFERROR(__xludf.DUMMYFUNCTION("""COMPUTED_VALUE"""),-4.92479123947337)</f>
        <v>-4.9247912394733699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2.75">
      <c r="A213" s="1"/>
      <c r="B213" s="34" t="str">
        <f ca="1">IFERROR(__xludf.DUMMYFUNCTION("""COMPUTED_VALUE"""),"Proyección Empleos Futuros (Futuro)")</f>
        <v>Proyección Empleos Futuros (Futuro)</v>
      </c>
      <c r="C213" s="41">
        <f ca="1">IFERROR(__xludf.DUMMYFUNCTION("""COMPUTED_VALUE"""),-7.81986622784547)</f>
        <v>-7.8198662278454698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2.75">
      <c r="A214" s="1"/>
      <c r="B214" s="34" t="str">
        <f ca="1">IFERROR(__xludf.DUMMYFUNCTION("""COMPUTED_VALUE"""),"Situación Sector (Futuro)")</f>
        <v>Situación Sector (Futuro)</v>
      </c>
      <c r="C214" s="41">
        <f ca="1">IFERROR(__xludf.DUMMYFUNCTION("""COMPUTED_VALUE"""),-16.1899694431737)</f>
        <v>-16.189969443173698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2.75">
      <c r="A217" s="1"/>
      <c r="B217" s="1" t="str">
        <f ca="1">IFERROR(__xludf.DUMMYFUNCTION("IMPORTRANGE(""https://docs.google.com/spreadsheets/d/1vX4EJ5xHAydPw-zIZ-xMGfM_lMaz2GvXl_oDjgq6VZs/edit#gid=230007046"",""TotalSectores!H7:I14"")"),"")</f>
        <v/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>
      <c r="A218" s="1"/>
      <c r="B218" s="3" t="str">
        <f ca="1">IFERROR(__xludf.DUMMYFUNCTION("""COMPUTED_VALUE"""),"Variaciones más bajas")</f>
        <v>Variaciones más bajas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2.75">
      <c r="A219" s="1"/>
      <c r="B219" s="39" t="str">
        <f ca="1">IFERROR(__xludf.DUMMYFUNCTION("""COMPUTED_VALUE"""),"Variables")</f>
        <v>Variables</v>
      </c>
      <c r="C219" s="40" t="str">
        <f ca="1">IFERROR(__xludf.DUMMYFUNCTION("""COMPUTED_VALUE"""),"Δ Mayo-2023 / Junio-2023")</f>
        <v>Δ Mayo-2023 / Junio-2023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2.75">
      <c r="A220" s="1"/>
      <c r="B220" s="34" t="str">
        <f ca="1">IFERROR(__xludf.DUMMYFUNCTION("""COMPUTED_VALUE"""),"Proyección Economía País (Futuro)")</f>
        <v>Proyección Economía País (Futuro)</v>
      </c>
      <c r="C220" s="41">
        <f ca="1">IFERROR(__xludf.DUMMYFUNCTION("""COMPUTED_VALUE"""),-40.331607461741)</f>
        <v>-40.331607461741001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2.75">
      <c r="A221" s="1"/>
      <c r="B221" s="34" t="str">
        <f ca="1">IFERROR(__xludf.DUMMYFUNCTION("""COMPUTED_VALUE"""),"Demanda Nacional (Presente)")</f>
        <v>Demanda Nacional (Presente)</v>
      </c>
      <c r="C221" s="41">
        <f ca="1">IFERROR(__xludf.DUMMYFUNCTION("""COMPUTED_VALUE"""),-35.8108685095792)</f>
        <v>-35.810868509579201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2.75">
      <c r="A222" s="1"/>
      <c r="B222" s="34" t="str">
        <f ca="1">IFERROR(__xludf.DUMMYFUNCTION("""COMPUTED_VALUE"""),"Inversión Futura (Futuro)")</f>
        <v>Inversión Futura (Futuro)</v>
      </c>
      <c r="C222" s="41">
        <f ca="1">IFERROR(__xludf.DUMMYFUNCTION("""COMPUTED_VALUE"""),-35.7994605916813)</f>
        <v>-35.799460591681303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2.75">
      <c r="A223" s="1"/>
      <c r="B223" s="34" t="str">
        <f ca="1">IFERROR(__xludf.DUMMYFUNCTION("""COMPUTED_VALUE"""),"Situación Negocio (Pasado)")</f>
        <v>Situación Negocio (Pasado)</v>
      </c>
      <c r="C223" s="41">
        <f ca="1">IFERROR(__xludf.DUMMYFUNCTION("""COMPUTED_VALUE"""),-32.9170999405437)</f>
        <v>-32.9170999405437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2.75">
      <c r="A224" s="1"/>
      <c r="B224" s="34" t="str">
        <f ca="1">IFERROR(__xludf.DUMMYFUNCTION("""COMPUTED_VALUE"""),"Evolución Precios (Pasado)")</f>
        <v>Evolución Precios (Pasado)</v>
      </c>
      <c r="C224" s="41">
        <f ca="1">IFERROR(__xludf.DUMMYFUNCTION("""COMPUTED_VALUE"""),-32.6369543057852)</f>
        <v>-32.636954305785203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</sheetData>
  <conditionalFormatting sqref="D14 J14:K14">
    <cfRule type="notContainsBlanks" dxfId="10" priority="1">
      <formula>LEN(TRIM(D14))&gt;0</formula>
    </cfRule>
  </conditionalFormatting>
  <conditionalFormatting sqref="C4:D10 C16:E21 C29:E35 C43:E60 C66:E68 C75:E92 C99:E115 C122:E138 C145:E162 C168:E183">
    <cfRule type="colorScale" priority="2">
      <colorScale>
        <cfvo type="formula" val="-45"/>
        <cfvo type="formula" val="0"/>
        <cfvo type="formula" val="45"/>
        <color rgb="FFEB9790"/>
        <color rgb="FFFFFFFF"/>
        <color rgb="FF64C093"/>
      </colorScale>
    </cfRule>
  </conditionalFormatting>
  <conditionalFormatting sqref="F22">
    <cfRule type="containsText" dxfId="9" priority="4" operator="containsText" text="Se mantiene">
      <formula>NOT(ISERROR(SEARCH(("Se mantiene"),(F22))))</formula>
    </cfRule>
  </conditionalFormatting>
  <conditionalFormatting sqref="F22">
    <cfRule type="containsText" dxfId="8" priority="5" operator="containsText" text="Baja">
      <formula>NOT(ISERROR(SEARCH(("Baja"),(F22))))</formula>
    </cfRule>
  </conditionalFormatting>
  <conditionalFormatting sqref="F16:F21 F29:F35 F43:F60 F66:F68 F75:F92 F99:F115 F122:F138 F145:F162 F168:F183">
    <cfRule type="containsText" dxfId="7" priority="6" operator="containsText" text="Baja">
      <formula>NOT(ISERROR(SEARCH(("Baja"),(F16))))</formula>
    </cfRule>
  </conditionalFormatting>
  <conditionalFormatting sqref="F16:F21 F29:F35 F43:F60 F66:F68 F75:F92 F99:F115 F122:F138 F145:F162 F168:F183">
    <cfRule type="containsText" dxfId="6" priority="7" operator="containsText" text="Se mantiene">
      <formula>NOT(ISERROR(SEARCH(("Se mantiene"),(F16))))</formula>
    </cfRule>
  </conditionalFormatting>
  <conditionalFormatting sqref="F16:F21 F29:F35 F43:F60 F66:F68 F75:F92 F99:F115 F122:F138 F145:F162 F168:F183">
    <cfRule type="containsText" dxfId="5" priority="8" operator="containsText" text="Sube">
      <formula>NOT(ISERROR(SEARCH(("Sube"),(F16))))</formula>
    </cfRule>
  </conditionalFormatting>
  <conditionalFormatting sqref="D10">
    <cfRule type="containsText" dxfId="4" priority="9" operator="containsText" text="pesimista">
      <formula>NOT(ISERROR(SEARCH(("pesimista"),(D10))))</formula>
    </cfRule>
  </conditionalFormatting>
  <conditionalFormatting sqref="D10">
    <cfRule type="containsText" dxfId="3" priority="10" operator="containsText" text="optimista">
      <formula>NOT(ISERROR(SEARCH(("optimista"),(D10))))</formula>
    </cfRule>
  </conditionalFormatting>
  <conditionalFormatting sqref="D10">
    <cfRule type="notContainsBlanks" dxfId="2" priority="11">
      <formula>LEN(TRIM(D10))&gt;0</formula>
    </cfRule>
  </conditionalFormatting>
  <conditionalFormatting sqref="D4:D9">
    <cfRule type="containsText" dxfId="1" priority="12" operator="containsText" text="pesimista">
      <formula>NOT(ISERROR(SEARCH(("pesimista"),(D4))))</formula>
    </cfRule>
  </conditionalFormatting>
  <conditionalFormatting sqref="D4:D9">
    <cfRule type="containsText" dxfId="0" priority="13" operator="containsText" text="optimista">
      <formula>NOT(ISERROR(SEARCH(("optimista"),(D4))))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2023-07-10T07:12:29Z</dcterms:created>
  <dcterms:modified xsi:type="dcterms:W3CDTF">2023-07-10T07:13:44Z</dcterms:modified>
</cp:coreProperties>
</file>