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760" yWindow="0" windowWidth="33820" windowHeight="16720" tabRatio="500"/>
  </bookViews>
  <sheets>
    <sheet name="résultats" sheetId="1" r:id="rId1"/>
    <sheet name="résumé" sheetId="2" r:id="rId2"/>
    <sheet name="graphiqu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1" l="1"/>
  <c r="H40" i="1"/>
  <c r="H34" i="1"/>
  <c r="H28" i="1"/>
  <c r="G80" i="3"/>
  <c r="H180" i="1"/>
  <c r="I180" i="1"/>
  <c r="O180" i="1"/>
  <c r="J180" i="1"/>
  <c r="R180" i="1"/>
  <c r="P180" i="1"/>
  <c r="S180" i="1"/>
  <c r="T180" i="1"/>
  <c r="V180" i="1"/>
  <c r="W180" i="1"/>
  <c r="Q180" i="1"/>
  <c r="N180" i="1"/>
  <c r="M180" i="1"/>
  <c r="L180" i="1"/>
  <c r="R83" i="3"/>
  <c r="Q186" i="1"/>
  <c r="P86" i="3"/>
  <c r="K209" i="1"/>
  <c r="H209" i="1"/>
  <c r="I209" i="1"/>
  <c r="O209" i="1"/>
  <c r="J209" i="1"/>
  <c r="R209" i="1"/>
  <c r="P209" i="1"/>
  <c r="S209" i="1"/>
  <c r="T209" i="1"/>
  <c r="V209" i="1"/>
  <c r="W209" i="1"/>
  <c r="Q209" i="1"/>
  <c r="N209" i="1"/>
  <c r="M209" i="1"/>
  <c r="L209" i="1"/>
  <c r="H172" i="1"/>
  <c r="I172" i="1"/>
  <c r="O172" i="1"/>
  <c r="J172" i="1"/>
  <c r="R172" i="1"/>
  <c r="P172" i="1"/>
  <c r="S172" i="1"/>
  <c r="T172" i="1"/>
  <c r="V172" i="1"/>
  <c r="W172" i="1"/>
  <c r="Q172" i="1"/>
  <c r="N172" i="1"/>
  <c r="M172" i="1"/>
  <c r="L172" i="1"/>
  <c r="K172" i="1"/>
  <c r="H197" i="1"/>
  <c r="I197" i="1"/>
  <c r="O197" i="1"/>
  <c r="J197" i="1"/>
  <c r="R197" i="1"/>
  <c r="P197" i="1"/>
  <c r="S197" i="1"/>
  <c r="T197" i="1"/>
  <c r="V197" i="1"/>
  <c r="W197" i="1"/>
  <c r="Q197" i="1"/>
  <c r="N197" i="1"/>
  <c r="M197" i="1"/>
  <c r="L197" i="1"/>
  <c r="K197" i="1"/>
  <c r="H185" i="1"/>
  <c r="I185" i="1"/>
  <c r="O185" i="1"/>
  <c r="P185" i="1"/>
  <c r="J185" i="1"/>
  <c r="Q185" i="1"/>
  <c r="R185" i="1"/>
  <c r="S185" i="1"/>
  <c r="T185" i="1"/>
  <c r="V185" i="1"/>
  <c r="W185" i="1"/>
  <c r="N185" i="1"/>
  <c r="M185" i="1"/>
  <c r="L185" i="1"/>
  <c r="K185" i="1"/>
  <c r="H161" i="1"/>
  <c r="I161" i="1"/>
  <c r="O161" i="1"/>
  <c r="J161" i="1"/>
  <c r="R161" i="1"/>
  <c r="P161" i="1"/>
  <c r="S161" i="1"/>
  <c r="T161" i="1"/>
  <c r="V161" i="1"/>
  <c r="W161" i="1"/>
  <c r="Q161" i="1"/>
  <c r="N161" i="1"/>
  <c r="M161" i="1"/>
  <c r="L161" i="1"/>
  <c r="K161" i="1"/>
  <c r="O149" i="1"/>
  <c r="R149" i="1"/>
  <c r="P149" i="1"/>
  <c r="S149" i="1"/>
  <c r="T149" i="1"/>
  <c r="V149" i="1"/>
  <c r="W149" i="1"/>
  <c r="Q149" i="1"/>
  <c r="N149" i="1"/>
  <c r="M149" i="1"/>
  <c r="L149" i="1"/>
  <c r="J149" i="1"/>
  <c r="I149" i="1"/>
  <c r="H149" i="1"/>
  <c r="K149" i="1"/>
  <c r="J224" i="1"/>
  <c r="I76" i="1"/>
  <c r="H76" i="1"/>
  <c r="O76" i="1"/>
  <c r="J76" i="1"/>
  <c r="R76" i="1"/>
  <c r="P76" i="1"/>
  <c r="S76" i="1"/>
  <c r="T76" i="1"/>
  <c r="V76" i="1"/>
  <c r="W76" i="1"/>
  <c r="Q76" i="1"/>
  <c r="N76" i="1"/>
  <c r="M76" i="1"/>
  <c r="L76" i="1"/>
  <c r="T74" i="3"/>
  <c r="S74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75" i="3"/>
  <c r="K133" i="1"/>
  <c r="H88" i="1"/>
  <c r="I88" i="1"/>
  <c r="O88" i="1"/>
  <c r="J88" i="1"/>
  <c r="R88" i="1"/>
  <c r="P88" i="1"/>
  <c r="S88" i="1"/>
  <c r="T88" i="1"/>
  <c r="V88" i="1"/>
  <c r="W88" i="1"/>
  <c r="Q88" i="1"/>
  <c r="N88" i="1"/>
  <c r="M88" i="1"/>
  <c r="L88" i="1"/>
  <c r="K88" i="1"/>
  <c r="L133" i="1"/>
  <c r="H133" i="1"/>
  <c r="I133" i="1"/>
  <c r="O133" i="1"/>
  <c r="J133" i="1"/>
  <c r="R133" i="1"/>
  <c r="P133" i="1"/>
  <c r="S133" i="1"/>
  <c r="T133" i="1"/>
  <c r="V133" i="1"/>
  <c r="W133" i="1"/>
  <c r="Q133" i="1"/>
  <c r="N133" i="1"/>
  <c r="M133" i="1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H111" i="1"/>
  <c r="I111" i="1"/>
  <c r="O111" i="1"/>
  <c r="J111" i="1"/>
  <c r="R111" i="1"/>
  <c r="P111" i="1"/>
  <c r="S111" i="1"/>
  <c r="T111" i="1"/>
  <c r="V111" i="1"/>
  <c r="W111" i="1"/>
  <c r="Q111" i="1"/>
  <c r="N111" i="1"/>
  <c r="M111" i="1"/>
  <c r="L111" i="1"/>
  <c r="H122" i="1"/>
  <c r="I122" i="1"/>
  <c r="O122" i="1"/>
  <c r="J122" i="1"/>
  <c r="R122" i="1"/>
  <c r="P122" i="1"/>
  <c r="S122" i="1"/>
  <c r="T122" i="1"/>
  <c r="V122" i="1"/>
  <c r="W122" i="1"/>
  <c r="Q122" i="1"/>
  <c r="N122" i="1"/>
  <c r="M122" i="1"/>
  <c r="L122" i="1"/>
  <c r="K122" i="1"/>
  <c r="T75" i="3"/>
  <c r="O99" i="1"/>
  <c r="R99" i="1"/>
  <c r="P99" i="1"/>
  <c r="S99" i="1"/>
  <c r="T99" i="1"/>
  <c r="V99" i="1"/>
  <c r="W99" i="1"/>
  <c r="Q99" i="1"/>
  <c r="N99" i="1"/>
  <c r="M99" i="1"/>
  <c r="L99" i="1"/>
  <c r="J99" i="1"/>
  <c r="I99" i="1"/>
  <c r="H99" i="1"/>
  <c r="K111" i="1"/>
  <c r="O87" i="1"/>
  <c r="R87" i="1"/>
  <c r="P87" i="1"/>
  <c r="S87" i="1"/>
  <c r="T87" i="1"/>
  <c r="V87" i="1"/>
  <c r="W87" i="1"/>
  <c r="Q87" i="1"/>
  <c r="N87" i="1"/>
  <c r="M87" i="1"/>
  <c r="L87" i="1"/>
  <c r="J87" i="1"/>
  <c r="I87" i="1"/>
  <c r="H87" i="1"/>
  <c r="K99" i="1"/>
  <c r="K76" i="1"/>
  <c r="H186" i="1"/>
  <c r="I186" i="1"/>
  <c r="O186" i="1"/>
  <c r="J186" i="1"/>
  <c r="R186" i="1"/>
  <c r="P186" i="1"/>
  <c r="S186" i="1"/>
  <c r="T186" i="1"/>
  <c r="V186" i="1"/>
  <c r="W186" i="1"/>
  <c r="N186" i="1"/>
  <c r="M186" i="1"/>
  <c r="L186" i="1"/>
  <c r="H173" i="1"/>
  <c r="I173" i="1"/>
  <c r="O173" i="1"/>
  <c r="J173" i="1"/>
  <c r="R173" i="1"/>
  <c r="P173" i="1"/>
  <c r="S173" i="1"/>
  <c r="T173" i="1"/>
  <c r="V173" i="1"/>
  <c r="W173" i="1"/>
  <c r="Q173" i="1"/>
  <c r="N173" i="1"/>
  <c r="M173" i="1"/>
  <c r="L173" i="1"/>
  <c r="K162" i="1"/>
  <c r="H162" i="1"/>
  <c r="I162" i="1"/>
  <c r="O162" i="1"/>
  <c r="J162" i="1"/>
  <c r="R162" i="1"/>
  <c r="P162" i="1"/>
  <c r="S162" i="1"/>
  <c r="T162" i="1"/>
  <c r="V162" i="1"/>
  <c r="W162" i="1"/>
  <c r="Q162" i="1"/>
  <c r="N162" i="1"/>
  <c r="M162" i="1"/>
  <c r="L162" i="1"/>
  <c r="K150" i="1"/>
  <c r="H150" i="1"/>
  <c r="I150" i="1"/>
  <c r="O150" i="1"/>
  <c r="J150" i="1"/>
  <c r="R150" i="1"/>
  <c r="P150" i="1"/>
  <c r="S150" i="1"/>
  <c r="T150" i="1"/>
  <c r="V150" i="1"/>
  <c r="W150" i="1"/>
  <c r="Q150" i="1"/>
  <c r="N150" i="1"/>
  <c r="M150" i="1"/>
  <c r="L150" i="1"/>
  <c r="K210" i="1"/>
  <c r="H210" i="1"/>
  <c r="I210" i="1"/>
  <c r="O210" i="1"/>
  <c r="J210" i="1"/>
  <c r="R210" i="1"/>
  <c r="P210" i="1"/>
  <c r="S210" i="1"/>
  <c r="T210" i="1"/>
  <c r="V210" i="1"/>
  <c r="W210" i="1"/>
  <c r="Q210" i="1"/>
  <c r="N210" i="1"/>
  <c r="M210" i="1"/>
  <c r="L210" i="1"/>
  <c r="K198" i="1"/>
  <c r="H198" i="1"/>
  <c r="I198" i="1"/>
  <c r="O198" i="1"/>
  <c r="J198" i="1"/>
  <c r="R198" i="1"/>
  <c r="P198" i="1"/>
  <c r="S198" i="1"/>
  <c r="T198" i="1"/>
  <c r="V198" i="1"/>
  <c r="W198" i="1"/>
  <c r="Q198" i="1"/>
  <c r="N198" i="1"/>
  <c r="M198" i="1"/>
  <c r="L198" i="1"/>
  <c r="L134" i="1"/>
  <c r="J134" i="1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K123" i="1"/>
  <c r="H134" i="1"/>
  <c r="I134" i="1"/>
  <c r="O134" i="1"/>
  <c r="R134" i="1"/>
  <c r="P134" i="1"/>
  <c r="S134" i="1"/>
  <c r="T134" i="1"/>
  <c r="V134" i="1"/>
  <c r="W134" i="1"/>
  <c r="Q134" i="1"/>
  <c r="N134" i="1"/>
  <c r="M134" i="1"/>
  <c r="H123" i="1"/>
  <c r="I123" i="1"/>
  <c r="O123" i="1"/>
  <c r="J123" i="1"/>
  <c r="R123" i="1"/>
  <c r="P123" i="1"/>
  <c r="S123" i="1"/>
  <c r="T123" i="1"/>
  <c r="V123" i="1"/>
  <c r="W123" i="1"/>
  <c r="Q123" i="1"/>
  <c r="N123" i="1"/>
  <c r="M123" i="1"/>
  <c r="L123" i="1"/>
  <c r="H112" i="1"/>
  <c r="I112" i="1"/>
  <c r="O112" i="1"/>
  <c r="J112" i="1"/>
  <c r="R112" i="1"/>
  <c r="P112" i="1"/>
  <c r="S112" i="1"/>
  <c r="T112" i="1"/>
  <c r="V112" i="1"/>
  <c r="W112" i="1"/>
  <c r="Q112" i="1"/>
  <c r="N112" i="1"/>
  <c r="M112" i="1"/>
  <c r="L112" i="1"/>
  <c r="H100" i="1"/>
  <c r="I100" i="1"/>
  <c r="O100" i="1"/>
  <c r="J100" i="1"/>
  <c r="R100" i="1"/>
  <c r="P100" i="1"/>
  <c r="S100" i="1"/>
  <c r="T100" i="1"/>
  <c r="V100" i="1"/>
  <c r="W100" i="1"/>
  <c r="Q100" i="1"/>
  <c r="N100" i="1"/>
  <c r="M100" i="1"/>
  <c r="L100" i="1"/>
  <c r="H89" i="1"/>
  <c r="I89" i="1"/>
  <c r="O89" i="1"/>
  <c r="J89" i="1"/>
  <c r="R89" i="1"/>
  <c r="P89" i="1"/>
  <c r="S89" i="1"/>
  <c r="T89" i="1"/>
  <c r="V89" i="1"/>
  <c r="W89" i="1"/>
  <c r="Q89" i="1"/>
  <c r="N89" i="1"/>
  <c r="M89" i="1"/>
  <c r="L89" i="1"/>
  <c r="K112" i="1"/>
  <c r="K89" i="1"/>
  <c r="K100" i="1"/>
  <c r="Q75" i="3"/>
  <c r="H77" i="1"/>
  <c r="I77" i="1"/>
  <c r="O77" i="1"/>
  <c r="J77" i="1"/>
  <c r="R77" i="1"/>
  <c r="P77" i="1"/>
  <c r="S77" i="1"/>
  <c r="T77" i="1"/>
  <c r="V77" i="1"/>
  <c r="W77" i="1"/>
  <c r="Q77" i="1"/>
  <c r="N77" i="1"/>
  <c r="M77" i="1"/>
  <c r="L77" i="1"/>
  <c r="K199" i="1"/>
  <c r="K211" i="1"/>
  <c r="K187" i="1"/>
  <c r="P77" i="3"/>
  <c r="K174" i="1"/>
  <c r="K163" i="1"/>
  <c r="H211" i="1"/>
  <c r="I211" i="1"/>
  <c r="O211" i="1"/>
  <c r="J211" i="1"/>
  <c r="R211" i="1"/>
  <c r="P211" i="1"/>
  <c r="S211" i="1"/>
  <c r="T211" i="1"/>
  <c r="V211" i="1"/>
  <c r="W211" i="1"/>
  <c r="Q211" i="1"/>
  <c r="N211" i="1"/>
  <c r="M211" i="1"/>
  <c r="L211" i="1"/>
  <c r="H199" i="1"/>
  <c r="I199" i="1"/>
  <c r="O199" i="1"/>
  <c r="J199" i="1"/>
  <c r="R199" i="1"/>
  <c r="P199" i="1"/>
  <c r="S199" i="1"/>
  <c r="T199" i="1"/>
  <c r="V199" i="1"/>
  <c r="W199" i="1"/>
  <c r="Q199" i="1"/>
  <c r="N199" i="1"/>
  <c r="M199" i="1"/>
  <c r="L199" i="1"/>
  <c r="H187" i="1"/>
  <c r="I187" i="1"/>
  <c r="O187" i="1"/>
  <c r="J187" i="1"/>
  <c r="R187" i="1"/>
  <c r="P187" i="1"/>
  <c r="S187" i="1"/>
  <c r="T187" i="1"/>
  <c r="V187" i="1"/>
  <c r="W187" i="1"/>
  <c r="Q187" i="1"/>
  <c r="N187" i="1"/>
  <c r="M187" i="1"/>
  <c r="L187" i="1"/>
  <c r="H174" i="1"/>
  <c r="I174" i="1"/>
  <c r="O174" i="1"/>
  <c r="J174" i="1"/>
  <c r="R174" i="1"/>
  <c r="P174" i="1"/>
  <c r="S174" i="1"/>
  <c r="T174" i="1"/>
  <c r="V174" i="1"/>
  <c r="W174" i="1"/>
  <c r="Q174" i="1"/>
  <c r="N174" i="1"/>
  <c r="M174" i="1"/>
  <c r="L174" i="1"/>
  <c r="H163" i="1"/>
  <c r="I163" i="1"/>
  <c r="O163" i="1"/>
  <c r="J163" i="1"/>
  <c r="R163" i="1"/>
  <c r="P163" i="1"/>
  <c r="S163" i="1"/>
  <c r="T163" i="1"/>
  <c r="V163" i="1"/>
  <c r="W163" i="1"/>
  <c r="Q163" i="1"/>
  <c r="N163" i="1"/>
  <c r="M163" i="1"/>
  <c r="L163" i="1"/>
  <c r="H151" i="1"/>
  <c r="I151" i="1"/>
  <c r="O151" i="1"/>
  <c r="J151" i="1"/>
  <c r="R151" i="1"/>
  <c r="P151" i="1"/>
  <c r="S151" i="1"/>
  <c r="T151" i="1"/>
  <c r="V151" i="1"/>
  <c r="W151" i="1"/>
  <c r="Q151" i="1"/>
  <c r="N151" i="1"/>
  <c r="M151" i="1"/>
  <c r="L151" i="1"/>
  <c r="K135" i="1"/>
  <c r="H135" i="1"/>
  <c r="I135" i="1"/>
  <c r="O135" i="1"/>
  <c r="J135" i="1"/>
  <c r="R135" i="1"/>
  <c r="P135" i="1"/>
  <c r="S135" i="1"/>
  <c r="T135" i="1"/>
  <c r="V135" i="1"/>
  <c r="W135" i="1"/>
  <c r="Q135" i="1"/>
  <c r="N135" i="1"/>
  <c r="M135" i="1"/>
  <c r="L135" i="1"/>
  <c r="H113" i="1"/>
  <c r="K124" i="1"/>
  <c r="H124" i="1"/>
  <c r="I124" i="1"/>
  <c r="O124" i="1"/>
  <c r="J124" i="1"/>
  <c r="R124" i="1"/>
  <c r="P124" i="1"/>
  <c r="S124" i="1"/>
  <c r="T124" i="1"/>
  <c r="V124" i="1"/>
  <c r="W124" i="1"/>
  <c r="Q124" i="1"/>
  <c r="N124" i="1"/>
  <c r="M124" i="1"/>
  <c r="L124" i="1"/>
  <c r="I113" i="1"/>
  <c r="O113" i="1"/>
  <c r="J113" i="1"/>
  <c r="R113" i="1"/>
  <c r="P113" i="1"/>
  <c r="S113" i="1"/>
  <c r="T113" i="1"/>
  <c r="V113" i="1"/>
  <c r="W113" i="1"/>
  <c r="Q113" i="1"/>
  <c r="N113" i="1"/>
  <c r="M113" i="1"/>
  <c r="L113" i="1"/>
  <c r="K113" i="1"/>
  <c r="K101" i="1"/>
  <c r="H101" i="1"/>
  <c r="I101" i="1"/>
  <c r="O101" i="1"/>
  <c r="J101" i="1"/>
  <c r="R101" i="1"/>
  <c r="P101" i="1"/>
  <c r="S101" i="1"/>
  <c r="T101" i="1"/>
  <c r="V101" i="1"/>
  <c r="W101" i="1"/>
  <c r="Q101" i="1"/>
  <c r="N101" i="1"/>
  <c r="M101" i="1"/>
  <c r="L101" i="1"/>
  <c r="H90" i="1"/>
  <c r="I90" i="1"/>
  <c r="O90" i="1"/>
  <c r="J90" i="1"/>
  <c r="R90" i="1"/>
  <c r="P90" i="1"/>
  <c r="S90" i="1"/>
  <c r="T90" i="1"/>
  <c r="V90" i="1"/>
  <c r="W90" i="1"/>
  <c r="Q90" i="1"/>
  <c r="N90" i="1"/>
  <c r="M90" i="1"/>
  <c r="L90" i="1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73" i="3"/>
  <c r="H78" i="1"/>
  <c r="I78" i="1"/>
  <c r="O78" i="1"/>
  <c r="J78" i="1"/>
  <c r="R78" i="1"/>
  <c r="P78" i="1"/>
  <c r="S78" i="1"/>
  <c r="T78" i="1"/>
  <c r="V78" i="1"/>
  <c r="W78" i="1"/>
  <c r="Q78" i="1"/>
  <c r="N78" i="1"/>
  <c r="M78" i="1"/>
  <c r="L78" i="1"/>
  <c r="H136" i="1"/>
  <c r="I136" i="1"/>
  <c r="O136" i="1"/>
  <c r="J136" i="1"/>
  <c r="R136" i="1"/>
  <c r="P136" i="1"/>
  <c r="S136" i="1"/>
  <c r="T136" i="1"/>
  <c r="V136" i="1"/>
  <c r="W136" i="1"/>
  <c r="Q136" i="1"/>
  <c r="N136" i="1"/>
  <c r="M136" i="1"/>
  <c r="L136" i="1"/>
  <c r="H125" i="1"/>
  <c r="I125" i="1"/>
  <c r="O125" i="1"/>
  <c r="J125" i="1"/>
  <c r="R125" i="1"/>
  <c r="P125" i="1"/>
  <c r="S125" i="1"/>
  <c r="T125" i="1"/>
  <c r="V125" i="1"/>
  <c r="W125" i="1"/>
  <c r="Q125" i="1"/>
  <c r="N125" i="1"/>
  <c r="M125" i="1"/>
  <c r="L125" i="1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N73" i="3"/>
  <c r="K114" i="1"/>
  <c r="H114" i="1"/>
  <c r="I114" i="1"/>
  <c r="O114" i="1"/>
  <c r="J114" i="1"/>
  <c r="R114" i="1"/>
  <c r="P114" i="1"/>
  <c r="S114" i="1"/>
  <c r="T114" i="1"/>
  <c r="V114" i="1"/>
  <c r="W114" i="1"/>
  <c r="Q114" i="1"/>
  <c r="N114" i="1"/>
  <c r="M114" i="1"/>
  <c r="L114" i="1"/>
  <c r="H102" i="1"/>
  <c r="I102" i="1"/>
  <c r="O102" i="1"/>
  <c r="J102" i="1"/>
  <c r="R102" i="1"/>
  <c r="P102" i="1"/>
  <c r="S102" i="1"/>
  <c r="T102" i="1"/>
  <c r="V102" i="1"/>
  <c r="W102" i="1"/>
  <c r="Q102" i="1"/>
  <c r="N102" i="1"/>
  <c r="M102" i="1"/>
  <c r="L102" i="1"/>
  <c r="K91" i="1"/>
  <c r="H91" i="1"/>
  <c r="I91" i="1"/>
  <c r="O91" i="1"/>
  <c r="J91" i="1"/>
  <c r="R91" i="1"/>
  <c r="P91" i="1"/>
  <c r="S91" i="1"/>
  <c r="T91" i="1"/>
  <c r="V91" i="1"/>
  <c r="W91" i="1"/>
  <c r="Q91" i="1"/>
  <c r="N91" i="1"/>
  <c r="M91" i="1"/>
  <c r="L91" i="1"/>
  <c r="L73" i="3"/>
  <c r="M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H82" i="3"/>
  <c r="J82" i="3"/>
  <c r="H83" i="3"/>
  <c r="J83" i="3"/>
  <c r="H84" i="3"/>
  <c r="J84" i="3"/>
  <c r="H85" i="3"/>
  <c r="J85" i="3"/>
  <c r="H86" i="3"/>
  <c r="J86" i="3"/>
  <c r="H87" i="3"/>
  <c r="J87" i="3"/>
  <c r="H88" i="3"/>
  <c r="J88" i="3"/>
  <c r="H89" i="3"/>
  <c r="J89" i="3"/>
  <c r="H90" i="3"/>
  <c r="J90" i="3"/>
  <c r="J73" i="3"/>
  <c r="H212" i="1"/>
  <c r="I212" i="1"/>
  <c r="O212" i="1"/>
  <c r="J212" i="1"/>
  <c r="R212" i="1"/>
  <c r="P212" i="1"/>
  <c r="S212" i="1"/>
  <c r="T212" i="1"/>
  <c r="V212" i="1"/>
  <c r="W212" i="1"/>
  <c r="Q212" i="1"/>
  <c r="N212" i="1"/>
  <c r="M212" i="1"/>
  <c r="L212" i="1"/>
  <c r="H175" i="1"/>
  <c r="I175" i="1"/>
  <c r="O175" i="1"/>
  <c r="R175" i="1"/>
  <c r="P175" i="1"/>
  <c r="S175" i="1"/>
  <c r="T175" i="1"/>
  <c r="V175" i="1"/>
  <c r="W175" i="1"/>
  <c r="Q175" i="1"/>
  <c r="N175" i="1"/>
  <c r="M175" i="1"/>
  <c r="L175" i="1"/>
  <c r="K175" i="1"/>
  <c r="J175" i="1"/>
  <c r="K200" i="1"/>
  <c r="H200" i="1"/>
  <c r="I200" i="1"/>
  <c r="O200" i="1"/>
  <c r="J200" i="1"/>
  <c r="R200" i="1"/>
  <c r="P200" i="1"/>
  <c r="S200" i="1"/>
  <c r="T200" i="1"/>
  <c r="V200" i="1"/>
  <c r="W200" i="1"/>
  <c r="Q200" i="1"/>
  <c r="N200" i="1"/>
  <c r="M200" i="1"/>
  <c r="L200" i="1"/>
  <c r="K188" i="1"/>
  <c r="H188" i="1"/>
  <c r="I188" i="1"/>
  <c r="O188" i="1"/>
  <c r="J188" i="1"/>
  <c r="R188" i="1"/>
  <c r="P188" i="1"/>
  <c r="S188" i="1"/>
  <c r="T188" i="1"/>
  <c r="V188" i="1"/>
  <c r="W188" i="1"/>
  <c r="Q188" i="1"/>
  <c r="N188" i="1"/>
  <c r="M188" i="1"/>
  <c r="L188" i="1"/>
  <c r="K164" i="1"/>
  <c r="H164" i="1"/>
  <c r="I164" i="1"/>
  <c r="O164" i="1"/>
  <c r="J164" i="1"/>
  <c r="R164" i="1"/>
  <c r="P164" i="1"/>
  <c r="S164" i="1"/>
  <c r="T164" i="1"/>
  <c r="V164" i="1"/>
  <c r="W164" i="1"/>
  <c r="Q164" i="1"/>
  <c r="N164" i="1"/>
  <c r="M164" i="1"/>
  <c r="L164" i="1"/>
  <c r="K152" i="1"/>
  <c r="H152" i="1"/>
  <c r="I152" i="1"/>
  <c r="O152" i="1"/>
  <c r="J152" i="1"/>
  <c r="R152" i="1"/>
  <c r="P152" i="1"/>
  <c r="S152" i="1"/>
  <c r="T152" i="1"/>
  <c r="V152" i="1"/>
  <c r="W152" i="1"/>
  <c r="Q152" i="1"/>
  <c r="N152" i="1"/>
  <c r="M152" i="1"/>
  <c r="L152" i="1"/>
  <c r="H79" i="1"/>
  <c r="I79" i="1"/>
  <c r="O79" i="1"/>
  <c r="J79" i="1"/>
  <c r="R79" i="1"/>
  <c r="P79" i="1"/>
  <c r="S79" i="1"/>
  <c r="T79" i="1"/>
  <c r="V79" i="1"/>
  <c r="W79" i="1"/>
  <c r="Q79" i="1"/>
  <c r="N79" i="1"/>
  <c r="M79" i="1"/>
  <c r="L79" i="1"/>
  <c r="K79" i="1"/>
  <c r="K213" i="1"/>
  <c r="H213" i="1"/>
  <c r="I213" i="1"/>
  <c r="O213" i="1"/>
  <c r="J213" i="1"/>
  <c r="R213" i="1"/>
  <c r="P213" i="1"/>
  <c r="S213" i="1"/>
  <c r="T213" i="1"/>
  <c r="V213" i="1"/>
  <c r="W213" i="1"/>
  <c r="Q213" i="1"/>
  <c r="N213" i="1"/>
  <c r="M213" i="1"/>
  <c r="L213" i="1"/>
  <c r="K189" i="1"/>
  <c r="H189" i="1"/>
  <c r="I189" i="1"/>
  <c r="O189" i="1"/>
  <c r="J189" i="1"/>
  <c r="R189" i="1"/>
  <c r="P189" i="1"/>
  <c r="S189" i="1"/>
  <c r="T189" i="1"/>
  <c r="V189" i="1"/>
  <c r="W189" i="1"/>
  <c r="Q189" i="1"/>
  <c r="N189" i="1"/>
  <c r="M189" i="1"/>
  <c r="L189" i="1"/>
  <c r="K137" i="1"/>
  <c r="H137" i="1"/>
  <c r="I137" i="1"/>
  <c r="O137" i="1"/>
  <c r="J137" i="1"/>
  <c r="R137" i="1"/>
  <c r="P137" i="1"/>
  <c r="S137" i="1"/>
  <c r="T137" i="1"/>
  <c r="V137" i="1"/>
  <c r="W137" i="1"/>
  <c r="Q137" i="1"/>
  <c r="N137" i="1"/>
  <c r="M137" i="1"/>
  <c r="L137" i="1"/>
  <c r="H126" i="1"/>
  <c r="I126" i="1"/>
  <c r="O126" i="1"/>
  <c r="J126" i="1"/>
  <c r="R126" i="1"/>
  <c r="P126" i="1"/>
  <c r="S126" i="1"/>
  <c r="T126" i="1"/>
  <c r="V126" i="1"/>
  <c r="W126" i="1"/>
  <c r="Q126" i="1"/>
  <c r="N126" i="1"/>
  <c r="M126" i="1"/>
  <c r="L126" i="1"/>
  <c r="K126" i="1"/>
  <c r="K176" i="1"/>
  <c r="H176" i="1"/>
  <c r="I176" i="1"/>
  <c r="O176" i="1"/>
  <c r="J176" i="1"/>
  <c r="R176" i="1"/>
  <c r="P176" i="1"/>
  <c r="S176" i="1"/>
  <c r="T176" i="1"/>
  <c r="V176" i="1"/>
  <c r="W176" i="1"/>
  <c r="Q176" i="1"/>
  <c r="N176" i="1"/>
  <c r="M176" i="1"/>
  <c r="L176" i="1"/>
  <c r="K201" i="1"/>
  <c r="H201" i="1"/>
  <c r="I201" i="1"/>
  <c r="O201" i="1"/>
  <c r="J201" i="1"/>
  <c r="R201" i="1"/>
  <c r="P201" i="1"/>
  <c r="S201" i="1"/>
  <c r="T201" i="1"/>
  <c r="V201" i="1"/>
  <c r="W201" i="1"/>
  <c r="Q201" i="1"/>
  <c r="N201" i="1"/>
  <c r="M201" i="1"/>
  <c r="L201" i="1"/>
  <c r="K165" i="1"/>
  <c r="H165" i="1"/>
  <c r="I165" i="1"/>
  <c r="O165" i="1"/>
  <c r="J165" i="1"/>
  <c r="R165" i="1"/>
  <c r="P165" i="1"/>
  <c r="S165" i="1"/>
  <c r="T165" i="1"/>
  <c r="V165" i="1"/>
  <c r="W165" i="1"/>
  <c r="Q165" i="1"/>
  <c r="N165" i="1"/>
  <c r="M165" i="1"/>
  <c r="L165" i="1"/>
  <c r="K153" i="1"/>
  <c r="H153" i="1"/>
  <c r="I153" i="1"/>
  <c r="O153" i="1"/>
  <c r="J153" i="1"/>
  <c r="R153" i="1"/>
  <c r="P153" i="1"/>
  <c r="S153" i="1"/>
  <c r="T153" i="1"/>
  <c r="V153" i="1"/>
  <c r="W153" i="1"/>
  <c r="Q153" i="1"/>
  <c r="N153" i="1"/>
  <c r="M153" i="1"/>
  <c r="L153" i="1"/>
  <c r="O202" i="1"/>
  <c r="R202" i="1"/>
  <c r="P202" i="1"/>
  <c r="S202" i="1"/>
  <c r="T202" i="1"/>
  <c r="V202" i="1"/>
  <c r="W202" i="1"/>
  <c r="Q202" i="1"/>
  <c r="N202" i="1"/>
  <c r="M202" i="1"/>
  <c r="L202" i="1"/>
  <c r="J202" i="1"/>
  <c r="I202" i="1"/>
  <c r="H202" i="1"/>
  <c r="J115" i="1"/>
  <c r="H115" i="1"/>
  <c r="I115" i="1"/>
  <c r="O115" i="1"/>
  <c r="R115" i="1"/>
  <c r="P115" i="1"/>
  <c r="S115" i="1"/>
  <c r="T115" i="1"/>
  <c r="V115" i="1"/>
  <c r="W115" i="1"/>
  <c r="Q115" i="1"/>
  <c r="N115" i="1"/>
  <c r="M115" i="1"/>
  <c r="L115" i="1"/>
  <c r="K115" i="1"/>
  <c r="K103" i="1"/>
  <c r="H103" i="1"/>
  <c r="I103" i="1"/>
  <c r="O103" i="1"/>
  <c r="J103" i="1"/>
  <c r="R103" i="1"/>
  <c r="P103" i="1"/>
  <c r="S103" i="1"/>
  <c r="T103" i="1"/>
  <c r="V103" i="1"/>
  <c r="W103" i="1"/>
  <c r="Q103" i="1"/>
  <c r="N103" i="1"/>
  <c r="M103" i="1"/>
  <c r="L103" i="1"/>
  <c r="K92" i="1"/>
  <c r="J92" i="1"/>
  <c r="J190" i="1"/>
  <c r="J214" i="1"/>
  <c r="J192" i="1"/>
  <c r="J177" i="1"/>
  <c r="J179" i="1"/>
  <c r="J181" i="1"/>
  <c r="J221" i="1"/>
  <c r="J216" i="1"/>
  <c r="J218" i="1"/>
  <c r="H92" i="1"/>
  <c r="I92" i="1"/>
  <c r="O92" i="1"/>
  <c r="R92" i="1"/>
  <c r="P92" i="1"/>
  <c r="S92" i="1"/>
  <c r="T92" i="1"/>
  <c r="V92" i="1"/>
  <c r="W92" i="1"/>
  <c r="Q92" i="1"/>
  <c r="N92" i="1"/>
  <c r="M92" i="1"/>
  <c r="L92" i="1"/>
  <c r="H80" i="1"/>
  <c r="I80" i="1"/>
  <c r="O80" i="1"/>
  <c r="J80" i="1"/>
  <c r="R80" i="1"/>
  <c r="P80" i="1"/>
  <c r="S80" i="1"/>
  <c r="T80" i="1"/>
  <c r="V80" i="1"/>
  <c r="W80" i="1"/>
  <c r="Q80" i="1"/>
  <c r="N80" i="1"/>
  <c r="M80" i="1"/>
  <c r="L80" i="1"/>
  <c r="K80" i="1"/>
  <c r="O127" i="1"/>
  <c r="R127" i="1"/>
  <c r="P127" i="1"/>
  <c r="S127" i="1"/>
  <c r="T127" i="1"/>
  <c r="V127" i="1"/>
  <c r="W127" i="1"/>
  <c r="Q127" i="1"/>
  <c r="N127" i="1"/>
  <c r="M127" i="1"/>
  <c r="L127" i="1"/>
  <c r="J127" i="1"/>
  <c r="I127" i="1"/>
  <c r="H127" i="1"/>
  <c r="K214" i="1"/>
  <c r="H214" i="1"/>
  <c r="I214" i="1"/>
  <c r="O214" i="1"/>
  <c r="R214" i="1"/>
  <c r="P214" i="1"/>
  <c r="S214" i="1"/>
  <c r="T214" i="1"/>
  <c r="V214" i="1"/>
  <c r="W214" i="1"/>
  <c r="Q214" i="1"/>
  <c r="N214" i="1"/>
  <c r="M214" i="1"/>
  <c r="L214" i="1"/>
  <c r="H190" i="1"/>
  <c r="I190" i="1"/>
  <c r="O190" i="1"/>
  <c r="R190" i="1"/>
  <c r="P190" i="1"/>
  <c r="S190" i="1"/>
  <c r="T190" i="1"/>
  <c r="V190" i="1"/>
  <c r="W190" i="1"/>
  <c r="Q190" i="1"/>
  <c r="N190" i="1"/>
  <c r="M190" i="1"/>
  <c r="L190" i="1"/>
  <c r="K190" i="1"/>
  <c r="H138" i="1"/>
  <c r="I138" i="1"/>
  <c r="O138" i="1"/>
  <c r="J138" i="1"/>
  <c r="R138" i="1"/>
  <c r="P138" i="1"/>
  <c r="S138" i="1"/>
  <c r="T138" i="1"/>
  <c r="V138" i="1"/>
  <c r="W138" i="1"/>
  <c r="Q138" i="1"/>
  <c r="N138" i="1"/>
  <c r="M138" i="1"/>
  <c r="L138" i="1"/>
  <c r="K138" i="1"/>
  <c r="K116" i="1"/>
  <c r="H116" i="1"/>
  <c r="I116" i="1"/>
  <c r="O116" i="1"/>
  <c r="J116" i="1"/>
  <c r="R116" i="1"/>
  <c r="P116" i="1"/>
  <c r="S116" i="1"/>
  <c r="T116" i="1"/>
  <c r="V116" i="1"/>
  <c r="W116" i="1"/>
  <c r="Q116" i="1"/>
  <c r="N116" i="1"/>
  <c r="M116" i="1"/>
  <c r="L116" i="1"/>
  <c r="O93" i="1"/>
  <c r="R93" i="1"/>
  <c r="P93" i="1"/>
  <c r="S93" i="1"/>
  <c r="T93" i="1"/>
  <c r="V93" i="1"/>
  <c r="W93" i="1"/>
  <c r="Q93" i="1"/>
  <c r="N93" i="1"/>
  <c r="M93" i="1"/>
  <c r="L93" i="1"/>
  <c r="J93" i="1"/>
  <c r="I93" i="1"/>
  <c r="H93" i="1"/>
  <c r="K93" i="1"/>
  <c r="O81" i="1"/>
  <c r="R81" i="1"/>
  <c r="P81" i="1"/>
  <c r="S81" i="1"/>
  <c r="T81" i="1"/>
  <c r="V81" i="1"/>
  <c r="W81" i="1"/>
  <c r="Q81" i="1"/>
  <c r="N81" i="1"/>
  <c r="M81" i="1"/>
  <c r="L81" i="1"/>
  <c r="J81" i="1"/>
  <c r="I81" i="1"/>
  <c r="H81" i="1"/>
  <c r="K81" i="1"/>
  <c r="O104" i="1"/>
  <c r="R104" i="1"/>
  <c r="P104" i="1"/>
  <c r="S104" i="1"/>
  <c r="T104" i="1"/>
  <c r="V104" i="1"/>
  <c r="W104" i="1"/>
  <c r="Q104" i="1"/>
  <c r="N104" i="1"/>
  <c r="M104" i="1"/>
  <c r="L104" i="1"/>
  <c r="J104" i="1"/>
  <c r="I104" i="1"/>
  <c r="H104" i="1"/>
  <c r="K104" i="1"/>
  <c r="K177" i="1"/>
  <c r="H177" i="1"/>
  <c r="I177" i="1"/>
  <c r="O177" i="1"/>
  <c r="R177" i="1"/>
  <c r="P177" i="1"/>
  <c r="S177" i="1"/>
  <c r="T177" i="1"/>
  <c r="V177" i="1"/>
  <c r="W177" i="1"/>
  <c r="Q177" i="1"/>
  <c r="N177" i="1"/>
  <c r="M177" i="1"/>
  <c r="L177" i="1"/>
  <c r="K166" i="1"/>
  <c r="O166" i="1"/>
  <c r="R166" i="1"/>
  <c r="P166" i="1"/>
  <c r="S166" i="1"/>
  <c r="T166" i="1"/>
  <c r="V166" i="1"/>
  <c r="W166" i="1"/>
  <c r="Q166" i="1"/>
  <c r="N166" i="1"/>
  <c r="M166" i="1"/>
  <c r="L166" i="1"/>
  <c r="J166" i="1"/>
  <c r="I166" i="1"/>
  <c r="H166" i="1"/>
  <c r="K154" i="1"/>
  <c r="O154" i="1"/>
  <c r="R154" i="1"/>
  <c r="P154" i="1"/>
  <c r="S154" i="1"/>
  <c r="T154" i="1"/>
  <c r="V154" i="1"/>
  <c r="W154" i="1"/>
  <c r="Q154" i="1"/>
  <c r="N154" i="1"/>
  <c r="M154" i="1"/>
  <c r="L154" i="1"/>
  <c r="J154" i="1"/>
  <c r="I154" i="1"/>
  <c r="H154" i="1"/>
  <c r="H192" i="1"/>
  <c r="I192" i="1"/>
  <c r="O192" i="1"/>
  <c r="R192" i="1"/>
  <c r="P192" i="1"/>
  <c r="S192" i="1"/>
  <c r="T192" i="1"/>
  <c r="V192" i="1"/>
  <c r="W192" i="1"/>
  <c r="Q192" i="1"/>
  <c r="N192" i="1"/>
  <c r="M192" i="1"/>
  <c r="L192" i="1"/>
  <c r="K192" i="1"/>
  <c r="W204" i="1"/>
  <c r="O204" i="1"/>
  <c r="R204" i="1"/>
  <c r="P204" i="1"/>
  <c r="S204" i="1"/>
  <c r="T204" i="1"/>
  <c r="V204" i="1"/>
  <c r="Q204" i="1"/>
  <c r="N204" i="1"/>
  <c r="M204" i="1"/>
  <c r="L204" i="1"/>
  <c r="K204" i="1"/>
  <c r="J204" i="1"/>
  <c r="I204" i="1"/>
  <c r="H204" i="1"/>
  <c r="H216" i="1"/>
  <c r="I216" i="1"/>
  <c r="O216" i="1"/>
  <c r="R216" i="1"/>
  <c r="P216" i="1"/>
  <c r="S216" i="1"/>
  <c r="T216" i="1"/>
  <c r="V216" i="1"/>
  <c r="W216" i="1"/>
  <c r="Q216" i="1"/>
  <c r="N216" i="1"/>
  <c r="M216" i="1"/>
  <c r="L216" i="1"/>
  <c r="J156" i="1"/>
  <c r="H156" i="1"/>
  <c r="I156" i="1"/>
  <c r="O156" i="1"/>
  <c r="R156" i="1"/>
  <c r="P156" i="1"/>
  <c r="S156" i="1"/>
  <c r="T156" i="1"/>
  <c r="V156" i="1"/>
  <c r="W156" i="1"/>
  <c r="L156" i="1"/>
  <c r="M156" i="1"/>
  <c r="N156" i="1"/>
  <c r="K156" i="1"/>
  <c r="Q156" i="1"/>
  <c r="K181" i="1"/>
  <c r="H181" i="1"/>
  <c r="I181" i="1"/>
  <c r="O181" i="1"/>
  <c r="R181" i="1"/>
  <c r="P181" i="1"/>
  <c r="S181" i="1"/>
  <c r="T181" i="1"/>
  <c r="V181" i="1"/>
  <c r="W181" i="1"/>
  <c r="Q181" i="1"/>
  <c r="N181" i="1"/>
  <c r="M181" i="1"/>
  <c r="L181" i="1"/>
  <c r="H179" i="1"/>
  <c r="I179" i="1"/>
  <c r="O179" i="1"/>
  <c r="R179" i="1"/>
  <c r="P179" i="1"/>
  <c r="S179" i="1"/>
  <c r="T179" i="1"/>
  <c r="V179" i="1"/>
  <c r="W179" i="1"/>
  <c r="Q179" i="1"/>
  <c r="N179" i="1"/>
  <c r="M179" i="1"/>
  <c r="L179" i="1"/>
  <c r="H167" i="1"/>
  <c r="I167" i="1"/>
  <c r="O167" i="1"/>
  <c r="P167" i="1"/>
  <c r="J167" i="1"/>
  <c r="Q167" i="1"/>
  <c r="H168" i="1"/>
  <c r="I168" i="1"/>
  <c r="O168" i="1"/>
  <c r="P168" i="1"/>
  <c r="K168" i="1"/>
  <c r="J168" i="1"/>
  <c r="Q168" i="1"/>
  <c r="R168" i="1"/>
  <c r="S168" i="1"/>
  <c r="T168" i="1"/>
  <c r="V168" i="1"/>
  <c r="W168" i="1"/>
  <c r="N168" i="1"/>
  <c r="M168" i="1"/>
  <c r="L168" i="1"/>
  <c r="C73" i="3"/>
  <c r="E73" i="3"/>
  <c r="F73" i="3"/>
  <c r="H73" i="3"/>
  <c r="C74" i="3"/>
  <c r="E74" i="3"/>
  <c r="F74" i="3"/>
  <c r="C75" i="3"/>
  <c r="E75" i="3"/>
  <c r="F75" i="3"/>
  <c r="C76" i="3"/>
  <c r="E76" i="3"/>
  <c r="F76" i="3"/>
  <c r="C77" i="3"/>
  <c r="E77" i="3"/>
  <c r="F77" i="3"/>
  <c r="C78" i="3"/>
  <c r="E78" i="3"/>
  <c r="F78" i="3"/>
  <c r="C79" i="3"/>
  <c r="E79" i="3"/>
  <c r="F79" i="3"/>
  <c r="C80" i="3"/>
  <c r="E80" i="3"/>
  <c r="F80" i="3"/>
  <c r="C81" i="3"/>
  <c r="E81" i="3"/>
  <c r="F81" i="3"/>
  <c r="C82" i="3"/>
  <c r="E82" i="3"/>
  <c r="F82" i="3"/>
  <c r="C83" i="3"/>
  <c r="E83" i="3"/>
  <c r="F83" i="3"/>
  <c r="C84" i="3"/>
  <c r="E84" i="3"/>
  <c r="F84" i="3"/>
  <c r="C85" i="3"/>
  <c r="E85" i="3"/>
  <c r="F85" i="3"/>
  <c r="C86" i="3"/>
  <c r="E86" i="3"/>
  <c r="F86" i="3"/>
  <c r="C87" i="3"/>
  <c r="E87" i="3"/>
  <c r="F87" i="3"/>
  <c r="C88" i="3"/>
  <c r="E88" i="3"/>
  <c r="F88" i="3"/>
  <c r="C89" i="3"/>
  <c r="E89" i="3"/>
  <c r="F89" i="3"/>
  <c r="C90" i="3"/>
  <c r="E90" i="3"/>
  <c r="F90" i="3"/>
  <c r="H129" i="1"/>
  <c r="H140" i="1"/>
  <c r="I140" i="1"/>
  <c r="O140" i="1"/>
  <c r="J140" i="1"/>
  <c r="R140" i="1"/>
  <c r="P140" i="1"/>
  <c r="S140" i="1"/>
  <c r="T140" i="1"/>
  <c r="V140" i="1"/>
  <c r="W140" i="1"/>
  <c r="Q140" i="1"/>
  <c r="N140" i="1"/>
  <c r="M140" i="1"/>
  <c r="L140" i="1"/>
  <c r="H118" i="1"/>
  <c r="I118" i="1"/>
  <c r="O118" i="1"/>
  <c r="J118" i="1"/>
  <c r="R118" i="1"/>
  <c r="P118" i="1"/>
  <c r="S118" i="1"/>
  <c r="T118" i="1"/>
  <c r="V118" i="1"/>
  <c r="W118" i="1"/>
  <c r="Q118" i="1"/>
  <c r="N118" i="1"/>
  <c r="M118" i="1"/>
  <c r="L118" i="1"/>
  <c r="I129" i="1"/>
  <c r="O129" i="1"/>
  <c r="J129" i="1"/>
  <c r="R129" i="1"/>
  <c r="P129" i="1"/>
  <c r="S129" i="1"/>
  <c r="T129" i="1"/>
  <c r="V129" i="1"/>
  <c r="W129" i="1"/>
  <c r="Q129" i="1"/>
  <c r="N129" i="1"/>
  <c r="M129" i="1"/>
  <c r="L129" i="1"/>
  <c r="H106" i="1"/>
  <c r="I106" i="1"/>
  <c r="O106" i="1"/>
  <c r="J106" i="1"/>
  <c r="R106" i="1"/>
  <c r="P106" i="1"/>
  <c r="S106" i="1"/>
  <c r="T106" i="1"/>
  <c r="V106" i="1"/>
  <c r="W106" i="1"/>
  <c r="Q106" i="1"/>
  <c r="N106" i="1"/>
  <c r="M106" i="1"/>
  <c r="L106" i="1"/>
  <c r="J95" i="1"/>
  <c r="H95" i="1"/>
  <c r="I95" i="1"/>
  <c r="O95" i="1"/>
  <c r="R95" i="1"/>
  <c r="P95" i="1"/>
  <c r="S95" i="1"/>
  <c r="T95" i="1"/>
  <c r="V95" i="1"/>
  <c r="W95" i="1"/>
  <c r="Q95" i="1"/>
  <c r="N95" i="1"/>
  <c r="M95" i="1"/>
  <c r="L95" i="1"/>
  <c r="H83" i="1"/>
  <c r="I83" i="1"/>
  <c r="O83" i="1"/>
  <c r="J83" i="1"/>
  <c r="R83" i="1"/>
  <c r="P83" i="1"/>
  <c r="S83" i="1"/>
  <c r="T83" i="1"/>
  <c r="V83" i="1"/>
  <c r="W83" i="1"/>
  <c r="Q83" i="1"/>
  <c r="N83" i="1"/>
  <c r="M83" i="1"/>
  <c r="L83" i="1"/>
  <c r="K194" i="1"/>
  <c r="K218" i="1"/>
  <c r="J194" i="1"/>
  <c r="H194" i="1"/>
  <c r="I194" i="1"/>
  <c r="O194" i="1"/>
  <c r="R194" i="1"/>
  <c r="P194" i="1"/>
  <c r="S194" i="1"/>
  <c r="T194" i="1"/>
  <c r="V194" i="1"/>
  <c r="W194" i="1"/>
  <c r="Q194" i="1"/>
  <c r="N194" i="1"/>
  <c r="M194" i="1"/>
  <c r="L194" i="1"/>
  <c r="J206" i="1"/>
  <c r="H206" i="1"/>
  <c r="I206" i="1"/>
  <c r="O206" i="1"/>
  <c r="R206" i="1"/>
  <c r="P206" i="1"/>
  <c r="S206" i="1"/>
  <c r="T206" i="1"/>
  <c r="V206" i="1"/>
  <c r="W206" i="1"/>
  <c r="Q206" i="1"/>
  <c r="N206" i="1"/>
  <c r="M206" i="1"/>
  <c r="L206" i="1"/>
  <c r="H218" i="1"/>
  <c r="I218" i="1"/>
  <c r="O218" i="1"/>
  <c r="R218" i="1"/>
  <c r="P218" i="1"/>
  <c r="S218" i="1"/>
  <c r="T218" i="1"/>
  <c r="V218" i="1"/>
  <c r="W218" i="1"/>
  <c r="Q218" i="1"/>
  <c r="N218" i="1"/>
  <c r="M218" i="1"/>
  <c r="L218" i="1"/>
  <c r="H142" i="1"/>
  <c r="I142" i="1"/>
  <c r="O142" i="1"/>
  <c r="P142" i="1"/>
  <c r="K142" i="1"/>
  <c r="J142" i="1"/>
  <c r="Q142" i="1"/>
  <c r="J131" i="1"/>
  <c r="J120" i="1"/>
  <c r="H131" i="1"/>
  <c r="I131" i="1"/>
  <c r="O131" i="1"/>
  <c r="P131" i="1"/>
  <c r="K131" i="1"/>
  <c r="Q131" i="1"/>
  <c r="H120" i="1"/>
  <c r="I120" i="1"/>
  <c r="O120" i="1"/>
  <c r="P120" i="1"/>
  <c r="Q120" i="1"/>
  <c r="R142" i="1"/>
  <c r="S142" i="1"/>
  <c r="T142" i="1"/>
  <c r="V142" i="1"/>
  <c r="W142" i="1"/>
  <c r="N142" i="1"/>
  <c r="M142" i="1"/>
  <c r="L142" i="1"/>
  <c r="R131" i="1"/>
  <c r="S131" i="1"/>
  <c r="T131" i="1"/>
  <c r="V131" i="1"/>
  <c r="W131" i="1"/>
  <c r="N131" i="1"/>
  <c r="M131" i="1"/>
  <c r="L131" i="1"/>
  <c r="K158" i="1"/>
  <c r="J158" i="1"/>
  <c r="H158" i="1"/>
  <c r="I158" i="1"/>
  <c r="O158" i="1"/>
  <c r="R158" i="1"/>
  <c r="P158" i="1"/>
  <c r="S158" i="1"/>
  <c r="T158" i="1"/>
  <c r="V158" i="1"/>
  <c r="W158" i="1"/>
  <c r="Q158" i="1"/>
  <c r="N158" i="1"/>
  <c r="M158" i="1"/>
  <c r="L158" i="1"/>
  <c r="K170" i="1"/>
  <c r="J170" i="1"/>
  <c r="H170" i="1"/>
  <c r="I170" i="1"/>
  <c r="O170" i="1"/>
  <c r="R170" i="1"/>
  <c r="P170" i="1"/>
  <c r="S170" i="1"/>
  <c r="T170" i="1"/>
  <c r="V170" i="1"/>
  <c r="W170" i="1"/>
  <c r="Q170" i="1"/>
  <c r="N170" i="1"/>
  <c r="M170" i="1"/>
  <c r="L170" i="1"/>
  <c r="K183" i="1"/>
  <c r="R120" i="1"/>
  <c r="S120" i="1"/>
  <c r="T120" i="1"/>
  <c r="V120" i="1"/>
  <c r="W120" i="1"/>
  <c r="N120" i="1"/>
  <c r="M120" i="1"/>
  <c r="L120" i="1"/>
  <c r="K108" i="1"/>
  <c r="J108" i="1"/>
  <c r="H108" i="1"/>
  <c r="I108" i="1"/>
  <c r="O108" i="1"/>
  <c r="R108" i="1"/>
  <c r="P108" i="1"/>
  <c r="S108" i="1"/>
  <c r="T108" i="1"/>
  <c r="V108" i="1"/>
  <c r="W108" i="1"/>
  <c r="Q108" i="1"/>
  <c r="N108" i="1"/>
  <c r="M108" i="1"/>
  <c r="L108" i="1"/>
  <c r="J183" i="1"/>
  <c r="H183" i="1"/>
  <c r="I183" i="1"/>
  <c r="O183" i="1"/>
  <c r="R183" i="1"/>
  <c r="P183" i="1"/>
  <c r="S183" i="1"/>
  <c r="T183" i="1"/>
  <c r="V183" i="1"/>
  <c r="W183" i="1"/>
  <c r="Q183" i="1"/>
  <c r="N183" i="1"/>
  <c r="M183" i="1"/>
  <c r="L183" i="1"/>
  <c r="H139" i="1"/>
  <c r="I139" i="1"/>
  <c r="O139" i="1"/>
  <c r="P139" i="1"/>
  <c r="K139" i="1"/>
  <c r="J139" i="1"/>
  <c r="Q139" i="1"/>
  <c r="H128" i="1"/>
  <c r="I128" i="1"/>
  <c r="O128" i="1"/>
  <c r="P128" i="1"/>
  <c r="K128" i="1"/>
  <c r="J128" i="1"/>
  <c r="Q128" i="1"/>
  <c r="H85" i="1"/>
  <c r="I85" i="1"/>
  <c r="O85" i="1"/>
  <c r="J85" i="1"/>
  <c r="R85" i="1"/>
  <c r="P85" i="1"/>
  <c r="S85" i="1"/>
  <c r="T85" i="1"/>
  <c r="V85" i="1"/>
  <c r="W85" i="1"/>
  <c r="K85" i="1"/>
  <c r="Q85" i="1"/>
  <c r="N85" i="1"/>
  <c r="M85" i="1"/>
  <c r="L85" i="1"/>
  <c r="H97" i="1"/>
  <c r="I97" i="1"/>
  <c r="O97" i="1"/>
  <c r="J97" i="1"/>
  <c r="R97" i="1"/>
  <c r="P97" i="1"/>
  <c r="S97" i="1"/>
  <c r="T97" i="1"/>
  <c r="V97" i="1"/>
  <c r="W97" i="1"/>
  <c r="K97" i="1"/>
  <c r="Q97" i="1"/>
  <c r="N97" i="1"/>
  <c r="M97" i="1"/>
  <c r="L97" i="1"/>
  <c r="H117" i="1"/>
  <c r="I117" i="1"/>
  <c r="O117" i="1"/>
  <c r="P117" i="1"/>
  <c r="K117" i="1"/>
  <c r="J117" i="1"/>
  <c r="Q117" i="1"/>
  <c r="I47" i="1"/>
  <c r="I34" i="1"/>
  <c r="I3" i="1"/>
  <c r="I40" i="1"/>
  <c r="I28" i="1"/>
  <c r="I105" i="1"/>
  <c r="H105" i="1"/>
  <c r="P105" i="1"/>
  <c r="J105" i="1"/>
  <c r="S105" i="1"/>
  <c r="O105" i="1"/>
  <c r="R105" i="1"/>
  <c r="K105" i="1"/>
  <c r="Q105" i="1"/>
  <c r="H94" i="1"/>
  <c r="I94" i="1"/>
  <c r="O94" i="1"/>
  <c r="P94" i="1"/>
  <c r="J94" i="1"/>
  <c r="Q94" i="1"/>
  <c r="H82" i="1"/>
  <c r="I82" i="1"/>
  <c r="O82" i="1"/>
  <c r="P82" i="1"/>
  <c r="K82" i="1"/>
  <c r="J82" i="1"/>
  <c r="Q82" i="1"/>
  <c r="H43" i="1"/>
  <c r="I43" i="1"/>
  <c r="O43" i="1"/>
  <c r="P43" i="1"/>
  <c r="J43" i="1"/>
  <c r="Q43" i="1"/>
  <c r="H42" i="1"/>
  <c r="I42" i="1"/>
  <c r="O42" i="1"/>
  <c r="P42" i="1"/>
  <c r="K42" i="1"/>
  <c r="J42" i="1"/>
  <c r="K65" i="1"/>
  <c r="Q42" i="1"/>
  <c r="H41" i="1"/>
  <c r="I41" i="1"/>
  <c r="O41" i="1"/>
  <c r="P41" i="1"/>
  <c r="K41" i="1"/>
  <c r="J41" i="1"/>
  <c r="Q41" i="1"/>
  <c r="K57" i="1"/>
  <c r="J66" i="1"/>
  <c r="H66" i="1"/>
  <c r="I66" i="1"/>
  <c r="O66" i="1"/>
  <c r="R66" i="1"/>
  <c r="P66" i="1"/>
  <c r="S66" i="1"/>
  <c r="T66" i="1"/>
  <c r="V66" i="1"/>
  <c r="W66" i="1"/>
  <c r="J57" i="1"/>
  <c r="H57" i="1"/>
  <c r="I57" i="1"/>
  <c r="O57" i="1"/>
  <c r="R57" i="1"/>
  <c r="P57" i="1"/>
  <c r="S57" i="1"/>
  <c r="T57" i="1"/>
  <c r="V57" i="1"/>
  <c r="W57" i="1"/>
  <c r="Q57" i="1"/>
  <c r="N57" i="1"/>
  <c r="M57" i="1"/>
  <c r="L57" i="1"/>
  <c r="J49" i="1"/>
  <c r="H49" i="1"/>
  <c r="I49" i="1"/>
  <c r="O49" i="1"/>
  <c r="R49" i="1"/>
  <c r="P49" i="1"/>
  <c r="S49" i="1"/>
  <c r="T49" i="1"/>
  <c r="V49" i="1"/>
  <c r="W49" i="1"/>
  <c r="K49" i="1"/>
  <c r="Q49" i="1"/>
  <c r="N49" i="1"/>
  <c r="M49" i="1"/>
  <c r="L49" i="1"/>
  <c r="K66" i="1"/>
  <c r="Q66" i="1"/>
  <c r="N66" i="1"/>
  <c r="M66" i="1"/>
  <c r="L66" i="1"/>
  <c r="J65" i="1"/>
  <c r="H65" i="1"/>
  <c r="I65" i="1"/>
  <c r="O65" i="1"/>
  <c r="R65" i="1"/>
  <c r="P65" i="1"/>
  <c r="S65" i="1"/>
  <c r="T65" i="1"/>
  <c r="V65" i="1"/>
  <c r="W65" i="1"/>
  <c r="Q65" i="1"/>
  <c r="N65" i="1"/>
  <c r="M65" i="1"/>
  <c r="L65" i="1"/>
  <c r="R42" i="1"/>
  <c r="S42" i="1"/>
  <c r="T42" i="1"/>
  <c r="V42" i="1"/>
  <c r="W42" i="1"/>
  <c r="L42" i="1"/>
  <c r="M42" i="1"/>
  <c r="N42" i="1"/>
  <c r="J44" i="1"/>
  <c r="J48" i="1"/>
  <c r="R41" i="1"/>
  <c r="S41" i="1"/>
  <c r="T41" i="1"/>
  <c r="V41" i="1"/>
  <c r="W41" i="1"/>
  <c r="N41" i="1"/>
  <c r="M41" i="1"/>
  <c r="L41" i="1"/>
  <c r="I48" i="1"/>
  <c r="H48" i="1"/>
  <c r="O48" i="1"/>
  <c r="R48" i="1"/>
  <c r="P48" i="1"/>
  <c r="S48" i="1"/>
  <c r="T48" i="1"/>
  <c r="V48" i="1"/>
  <c r="W48" i="1"/>
  <c r="K48" i="1"/>
  <c r="Q48" i="1"/>
  <c r="N48" i="1"/>
  <c r="M48" i="1"/>
  <c r="L48" i="1"/>
  <c r="J51" i="1"/>
  <c r="H51" i="1"/>
  <c r="I51" i="1"/>
  <c r="O51" i="1"/>
  <c r="R51" i="1"/>
  <c r="P51" i="1"/>
  <c r="S51" i="1"/>
  <c r="T51" i="1"/>
  <c r="V51" i="1"/>
  <c r="W51" i="1"/>
  <c r="Q51" i="1"/>
  <c r="N51" i="1"/>
  <c r="M51" i="1"/>
  <c r="L51" i="1"/>
  <c r="H44" i="1"/>
  <c r="I44" i="1"/>
  <c r="O44" i="1"/>
  <c r="R44" i="1"/>
  <c r="P44" i="1"/>
  <c r="S44" i="1"/>
  <c r="T44" i="1"/>
  <c r="V44" i="1"/>
  <c r="W44" i="1"/>
  <c r="L44" i="1"/>
  <c r="M44" i="1"/>
  <c r="N44" i="1"/>
  <c r="Q44" i="1"/>
  <c r="J32" i="1"/>
  <c r="H215" i="1"/>
  <c r="I215" i="1"/>
  <c r="O215" i="1"/>
  <c r="P215" i="1"/>
  <c r="K215" i="1"/>
  <c r="J215" i="1"/>
  <c r="Q215" i="1"/>
  <c r="I64" i="1"/>
  <c r="H203" i="1"/>
  <c r="I203" i="1"/>
  <c r="O203" i="1"/>
  <c r="P203" i="1"/>
  <c r="K203" i="1"/>
  <c r="J203" i="1"/>
  <c r="Q203" i="1"/>
  <c r="H191" i="1"/>
  <c r="I191" i="1"/>
  <c r="O191" i="1"/>
  <c r="P191" i="1"/>
  <c r="K191" i="1"/>
  <c r="J191" i="1"/>
  <c r="Q191" i="1"/>
  <c r="H155" i="1"/>
  <c r="I155" i="1"/>
  <c r="O155" i="1"/>
  <c r="P155" i="1"/>
  <c r="J155" i="1"/>
  <c r="T155" i="1"/>
  <c r="S155" i="1"/>
  <c r="R155" i="1"/>
  <c r="Q155" i="1"/>
  <c r="N155" i="1"/>
  <c r="M155" i="1"/>
  <c r="L155" i="1"/>
  <c r="K56" i="1"/>
  <c r="J56" i="1"/>
  <c r="H56" i="1"/>
  <c r="I56" i="1"/>
  <c r="O56" i="1"/>
  <c r="R56" i="1"/>
  <c r="P56" i="1"/>
  <c r="S56" i="1"/>
  <c r="T56" i="1"/>
  <c r="V56" i="1"/>
  <c r="W56" i="1"/>
  <c r="Q56" i="1"/>
  <c r="N56" i="1"/>
  <c r="M56" i="1"/>
  <c r="L56" i="1"/>
  <c r="H67" i="1"/>
  <c r="I67" i="1"/>
  <c r="O67" i="1"/>
  <c r="P67" i="1"/>
  <c r="J67" i="1"/>
  <c r="Q67" i="1"/>
  <c r="R67" i="1"/>
  <c r="S67" i="1"/>
  <c r="T67" i="1"/>
  <c r="V67" i="1"/>
  <c r="W67" i="1"/>
  <c r="N67" i="1"/>
  <c r="M67" i="1"/>
  <c r="L67" i="1"/>
  <c r="J58" i="1"/>
  <c r="H58" i="1"/>
  <c r="I58" i="1"/>
  <c r="O58" i="1"/>
  <c r="R58" i="1"/>
  <c r="P58" i="1"/>
  <c r="S58" i="1"/>
  <c r="T58" i="1"/>
  <c r="V58" i="1"/>
  <c r="W58" i="1"/>
  <c r="Q58" i="1"/>
  <c r="N58" i="1"/>
  <c r="M58" i="1"/>
  <c r="L58" i="1"/>
  <c r="K30" i="1"/>
  <c r="I50" i="1"/>
  <c r="H50" i="1"/>
  <c r="J50" i="1"/>
  <c r="O50" i="1"/>
  <c r="R50" i="1"/>
  <c r="P50" i="1"/>
  <c r="S50" i="1"/>
  <c r="T50" i="1"/>
  <c r="V50" i="1"/>
  <c r="W50" i="1"/>
  <c r="Q50" i="1"/>
  <c r="N50" i="1"/>
  <c r="M50" i="1"/>
  <c r="L50" i="1"/>
  <c r="R43" i="1"/>
  <c r="S43" i="1"/>
  <c r="T43" i="1"/>
  <c r="V43" i="1"/>
  <c r="W43" i="1"/>
  <c r="N43" i="1"/>
  <c r="M43" i="1"/>
  <c r="L43" i="1"/>
  <c r="K36" i="1"/>
  <c r="K35" i="1"/>
  <c r="K29" i="1"/>
  <c r="K64" i="1"/>
  <c r="K47" i="1"/>
  <c r="K34" i="1"/>
  <c r="K28" i="1"/>
  <c r="K40" i="1"/>
  <c r="K55" i="1"/>
  <c r="H32" i="1"/>
  <c r="I32" i="1"/>
  <c r="O32" i="1"/>
  <c r="R32" i="1"/>
  <c r="P32" i="1"/>
  <c r="S32" i="1"/>
  <c r="T32" i="1"/>
  <c r="V32" i="1"/>
  <c r="W32" i="1"/>
  <c r="Q32" i="1"/>
  <c r="N32" i="1"/>
  <c r="M32" i="1"/>
  <c r="L32" i="1"/>
  <c r="H37" i="1"/>
  <c r="I37" i="1"/>
  <c r="O37" i="1"/>
  <c r="P37" i="1"/>
  <c r="J37" i="1"/>
  <c r="Q37" i="1"/>
  <c r="H36" i="1"/>
  <c r="I36" i="1"/>
  <c r="O36" i="1"/>
  <c r="P36" i="1"/>
  <c r="J36" i="1"/>
  <c r="Q36" i="1"/>
  <c r="H35" i="1"/>
  <c r="I35" i="1"/>
  <c r="O35" i="1"/>
  <c r="P35" i="1"/>
  <c r="J35" i="1"/>
  <c r="Q35" i="1"/>
  <c r="H30" i="1"/>
  <c r="I30" i="1"/>
  <c r="O30" i="1"/>
  <c r="P30" i="1"/>
  <c r="J30" i="1"/>
  <c r="Q30" i="1"/>
  <c r="H29" i="1"/>
  <c r="I29" i="1"/>
  <c r="O29" i="1"/>
  <c r="P29" i="1"/>
  <c r="J29" i="1"/>
  <c r="Q29" i="1"/>
  <c r="H31" i="1"/>
  <c r="I31" i="1"/>
  <c r="O31" i="1"/>
  <c r="P31" i="1"/>
  <c r="J31" i="1"/>
  <c r="Q31" i="1"/>
  <c r="R37" i="1"/>
  <c r="S37" i="1"/>
  <c r="T37" i="1"/>
  <c r="V37" i="1"/>
  <c r="W37" i="1"/>
  <c r="N37" i="1"/>
  <c r="M37" i="1"/>
  <c r="L37" i="1"/>
  <c r="R30" i="1"/>
  <c r="S30" i="1"/>
  <c r="T30" i="1"/>
  <c r="V30" i="1"/>
  <c r="W30" i="1"/>
  <c r="R31" i="1"/>
  <c r="S31" i="1"/>
  <c r="T31" i="1"/>
  <c r="V31" i="1"/>
  <c r="W31" i="1"/>
  <c r="N31" i="1"/>
  <c r="M31" i="1"/>
  <c r="L31" i="1"/>
  <c r="H64" i="1"/>
  <c r="O64" i="1"/>
  <c r="P64" i="1"/>
  <c r="J64" i="1"/>
  <c r="Q64" i="1"/>
  <c r="O47" i="1"/>
  <c r="P47" i="1"/>
  <c r="J47" i="1"/>
  <c r="Q47" i="1"/>
  <c r="O34" i="1"/>
  <c r="P34" i="1"/>
  <c r="J34" i="1"/>
  <c r="Q34" i="1"/>
  <c r="O28" i="1"/>
  <c r="P28" i="1"/>
  <c r="J28" i="1"/>
  <c r="Q28" i="1"/>
  <c r="O40" i="1"/>
  <c r="P40" i="1"/>
  <c r="J40" i="1"/>
  <c r="Q40" i="1"/>
  <c r="H4" i="1"/>
  <c r="I4" i="1"/>
  <c r="O4" i="1"/>
  <c r="P4" i="1"/>
  <c r="J4" i="1"/>
  <c r="Q4" i="1"/>
  <c r="H55" i="1"/>
  <c r="I55" i="1"/>
  <c r="O55" i="1"/>
  <c r="P55" i="1"/>
  <c r="J55" i="1"/>
  <c r="Q55" i="1"/>
  <c r="O3" i="1"/>
  <c r="P3" i="1"/>
  <c r="J3" i="1"/>
  <c r="Q3" i="1"/>
  <c r="R40" i="1"/>
  <c r="S40" i="1"/>
  <c r="T40" i="1"/>
  <c r="V40" i="1"/>
  <c r="W40" i="1"/>
  <c r="V155" i="1"/>
  <c r="R55" i="1"/>
  <c r="S55" i="1"/>
  <c r="T55" i="1"/>
  <c r="V55" i="1"/>
  <c r="N30" i="1"/>
  <c r="M30" i="1"/>
  <c r="L30" i="1"/>
  <c r="R29" i="1"/>
  <c r="S29" i="1"/>
  <c r="T29" i="1"/>
  <c r="V29" i="1"/>
  <c r="W29" i="1"/>
  <c r="N29" i="1"/>
  <c r="M29" i="1"/>
  <c r="L29" i="1"/>
  <c r="W55" i="1"/>
  <c r="N55" i="1"/>
  <c r="M55" i="1"/>
  <c r="L55" i="1"/>
  <c r="R4" i="1"/>
  <c r="S4" i="1"/>
  <c r="T4" i="1"/>
  <c r="V4" i="1"/>
  <c r="W4" i="1"/>
  <c r="N4" i="1"/>
  <c r="M4" i="1"/>
  <c r="L4" i="1"/>
  <c r="R36" i="1"/>
  <c r="S36" i="1"/>
  <c r="T36" i="1"/>
  <c r="V36" i="1"/>
  <c r="W36" i="1"/>
  <c r="N36" i="1"/>
  <c r="M36" i="1"/>
  <c r="L36" i="1"/>
  <c r="R3" i="1"/>
  <c r="S3" i="1"/>
  <c r="T3" i="1"/>
  <c r="V3" i="1"/>
  <c r="W3" i="1"/>
  <c r="R35" i="1"/>
  <c r="S35" i="1"/>
  <c r="T35" i="1"/>
  <c r="V35" i="1"/>
  <c r="W35" i="1"/>
  <c r="N35" i="1"/>
  <c r="M35" i="1"/>
  <c r="L35" i="1"/>
  <c r="R139" i="1"/>
  <c r="S139" i="1"/>
  <c r="T139" i="1"/>
  <c r="V139" i="1"/>
  <c r="W155" i="1"/>
  <c r="R82" i="1"/>
  <c r="S82" i="1"/>
  <c r="T82" i="1"/>
  <c r="V82" i="1"/>
  <c r="W82" i="1"/>
  <c r="R167" i="1"/>
  <c r="S167" i="1"/>
  <c r="T167" i="1"/>
  <c r="V167" i="1"/>
  <c r="W167" i="1"/>
  <c r="R94" i="1"/>
  <c r="S94" i="1"/>
  <c r="T94" i="1"/>
  <c r="V94" i="1"/>
  <c r="W94" i="1"/>
  <c r="R28" i="1"/>
  <c r="S28" i="1"/>
  <c r="T28" i="1"/>
  <c r="V28" i="1"/>
  <c r="W28" i="1"/>
  <c r="T105" i="1"/>
  <c r="V105" i="1"/>
  <c r="W105" i="1"/>
  <c r="R34" i="1"/>
  <c r="S34" i="1"/>
  <c r="T34" i="1"/>
  <c r="V34" i="1"/>
  <c r="W34" i="1"/>
  <c r="R191" i="1"/>
  <c r="S191" i="1"/>
  <c r="T191" i="1"/>
  <c r="V191" i="1"/>
  <c r="W191" i="1"/>
  <c r="R117" i="1"/>
  <c r="S117" i="1"/>
  <c r="T117" i="1"/>
  <c r="V117" i="1"/>
  <c r="W117" i="1"/>
  <c r="R47" i="1"/>
  <c r="S47" i="1"/>
  <c r="T47" i="1"/>
  <c r="V47" i="1"/>
  <c r="W47" i="1"/>
  <c r="R203" i="1"/>
  <c r="S203" i="1"/>
  <c r="T203" i="1"/>
  <c r="V203" i="1"/>
  <c r="W203" i="1"/>
  <c r="R128" i="1"/>
  <c r="S128" i="1"/>
  <c r="T128" i="1"/>
  <c r="V128" i="1"/>
  <c r="W128" i="1"/>
  <c r="R64" i="1"/>
  <c r="S64" i="1"/>
  <c r="T64" i="1"/>
  <c r="V64" i="1"/>
  <c r="W64" i="1"/>
  <c r="R215" i="1"/>
  <c r="S215" i="1"/>
  <c r="T215" i="1"/>
  <c r="V215" i="1"/>
  <c r="W215" i="1"/>
  <c r="W139" i="1"/>
  <c r="N82" i="1"/>
  <c r="N40" i="1"/>
  <c r="N167" i="1"/>
  <c r="N94" i="1"/>
  <c r="N28" i="1"/>
  <c r="N105" i="1"/>
  <c r="N34" i="1"/>
  <c r="N191" i="1"/>
  <c r="N117" i="1"/>
  <c r="N47" i="1"/>
  <c r="N203" i="1"/>
  <c r="N128" i="1"/>
  <c r="N64" i="1"/>
  <c r="N215" i="1"/>
  <c r="N139" i="1"/>
  <c r="M82" i="1"/>
  <c r="M40" i="1"/>
  <c r="M167" i="1"/>
  <c r="M94" i="1"/>
  <c r="M28" i="1"/>
  <c r="M105" i="1"/>
  <c r="M34" i="1"/>
  <c r="M191" i="1"/>
  <c r="M117" i="1"/>
  <c r="M47" i="1"/>
  <c r="M203" i="1"/>
  <c r="M128" i="1"/>
  <c r="M64" i="1"/>
  <c r="M215" i="1"/>
  <c r="M139" i="1"/>
  <c r="L82" i="1"/>
  <c r="L40" i="1"/>
  <c r="L167" i="1"/>
  <c r="L94" i="1"/>
  <c r="L28" i="1"/>
  <c r="L105" i="1"/>
  <c r="L34" i="1"/>
  <c r="L191" i="1"/>
  <c r="L117" i="1"/>
  <c r="L47" i="1"/>
  <c r="L203" i="1"/>
  <c r="L128" i="1"/>
  <c r="L64" i="1"/>
  <c r="L215" i="1"/>
  <c r="L139" i="1"/>
  <c r="N3" i="1"/>
  <c r="M3" i="1"/>
  <c r="L3" i="1"/>
</calcChain>
</file>

<file path=xl/sharedStrings.xml><?xml version="1.0" encoding="utf-8"?>
<sst xmlns="http://schemas.openxmlformats.org/spreadsheetml/2006/main" count="543" uniqueCount="81">
  <si>
    <t>wt/wt</t>
  </si>
  <si>
    <t>mut/mut</t>
  </si>
  <si>
    <t>croisement</t>
  </si>
  <si>
    <t>milieu</t>
  </si>
  <si>
    <t>réplicat</t>
  </si>
  <si>
    <t>C</t>
  </si>
  <si>
    <t>G</t>
  </si>
  <si>
    <t>10b x 3b</t>
  </si>
  <si>
    <t>A</t>
  </si>
  <si>
    <t>wt/mut</t>
  </si>
  <si>
    <t>haplo wt</t>
  </si>
  <si>
    <t>haplo mut</t>
  </si>
  <si>
    <t>12b x 3b</t>
  </si>
  <si>
    <t>% wt/wt</t>
  </si>
  <si>
    <t>% mut/mut</t>
  </si>
  <si>
    <t>% wt/mut</t>
  </si>
  <si>
    <t>% wt</t>
  </si>
  <si>
    <t>% mut</t>
  </si>
  <si>
    <t>% génotypes</t>
  </si>
  <si>
    <t>% haplotypes</t>
  </si>
  <si>
    <t>effectifs attendus panmixie</t>
  </si>
  <si>
    <t>effectifs observés</t>
  </si>
  <si>
    <r>
      <rPr>
        <sz val="12"/>
        <color theme="1"/>
        <rFont val="Symbol"/>
      </rPr>
      <t>c</t>
    </r>
    <r>
      <rPr>
        <sz val="12"/>
        <color theme="1"/>
        <rFont val="Calibri"/>
        <family val="2"/>
        <scheme val="minor"/>
      </rPr>
      <t>2</t>
    </r>
  </si>
  <si>
    <t>p</t>
  </si>
  <si>
    <t>Génération</t>
  </si>
  <si>
    <t>incertitude</t>
  </si>
  <si>
    <t>± %</t>
  </si>
  <si>
    <t>1 vérification</t>
  </si>
  <si>
    <t>1 (1ere manip)</t>
  </si>
  <si>
    <t>1 final</t>
  </si>
  <si>
    <t>effectif échantillon</t>
  </si>
  <si>
    <t>effectif total (env.)</t>
  </si>
  <si>
    <t>remarques</t>
  </si>
  <si>
    <t>à vérifier, pb d'identification génot?</t>
  </si>
  <si>
    <t>plaque de vérification</t>
  </si>
  <si>
    <t>fréq. alléliques inversées</t>
  </si>
  <si>
    <t>% haplotype wt</t>
  </si>
  <si>
    <t>10bx3b C1</t>
  </si>
  <si>
    <t>10bx3b C2</t>
  </si>
  <si>
    <t>10bx3b C3</t>
  </si>
  <si>
    <t>10bx3b glu1</t>
  </si>
  <si>
    <t>10bx3b glu2</t>
  </si>
  <si>
    <t>10bx3b glu3</t>
  </si>
  <si>
    <t>10bx3b A1</t>
  </si>
  <si>
    <t>10bx3b A2</t>
  </si>
  <si>
    <t>10bx3b A3</t>
  </si>
  <si>
    <t>12bx3b C1</t>
  </si>
  <si>
    <t>12bx3b C2</t>
  </si>
  <si>
    <t>12bx3b C3</t>
  </si>
  <si>
    <t>12bx3b glu1</t>
  </si>
  <si>
    <t>12bx3b glu2</t>
  </si>
  <si>
    <t>12bx3b glu3</t>
  </si>
  <si>
    <t>12bx3b A1</t>
  </si>
  <si>
    <t>12bx3b A2</t>
  </si>
  <si>
    <t>12bx3b A3</t>
  </si>
  <si>
    <t>incertitude % wt</t>
  </si>
  <si>
    <t>génération</t>
  </si>
  <si>
    <t>CROISEMENT</t>
  </si>
  <si>
    <t>toutes les mouches testées IL NE DEVRAIT PAS Y AVOIR D'HTZ</t>
  </si>
  <si>
    <t>pas d'htz comme prévu pour G0</t>
  </si>
  <si>
    <t>fondatrices</t>
  </si>
  <si>
    <t>il y a un htz on dirait</t>
  </si>
  <si>
    <t>toutes extraites, un htz apparemment</t>
  </si>
  <si>
    <t>bcp d'htz en G0 !!!</t>
  </si>
  <si>
    <t>CONTAMINATION: 2 htz fondatrices</t>
  </si>
  <si>
    <t>CONTAMINATION: 1 htz fondatrice</t>
  </si>
  <si>
    <t>excès d'htz mais gels très beaux, pas d'erreurs d'interprétation possible</t>
  </si>
  <si>
    <t>très peu d'hmz 12b/12b !</t>
  </si>
  <si>
    <t>excès d'htz, gels très beaux</t>
  </si>
  <si>
    <t>ok pas d'htz</t>
  </si>
  <si>
    <t>glu</t>
  </si>
  <si>
    <t>2 htz</t>
  </si>
  <si>
    <t>1 htz</t>
  </si>
  <si>
    <t>??</t>
  </si>
  <si>
    <t>On multiplie par 2 la formule d'incertitide pour faire les barres d'erreur</t>
  </si>
  <si>
    <t>!!!</t>
  </si>
  <si>
    <t>total mouches génotypées:</t>
  </si>
  <si>
    <t>effectif moyen des "pops"</t>
  </si>
  <si>
    <t>q</t>
  </si>
  <si>
    <t>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</si>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</sst>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Symbol"/>
    </font>
    <font>
      <b/>
      <sz val="12"/>
      <color rgb="FFFF0000"/>
      <name val="Calibri"/>
      <scheme val="minor"/>
    </font>
    <font>
      <b/>
      <sz val="12"/>
      <color rgb="FF0000FF"/>
      <name val="Calibri"/>
      <scheme val="minor"/>
    </font>
    <font>
      <sz val="12"/>
      <color rgb="FF3366FF"/>
      <name val="Calibri"/>
      <scheme val="minor"/>
    </font>
    <font>
      <b/>
      <sz val="12"/>
      <color rgb="FF3366FF"/>
      <name val="Calibri"/>
      <scheme val="minor"/>
    </font>
    <font>
      <b/>
      <sz val="10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0FA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8D7FF"/>
        <bgColor indexed="64"/>
      </patternFill>
    </fill>
    <fill>
      <patternFill patternType="solid">
        <fgColor rgb="FFEBFF95"/>
        <bgColor indexed="64"/>
      </patternFill>
    </fill>
    <fill>
      <patternFill patternType="solid">
        <fgColor rgb="FFEBB5FF"/>
        <bgColor indexed="64"/>
      </patternFill>
    </fill>
    <fill>
      <patternFill patternType="solid">
        <fgColor rgb="FF73D8FF"/>
        <bgColor indexed="64"/>
      </patternFill>
    </fill>
    <fill>
      <patternFill patternType="solid">
        <fgColor rgb="FF7286FF"/>
        <bgColor indexed="64"/>
      </patternFill>
    </fill>
    <fill>
      <patternFill patternType="solid">
        <fgColor rgb="FF73DB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6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164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164" fontId="9" fillId="0" borderId="0" xfId="0" applyNumberFormat="1" applyFont="1"/>
    <xf numFmtId="0" fontId="10" fillId="0" borderId="0" xfId="0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1" fillId="0" borderId="0" xfId="0" applyNumberFormat="1" applyFont="1"/>
    <xf numFmtId="165" fontId="11" fillId="0" borderId="0" xfId="0" applyNumberFormat="1" applyFont="1"/>
    <xf numFmtId="0" fontId="0" fillId="3" borderId="0" xfId="0" applyFill="1" applyAlignment="1">
      <alignment horizontal="center"/>
    </xf>
    <xf numFmtId="165" fontId="4" fillId="0" borderId="0" xfId="0" applyNumberFormat="1" applyFont="1"/>
    <xf numFmtId="0" fontId="4" fillId="0" borderId="0" xfId="0" applyFont="1"/>
    <xf numFmtId="0" fontId="11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1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7" fillId="0" borderId="0" xfId="0" applyFont="1" applyFill="1"/>
    <xf numFmtId="0" fontId="0" fillId="0" borderId="0" xfId="0" applyFont="1" applyFill="1"/>
    <xf numFmtId="0" fontId="11" fillId="0" borderId="0" xfId="0" applyFont="1" applyFill="1"/>
    <xf numFmtId="164" fontId="0" fillId="0" borderId="0" xfId="0" applyNumberFormat="1" applyFill="1"/>
    <xf numFmtId="164" fontId="6" fillId="0" borderId="0" xfId="0" applyNumberFormat="1" applyFont="1" applyFill="1"/>
    <xf numFmtId="2" fontId="0" fillId="0" borderId="0" xfId="0" applyNumberFormat="1" applyFill="1"/>
    <xf numFmtId="165" fontId="4" fillId="0" borderId="0" xfId="0" applyNumberFormat="1" applyFont="1" applyFill="1"/>
    <xf numFmtId="0" fontId="0" fillId="14" borderId="0" xfId="0" applyFill="1"/>
    <xf numFmtId="2" fontId="0" fillId="2" borderId="0" xfId="0" applyNumberFormat="1" applyFill="1"/>
    <xf numFmtId="2" fontId="13" fillId="0" borderId="0" xfId="0" applyNumberFormat="1" applyFont="1"/>
    <xf numFmtId="0" fontId="14" fillId="0" borderId="0" xfId="0" applyFont="1"/>
    <xf numFmtId="0" fontId="15" fillId="0" borderId="0" xfId="0" applyFont="1"/>
    <xf numFmtId="0" fontId="11" fillId="14" borderId="0" xfId="0" applyFont="1" applyFill="1" applyAlignment="1">
      <alignment horizontal="center"/>
    </xf>
    <xf numFmtId="0" fontId="0" fillId="17" borderId="0" xfId="0" applyFill="1"/>
    <xf numFmtId="0" fontId="0" fillId="17" borderId="0" xfId="0" applyFont="1" applyFill="1"/>
    <xf numFmtId="0" fontId="1" fillId="17" borderId="0" xfId="0" applyFont="1" applyFill="1"/>
    <xf numFmtId="0" fontId="0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4" fillId="16" borderId="0" xfId="0" applyFont="1" applyFill="1" applyAlignment="1">
      <alignment horizontal="center"/>
    </xf>
    <xf numFmtId="0" fontId="6" fillId="0" borderId="0" xfId="0" applyFont="1"/>
    <xf numFmtId="0" fontId="0" fillId="18" borderId="0" xfId="0" applyFill="1" applyAlignment="1">
      <alignment horizontal="center"/>
    </xf>
    <xf numFmtId="0" fontId="0" fillId="18" borderId="0" xfId="0" applyFill="1"/>
    <xf numFmtId="0" fontId="0" fillId="18" borderId="0" xfId="0" applyFont="1" applyFill="1"/>
    <xf numFmtId="0" fontId="1" fillId="18" borderId="0" xfId="0" applyFont="1" applyFill="1"/>
    <xf numFmtId="0" fontId="7" fillId="18" borderId="0" xfId="0" applyFont="1" applyFill="1"/>
    <xf numFmtId="0" fontId="11" fillId="18" borderId="0" xfId="0" applyFont="1" applyFill="1"/>
    <xf numFmtId="164" fontId="0" fillId="18" borderId="0" xfId="0" applyNumberFormat="1" applyFill="1"/>
    <xf numFmtId="164" fontId="6" fillId="18" borderId="0" xfId="0" applyNumberFormat="1" applyFont="1" applyFill="1"/>
    <xf numFmtId="2" fontId="0" fillId="18" borderId="0" xfId="0" applyNumberFormat="1" applyFill="1"/>
    <xf numFmtId="165" fontId="0" fillId="18" borderId="0" xfId="0" applyNumberFormat="1" applyFill="1"/>
    <xf numFmtId="165" fontId="11" fillId="18" borderId="0" xfId="0" applyNumberFormat="1" applyFont="1" applyFill="1"/>
    <xf numFmtId="0" fontId="4" fillId="12" borderId="0" xfId="0" applyFont="1" applyFill="1" applyAlignment="1">
      <alignment horizontal="center"/>
    </xf>
    <xf numFmtId="1" fontId="4" fillId="0" borderId="0" xfId="0" applyNumberFormat="1" applyFont="1"/>
    <xf numFmtId="0" fontId="0" fillId="19" borderId="0" xfId="0" applyFill="1"/>
    <xf numFmtId="0" fontId="14" fillId="19" borderId="0" xfId="0" applyFont="1" applyFill="1"/>
    <xf numFmtId="2" fontId="11" fillId="0" borderId="0" xfId="0" applyNumberFormat="1" applyFont="1" applyFill="1"/>
    <xf numFmtId="2" fontId="11" fillId="0" borderId="0" xfId="0" applyNumberFormat="1" applyFont="1"/>
    <xf numFmtId="0" fontId="14" fillId="17" borderId="0" xfId="0" applyFont="1" applyFill="1"/>
    <xf numFmtId="0" fontId="15" fillId="17" borderId="0" xfId="0" applyFont="1" applyFill="1"/>
    <xf numFmtId="0" fontId="11" fillId="17" borderId="0" xfId="0" applyFont="1" applyFill="1"/>
    <xf numFmtId="164" fontId="11" fillId="17" borderId="0" xfId="0" applyNumberFormat="1" applyFont="1" applyFill="1"/>
    <xf numFmtId="164" fontId="6" fillId="17" borderId="0" xfId="0" applyNumberFormat="1" applyFont="1" applyFill="1"/>
    <xf numFmtId="2" fontId="0" fillId="17" borderId="0" xfId="0" applyNumberFormat="1" applyFill="1"/>
    <xf numFmtId="165" fontId="11" fillId="17" borderId="0" xfId="0" applyNumberFormat="1" applyFont="1" applyFill="1"/>
    <xf numFmtId="0" fontId="1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</cellXfs>
  <cellStyles count="160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graphiques!$A$5</c:f>
              <c:strCache>
                <c:ptCount val="1"/>
                <c:pt idx="0">
                  <c:v>10bx3b glu1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graphiques!$B$76:$H$76</c:f>
                <c:numCache>
                  <c:formatCode>General</c:formatCode>
                  <c:ptCount val="7"/>
                  <c:pt idx="1">
                    <c:v>5.042752534658037</c:v>
                  </c:pt>
                  <c:pt idx="3">
                    <c:v>16.27768716430234</c:v>
                  </c:pt>
                  <c:pt idx="4">
                    <c:v>15.47627937045024</c:v>
                  </c:pt>
                  <c:pt idx="6">
                    <c:v>14.36514265150994</c:v>
                  </c:pt>
                </c:numCache>
              </c:numRef>
            </c:plus>
            <c:minus>
              <c:numRef>
                <c:f>graphiques!$B$76:$H$76</c:f>
                <c:numCache>
                  <c:formatCode>General</c:formatCode>
                  <c:ptCount val="7"/>
                  <c:pt idx="1">
                    <c:v>5.042752534658037</c:v>
                  </c:pt>
                  <c:pt idx="3">
                    <c:v>16.27768716430234</c:v>
                  </c:pt>
                  <c:pt idx="4">
                    <c:v>15.47627937045024</c:v>
                  </c:pt>
                  <c:pt idx="6">
                    <c:v>14.36514265150994</c:v>
                  </c:pt>
                </c:numCache>
              </c:numRef>
            </c:minus>
          </c:errBars>
          <c:xVal>
            <c:numRef>
              <c:f>graphiques!$B$1:$H$1</c:f>
              <c:numCache>
                <c:formatCode>General</c:formatCode>
                <c:ptCount val="7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</c:numCache>
            </c:numRef>
          </c:xVal>
          <c:yVal>
            <c:numRef>
              <c:f>graphiques!$B$5:$H$5</c:f>
              <c:numCache>
                <c:formatCode>General</c:formatCode>
                <c:ptCount val="7"/>
                <c:pt idx="0">
                  <c:v>50.0</c:v>
                </c:pt>
                <c:pt idx="1">
                  <c:v>45.3</c:v>
                </c:pt>
                <c:pt idx="3">
                  <c:v>62.8</c:v>
                </c:pt>
                <c:pt idx="4">
                  <c:v>51.6</c:v>
                </c:pt>
                <c:pt idx="6">
                  <c:v>60.5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graphiques!$A$6</c:f>
              <c:strCache>
                <c:ptCount val="1"/>
                <c:pt idx="0">
                  <c:v>10bx3b glu2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graphiques!$B$77:$T$77</c:f>
                <c:numCache>
                  <c:formatCode>General</c:formatCode>
                  <c:ptCount val="19"/>
                  <c:pt idx="1">
                    <c:v>16.69280730995685</c:v>
                  </c:pt>
                  <c:pt idx="3">
                    <c:v>0.0</c:v>
                  </c:pt>
                  <c:pt idx="4">
                    <c:v>13.35290061684843</c:v>
                  </c:pt>
                  <c:pt idx="6">
                    <c:v>11.13706386345159</c:v>
                  </c:pt>
                  <c:pt idx="8">
                    <c:v>12.12650821203937</c:v>
                  </c:pt>
                  <c:pt idx="10">
                    <c:v>12.23562222923755</c:v>
                  </c:pt>
                  <c:pt idx="11">
                    <c:v>11.99768837444853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15.17514792556182</c:v>
                  </c:pt>
                  <c:pt idx="15">
                    <c:v>15.6162850355689</c:v>
                  </c:pt>
                  <c:pt idx="17">
                    <c:v>0.0</c:v>
                  </c:pt>
                  <c:pt idx="18">
                    <c:v>17.27794760814566</c:v>
                  </c:pt>
                </c:numCache>
              </c:numRef>
            </c:plus>
            <c:minus>
              <c:numRef>
                <c:f>graphiques!$B$77:$T$77</c:f>
                <c:numCache>
                  <c:formatCode>General</c:formatCode>
                  <c:ptCount val="19"/>
                  <c:pt idx="1">
                    <c:v>16.69280730995685</c:v>
                  </c:pt>
                  <c:pt idx="3">
                    <c:v>0.0</c:v>
                  </c:pt>
                  <c:pt idx="4">
                    <c:v>13.35290061684843</c:v>
                  </c:pt>
                  <c:pt idx="6">
                    <c:v>11.13706386345159</c:v>
                  </c:pt>
                  <c:pt idx="8">
                    <c:v>12.12650821203937</c:v>
                  </c:pt>
                  <c:pt idx="10">
                    <c:v>12.23562222923755</c:v>
                  </c:pt>
                  <c:pt idx="11">
                    <c:v>11.99768837444853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15.17514792556182</c:v>
                  </c:pt>
                  <c:pt idx="15">
                    <c:v>15.6162850355689</c:v>
                  </c:pt>
                  <c:pt idx="17">
                    <c:v>0.0</c:v>
                  </c:pt>
                  <c:pt idx="18">
                    <c:v>17.27794760814566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graphiques!$B$6:$T$6</c:f>
              <c:numCache>
                <c:formatCode>General</c:formatCode>
                <c:ptCount val="19"/>
                <c:pt idx="0">
                  <c:v>50.0</c:v>
                </c:pt>
                <c:pt idx="1">
                  <c:v>56.0</c:v>
                </c:pt>
                <c:pt idx="4">
                  <c:v>61.6</c:v>
                </c:pt>
                <c:pt idx="6">
                  <c:v>82.4</c:v>
                </c:pt>
                <c:pt idx="8">
                  <c:v>85.6</c:v>
                </c:pt>
                <c:pt idx="10">
                  <c:v>86.7</c:v>
                </c:pt>
                <c:pt idx="11">
                  <c:v>78.8</c:v>
                </c:pt>
                <c:pt idx="14">
                  <c:v>68.1</c:v>
                </c:pt>
                <c:pt idx="15">
                  <c:v>63.2</c:v>
                </c:pt>
                <c:pt idx="18">
                  <c:v>54.3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graphiques!$A$7</c:f>
              <c:strCache>
                <c:ptCount val="1"/>
                <c:pt idx="0">
                  <c:v>10bx3b glu3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graphiques!$B$78:$T$78</c:f>
                <c:numCache>
                  <c:formatCode>General</c:formatCode>
                  <c:ptCount val="19"/>
                  <c:pt idx="1">
                    <c:v>16.13623226513241</c:v>
                  </c:pt>
                  <c:pt idx="3">
                    <c:v>0.0</c:v>
                  </c:pt>
                  <c:pt idx="4">
                    <c:v>8.343572413541307</c:v>
                  </c:pt>
                  <c:pt idx="6">
                    <c:v>16.39627743591258</c:v>
                  </c:pt>
                  <c:pt idx="8">
                    <c:v>0.0</c:v>
                  </c:pt>
                  <c:pt idx="10">
                    <c:v>10.6578947368421</c:v>
                  </c:pt>
                  <c:pt idx="11">
                    <c:v>13.84944961157071</c:v>
                  </c:pt>
                  <c:pt idx="12">
                    <c:v>0.0</c:v>
                  </c:pt>
                  <c:pt idx="13">
                    <c:v>16.35214269489404</c:v>
                  </c:pt>
                  <c:pt idx="15">
                    <c:v>13.30595348839979</c:v>
                  </c:pt>
                  <c:pt idx="17">
                    <c:v>14.16882721590431</c:v>
                  </c:pt>
                  <c:pt idx="18">
                    <c:v>0.0</c:v>
                  </c:pt>
                </c:numCache>
              </c:numRef>
            </c:plus>
            <c:minus>
              <c:numRef>
                <c:f>graphiques!$B$78:$T$78</c:f>
                <c:numCache>
                  <c:formatCode>General</c:formatCode>
                  <c:ptCount val="19"/>
                  <c:pt idx="1">
                    <c:v>16.13623226513241</c:v>
                  </c:pt>
                  <c:pt idx="3">
                    <c:v>0.0</c:v>
                  </c:pt>
                  <c:pt idx="4">
                    <c:v>8.343572413541307</c:v>
                  </c:pt>
                  <c:pt idx="6">
                    <c:v>16.39627743591258</c:v>
                  </c:pt>
                  <c:pt idx="8">
                    <c:v>0.0</c:v>
                  </c:pt>
                  <c:pt idx="10">
                    <c:v>10.6578947368421</c:v>
                  </c:pt>
                  <c:pt idx="11">
                    <c:v>13.84944961157071</c:v>
                  </c:pt>
                  <c:pt idx="12">
                    <c:v>0.0</c:v>
                  </c:pt>
                  <c:pt idx="13">
                    <c:v>16.35214269489404</c:v>
                  </c:pt>
                  <c:pt idx="15">
                    <c:v>13.30595348839979</c:v>
                  </c:pt>
                  <c:pt idx="17">
                    <c:v>14.16882721590431</c:v>
                  </c:pt>
                  <c:pt idx="18">
                    <c:v>0.0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graphiques!$B$7:$T$7</c:f>
              <c:numCache>
                <c:formatCode>General</c:formatCode>
                <c:ptCount val="19"/>
                <c:pt idx="0">
                  <c:v>50.0</c:v>
                </c:pt>
                <c:pt idx="1">
                  <c:v>38.9</c:v>
                </c:pt>
                <c:pt idx="4">
                  <c:v>56.8</c:v>
                </c:pt>
                <c:pt idx="6">
                  <c:v>48.4</c:v>
                </c:pt>
                <c:pt idx="8">
                  <c:v>67.0</c:v>
                </c:pt>
                <c:pt idx="10">
                  <c:v>76.3</c:v>
                </c:pt>
                <c:pt idx="11">
                  <c:v>73.7</c:v>
                </c:pt>
                <c:pt idx="13">
                  <c:v>58.0</c:v>
                </c:pt>
                <c:pt idx="15">
                  <c:v>71.8</c:v>
                </c:pt>
                <c:pt idx="17">
                  <c:v>54.2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57544"/>
        <c:axId val="2138260072"/>
      </c:scatterChart>
      <c:valAx>
        <c:axId val="213825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260072"/>
        <c:crosses val="autoZero"/>
        <c:crossBetween val="midCat"/>
      </c:valAx>
      <c:valAx>
        <c:axId val="213826007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57544"/>
        <c:crosses val="autoZero"/>
        <c:crossBetween val="midCat"/>
        <c:majorUnit val="10.0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graphiques!$A$8</c:f>
              <c:strCache>
                <c:ptCount val="1"/>
                <c:pt idx="0">
                  <c:v>10bx3b A1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graphiques!$B$54:$H$54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2.366245428942004</c:v>
                  </c:pt>
                  <c:pt idx="3">
                    <c:v>8.953458340556766</c:v>
                  </c:pt>
                  <c:pt idx="4">
                    <c:v>8.13970469800775</c:v>
                  </c:pt>
                  <c:pt idx="6">
                    <c:v>5.43</c:v>
                  </c:pt>
                </c:numCache>
              </c:numRef>
            </c:plus>
            <c:minus>
              <c:numRef>
                <c:f>graphiques!$B$54:$H$54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2.366245428942004</c:v>
                  </c:pt>
                  <c:pt idx="3">
                    <c:v>8.953458340556766</c:v>
                  </c:pt>
                  <c:pt idx="4">
                    <c:v>8.13970469800775</c:v>
                  </c:pt>
                  <c:pt idx="6">
                    <c:v>5.43</c:v>
                  </c:pt>
                </c:numCache>
              </c:numRef>
            </c:minus>
          </c:errBars>
          <c:xVal>
            <c:numRef>
              <c:f>graphiques!$B$1:$H$1</c:f>
              <c:numCache>
                <c:formatCode>General</c:formatCode>
                <c:ptCount val="7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</c:numCache>
            </c:numRef>
          </c:xVal>
          <c:yVal>
            <c:numRef>
              <c:f>graphiques!$B$8:$H$8</c:f>
              <c:numCache>
                <c:formatCode>General</c:formatCode>
                <c:ptCount val="7"/>
                <c:pt idx="0">
                  <c:v>50.0</c:v>
                </c:pt>
                <c:pt idx="1">
                  <c:v>78.4</c:v>
                </c:pt>
                <c:pt idx="3" formatCode="0.0">
                  <c:v>65.1685393258427</c:v>
                </c:pt>
                <c:pt idx="4" formatCode="0.0">
                  <c:v>70.55555555555556</c:v>
                </c:pt>
                <c:pt idx="6" formatCode="0.0">
                  <c:v>75.4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graphiques!$A$9</c:f>
              <c:strCache>
                <c:ptCount val="1"/>
                <c:pt idx="0">
                  <c:v>10bx3b A2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graphiques!$B$80:$T$80</c:f>
                <c:numCache>
                  <c:formatCode>General</c:formatCode>
                  <c:ptCount val="19"/>
                  <c:pt idx="1">
                    <c:v>14.13621863507944</c:v>
                  </c:pt>
                  <c:pt idx="3">
                    <c:v>0.0</c:v>
                  </c:pt>
                  <c:pt idx="4">
                    <c:v>18.62</c:v>
                  </c:pt>
                  <c:pt idx="5">
                    <c:v>15.24137903720151</c:v>
                  </c:pt>
                  <c:pt idx="6">
                    <c:v>0.0</c:v>
                  </c:pt>
                  <c:pt idx="8">
                    <c:v>10.68543318872024</c:v>
                  </c:pt>
                  <c:pt idx="10">
                    <c:v>18.17408221059679</c:v>
                  </c:pt>
                  <c:pt idx="11">
                    <c:v>11.00842670809191</c:v>
                  </c:pt>
                  <c:pt idx="12">
                    <c:v>0.0</c:v>
                  </c:pt>
                  <c:pt idx="13">
                    <c:v>16.34230945831624</c:v>
                  </c:pt>
                  <c:pt idx="15">
                    <c:v>0.0</c:v>
                  </c:pt>
                  <c:pt idx="17">
                    <c:v>0.0</c:v>
                  </c:pt>
                  <c:pt idx="18">
                    <c:v>17.86333327914921</c:v>
                  </c:pt>
                </c:numCache>
              </c:numRef>
            </c:plus>
            <c:minus>
              <c:numRef>
                <c:f>graphiques!$B$80:$T$80</c:f>
                <c:numCache>
                  <c:formatCode>General</c:formatCode>
                  <c:ptCount val="19"/>
                  <c:pt idx="1">
                    <c:v>14.13621863507944</c:v>
                  </c:pt>
                  <c:pt idx="3">
                    <c:v>0.0</c:v>
                  </c:pt>
                  <c:pt idx="4">
                    <c:v>18.62</c:v>
                  </c:pt>
                  <c:pt idx="5">
                    <c:v>15.24137903720151</c:v>
                  </c:pt>
                  <c:pt idx="6">
                    <c:v>0.0</c:v>
                  </c:pt>
                  <c:pt idx="8">
                    <c:v>10.68543318872024</c:v>
                  </c:pt>
                  <c:pt idx="10">
                    <c:v>18.17408221059679</c:v>
                  </c:pt>
                  <c:pt idx="11">
                    <c:v>11.00842670809191</c:v>
                  </c:pt>
                  <c:pt idx="12">
                    <c:v>0.0</c:v>
                  </c:pt>
                  <c:pt idx="13">
                    <c:v>16.34230945831624</c:v>
                  </c:pt>
                  <c:pt idx="15">
                    <c:v>0.0</c:v>
                  </c:pt>
                  <c:pt idx="17">
                    <c:v>0.0</c:v>
                  </c:pt>
                  <c:pt idx="18">
                    <c:v>17.86333327914921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graphiques!$B$9:$T$9</c:f>
              <c:numCache>
                <c:formatCode>General</c:formatCode>
                <c:ptCount val="19"/>
                <c:pt idx="0">
                  <c:v>50.0</c:v>
                </c:pt>
                <c:pt idx="1">
                  <c:v>42.7</c:v>
                </c:pt>
                <c:pt idx="4">
                  <c:v>68.3</c:v>
                </c:pt>
                <c:pt idx="5">
                  <c:v>47.9</c:v>
                </c:pt>
                <c:pt idx="8">
                  <c:v>70.7</c:v>
                </c:pt>
                <c:pt idx="10">
                  <c:v>61.7</c:v>
                </c:pt>
                <c:pt idx="11">
                  <c:v>67.7</c:v>
                </c:pt>
                <c:pt idx="13">
                  <c:v>66.1</c:v>
                </c:pt>
                <c:pt idx="15">
                  <c:v>64.9</c:v>
                </c:pt>
                <c:pt idx="18">
                  <c:v>56.8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graphiques!$A$10</c:f>
              <c:strCache>
                <c:ptCount val="1"/>
                <c:pt idx="0">
                  <c:v>10bx3b A3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graphiques!$B$81:$T$81</c:f>
                <c:numCache>
                  <c:formatCode>General</c:formatCode>
                  <c:ptCount val="19"/>
                  <c:pt idx="1">
                    <c:v>15.96816256828088</c:v>
                  </c:pt>
                  <c:pt idx="3">
                    <c:v>0.0</c:v>
                  </c:pt>
                  <c:pt idx="4">
                    <c:v>0.0</c:v>
                  </c:pt>
                  <c:pt idx="6">
                    <c:v>16.80490613729925</c:v>
                  </c:pt>
                  <c:pt idx="8">
                    <c:v>14.20450523395311</c:v>
                  </c:pt>
                  <c:pt idx="10">
                    <c:v>16.76130086518435</c:v>
                  </c:pt>
                  <c:pt idx="11">
                    <c:v>4.746061336613555</c:v>
                  </c:pt>
                  <c:pt idx="12">
                    <c:v>0.0</c:v>
                  </c:pt>
                  <c:pt idx="13">
                    <c:v>16.19100728782842</c:v>
                  </c:pt>
                  <c:pt idx="15">
                    <c:v>12.0741761862233</c:v>
                  </c:pt>
                  <c:pt idx="17">
                    <c:v>0.0</c:v>
                  </c:pt>
                  <c:pt idx="18">
                    <c:v>16.74023994105525</c:v>
                  </c:pt>
                </c:numCache>
              </c:numRef>
            </c:plus>
            <c:minus>
              <c:numRef>
                <c:f>graphiques!$B$81:$T$81</c:f>
                <c:numCache>
                  <c:formatCode>General</c:formatCode>
                  <c:ptCount val="19"/>
                  <c:pt idx="1">
                    <c:v>15.96816256828088</c:v>
                  </c:pt>
                  <c:pt idx="3">
                    <c:v>0.0</c:v>
                  </c:pt>
                  <c:pt idx="4">
                    <c:v>0.0</c:v>
                  </c:pt>
                  <c:pt idx="6">
                    <c:v>16.80490613729925</c:v>
                  </c:pt>
                  <c:pt idx="8">
                    <c:v>14.20450523395311</c:v>
                  </c:pt>
                  <c:pt idx="10">
                    <c:v>16.76130086518435</c:v>
                  </c:pt>
                  <c:pt idx="11">
                    <c:v>4.746061336613555</c:v>
                  </c:pt>
                  <c:pt idx="12">
                    <c:v>0.0</c:v>
                  </c:pt>
                  <c:pt idx="13">
                    <c:v>16.19100728782842</c:v>
                  </c:pt>
                  <c:pt idx="15">
                    <c:v>12.0741761862233</c:v>
                  </c:pt>
                  <c:pt idx="17">
                    <c:v>0.0</c:v>
                  </c:pt>
                  <c:pt idx="18">
                    <c:v>16.74023994105525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graphiques!$B$10:$T$10</c:f>
              <c:numCache>
                <c:formatCode>General</c:formatCode>
                <c:ptCount val="19"/>
                <c:pt idx="0">
                  <c:v>50.0</c:v>
                </c:pt>
                <c:pt idx="1">
                  <c:v>43.2</c:v>
                </c:pt>
                <c:pt idx="4">
                  <c:v>49.1</c:v>
                </c:pt>
                <c:pt idx="6">
                  <c:v>52.2</c:v>
                </c:pt>
                <c:pt idx="8">
                  <c:v>41.1</c:v>
                </c:pt>
                <c:pt idx="10">
                  <c:v>55.3</c:v>
                </c:pt>
                <c:pt idx="11">
                  <c:v>54.4</c:v>
                </c:pt>
                <c:pt idx="13">
                  <c:v>51.1</c:v>
                </c:pt>
                <c:pt idx="15">
                  <c:v>57.5</c:v>
                </c:pt>
                <c:pt idx="18">
                  <c:v>63.2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547992"/>
        <c:axId val="-2130551064"/>
      </c:scatterChart>
      <c:valAx>
        <c:axId val="-213054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551064"/>
        <c:crosses val="autoZero"/>
        <c:crossBetween val="midCat"/>
      </c:valAx>
      <c:valAx>
        <c:axId val="-213055106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547992"/>
        <c:crosses val="autoZero"/>
        <c:crossBetween val="midCat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graphiques!$A$11</c:f>
              <c:strCache>
                <c:ptCount val="1"/>
                <c:pt idx="0">
                  <c:v>12bx3b C1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graphiques!$B$82:$H$82</c:f>
                <c:numCache>
                  <c:formatCode>General</c:formatCode>
                  <c:ptCount val="7"/>
                  <c:pt idx="1">
                    <c:v>7.189632144874286</c:v>
                  </c:pt>
                  <c:pt idx="3">
                    <c:v>11.82906034155873</c:v>
                  </c:pt>
                  <c:pt idx="4">
                    <c:v>14.1839218961284</c:v>
                  </c:pt>
                  <c:pt idx="6">
                    <c:v>14.99867650314557</c:v>
                  </c:pt>
                </c:numCache>
              </c:numRef>
            </c:plus>
            <c:minus>
              <c:numRef>
                <c:f>graphiques!$B$82:$H$82</c:f>
                <c:numCache>
                  <c:formatCode>General</c:formatCode>
                  <c:ptCount val="7"/>
                  <c:pt idx="1">
                    <c:v>7.189632144874286</c:v>
                  </c:pt>
                  <c:pt idx="3">
                    <c:v>11.82906034155873</c:v>
                  </c:pt>
                  <c:pt idx="4">
                    <c:v>14.1839218961284</c:v>
                  </c:pt>
                  <c:pt idx="6">
                    <c:v>14.99867650314557</c:v>
                  </c:pt>
                </c:numCache>
              </c:numRef>
            </c:minus>
          </c:errBars>
          <c:xVal>
            <c:numRef>
              <c:f>graphiques!$B$1:$H$1</c:f>
              <c:numCache>
                <c:formatCode>General</c:formatCode>
                <c:ptCount val="7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</c:numCache>
            </c:numRef>
          </c:xVal>
          <c:yVal>
            <c:numRef>
              <c:f>graphiques!$B$11:$H$11</c:f>
              <c:numCache>
                <c:formatCode>General</c:formatCode>
                <c:ptCount val="7"/>
                <c:pt idx="0">
                  <c:v>50.0</c:v>
                </c:pt>
                <c:pt idx="1">
                  <c:v>53.6</c:v>
                </c:pt>
                <c:pt idx="3" formatCode="0.0">
                  <c:v>39.36170212765958</c:v>
                </c:pt>
                <c:pt idx="4" formatCode="0.0">
                  <c:v>25.26881720430108</c:v>
                </c:pt>
                <c:pt idx="6" formatCode="0.0">
                  <c:v>33.2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graphiques!$A$12</c:f>
              <c:strCache>
                <c:ptCount val="1"/>
                <c:pt idx="0">
                  <c:v>12bx3b C2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graphiques!$B$83:$T$83</c:f>
                <c:numCache>
                  <c:formatCode>General</c:formatCode>
                  <c:ptCount val="19"/>
                  <c:pt idx="1">
                    <c:v>12.49342625957459</c:v>
                  </c:pt>
                  <c:pt idx="3">
                    <c:v>0.0</c:v>
                  </c:pt>
                  <c:pt idx="4">
                    <c:v>15.69171460753619</c:v>
                  </c:pt>
                  <c:pt idx="6">
                    <c:v>16.94680850785985</c:v>
                  </c:pt>
                  <c:pt idx="8">
                    <c:v>9.720000000000001</c:v>
                  </c:pt>
                  <c:pt idx="10">
                    <c:v>13.18109099499742</c:v>
                  </c:pt>
                  <c:pt idx="11">
                    <c:v>15.34213377652922</c:v>
                  </c:pt>
                  <c:pt idx="12">
                    <c:v>0.0</c:v>
                  </c:pt>
                  <c:pt idx="13">
                    <c:v>17.59570653213488</c:v>
                  </c:pt>
                  <c:pt idx="15">
                    <c:v>0.0</c:v>
                  </c:pt>
                  <c:pt idx="16">
                    <c:v>17.36393210072927</c:v>
                  </c:pt>
                  <c:pt idx="17">
                    <c:v>0.0</c:v>
                  </c:pt>
                  <c:pt idx="18">
                    <c:v>10.35772550757591</c:v>
                  </c:pt>
                </c:numCache>
              </c:numRef>
            </c:plus>
            <c:minus>
              <c:numRef>
                <c:f>graphiques!$B$83:$T$83</c:f>
                <c:numCache>
                  <c:formatCode>General</c:formatCode>
                  <c:ptCount val="19"/>
                  <c:pt idx="1">
                    <c:v>12.49342625957459</c:v>
                  </c:pt>
                  <c:pt idx="3">
                    <c:v>0.0</c:v>
                  </c:pt>
                  <c:pt idx="4">
                    <c:v>15.69171460753619</c:v>
                  </c:pt>
                  <c:pt idx="6">
                    <c:v>16.94680850785985</c:v>
                  </c:pt>
                  <c:pt idx="8">
                    <c:v>9.720000000000001</c:v>
                  </c:pt>
                  <c:pt idx="10">
                    <c:v>13.18109099499742</c:v>
                  </c:pt>
                  <c:pt idx="11">
                    <c:v>15.34213377652922</c:v>
                  </c:pt>
                  <c:pt idx="12">
                    <c:v>0.0</c:v>
                  </c:pt>
                  <c:pt idx="13">
                    <c:v>17.59570653213488</c:v>
                  </c:pt>
                  <c:pt idx="15">
                    <c:v>0.0</c:v>
                  </c:pt>
                  <c:pt idx="16">
                    <c:v>17.36393210072927</c:v>
                  </c:pt>
                  <c:pt idx="17">
                    <c:v>0.0</c:v>
                  </c:pt>
                  <c:pt idx="18">
                    <c:v>10.35772550757591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graphiques!$B$12:$T$12</c:f>
              <c:numCache>
                <c:formatCode>General</c:formatCode>
                <c:ptCount val="19"/>
                <c:pt idx="0">
                  <c:v>50.0</c:v>
                </c:pt>
                <c:pt idx="1">
                  <c:v>76.1</c:v>
                </c:pt>
                <c:pt idx="4">
                  <c:v>60.0</c:v>
                </c:pt>
                <c:pt idx="6">
                  <c:v>52.1</c:v>
                </c:pt>
                <c:pt idx="8">
                  <c:v>52.7</c:v>
                </c:pt>
                <c:pt idx="10">
                  <c:v>47.8</c:v>
                </c:pt>
                <c:pt idx="11">
                  <c:v>54.3</c:v>
                </c:pt>
                <c:pt idx="13">
                  <c:v>47.6</c:v>
                </c:pt>
                <c:pt idx="16">
                  <c:v>61.1</c:v>
                </c:pt>
                <c:pt idx="18">
                  <c:v>70.0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graphiques!$A$13</c:f>
              <c:strCache>
                <c:ptCount val="1"/>
                <c:pt idx="0">
                  <c:v>12bx3b C3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graphiques!$B$84:$T$84</c:f>
                <c:numCache>
                  <c:formatCode>General</c:formatCode>
                  <c:ptCount val="19"/>
                  <c:pt idx="1">
                    <c:v>6.802200934212841</c:v>
                  </c:pt>
                  <c:pt idx="3">
                    <c:v>0.0</c:v>
                  </c:pt>
                  <c:pt idx="4">
                    <c:v>9.214982790216375</c:v>
                  </c:pt>
                  <c:pt idx="6">
                    <c:v>16.80490613729925</c:v>
                  </c:pt>
                  <c:pt idx="8">
                    <c:v>11.6014935577241</c:v>
                  </c:pt>
                  <c:pt idx="10">
                    <c:v>8.217549817311727</c:v>
                  </c:pt>
                  <c:pt idx="11">
                    <c:v>0.0</c:v>
                  </c:pt>
                  <c:pt idx="12">
                    <c:v>16.78827132505646</c:v>
                  </c:pt>
                  <c:pt idx="13">
                    <c:v>14.17034259848115</c:v>
                  </c:pt>
                  <c:pt idx="15">
                    <c:v>10.85282820120326</c:v>
                  </c:pt>
                  <c:pt idx="17">
                    <c:v>0.0</c:v>
                  </c:pt>
                  <c:pt idx="18">
                    <c:v>13.95005812869385</c:v>
                  </c:pt>
                </c:numCache>
              </c:numRef>
            </c:plus>
            <c:minus>
              <c:numRef>
                <c:f>graphiques!$B$84:$T$84</c:f>
                <c:numCache>
                  <c:formatCode>General</c:formatCode>
                  <c:ptCount val="19"/>
                  <c:pt idx="1">
                    <c:v>6.802200934212841</c:v>
                  </c:pt>
                  <c:pt idx="3">
                    <c:v>0.0</c:v>
                  </c:pt>
                  <c:pt idx="4">
                    <c:v>9.214982790216375</c:v>
                  </c:pt>
                  <c:pt idx="6">
                    <c:v>16.80490613729925</c:v>
                  </c:pt>
                  <c:pt idx="8">
                    <c:v>11.6014935577241</c:v>
                  </c:pt>
                  <c:pt idx="10">
                    <c:v>8.217549817311727</c:v>
                  </c:pt>
                  <c:pt idx="11">
                    <c:v>0.0</c:v>
                  </c:pt>
                  <c:pt idx="12">
                    <c:v>16.78827132505646</c:v>
                  </c:pt>
                  <c:pt idx="13">
                    <c:v>14.17034259848115</c:v>
                  </c:pt>
                  <c:pt idx="15">
                    <c:v>10.85282820120326</c:v>
                  </c:pt>
                  <c:pt idx="17">
                    <c:v>0.0</c:v>
                  </c:pt>
                  <c:pt idx="18">
                    <c:v>13.95005812869385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graphiques!$B$13:$T$13</c:f>
              <c:numCache>
                <c:formatCode>General</c:formatCode>
                <c:ptCount val="19"/>
                <c:pt idx="0">
                  <c:v>50.0</c:v>
                </c:pt>
                <c:pt idx="1">
                  <c:v>70.5</c:v>
                </c:pt>
                <c:pt idx="4">
                  <c:v>48.9</c:v>
                </c:pt>
                <c:pt idx="6">
                  <c:v>52.2</c:v>
                </c:pt>
                <c:pt idx="8">
                  <c:v>75.8</c:v>
                </c:pt>
                <c:pt idx="10">
                  <c:v>69.1</c:v>
                </c:pt>
                <c:pt idx="12">
                  <c:v>59.3</c:v>
                </c:pt>
                <c:pt idx="13">
                  <c:v>76.1</c:v>
                </c:pt>
                <c:pt idx="15">
                  <c:v>78.4</c:v>
                </c:pt>
                <c:pt idx="18">
                  <c:v>75.8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590984"/>
        <c:axId val="-2130594056"/>
      </c:scatterChart>
      <c:valAx>
        <c:axId val="-213059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594056"/>
        <c:crosses val="autoZero"/>
        <c:crossBetween val="midCat"/>
      </c:valAx>
      <c:valAx>
        <c:axId val="-213059405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590984"/>
        <c:crosses val="autoZero"/>
        <c:crossBetween val="midCat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graphiques!$A$14</c:f>
              <c:strCache>
                <c:ptCount val="1"/>
                <c:pt idx="0">
                  <c:v>12bx3b glu1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graphiques!$B$85:$H$85</c:f>
                <c:numCache>
                  <c:formatCode>General</c:formatCode>
                  <c:ptCount val="7"/>
                  <c:pt idx="1">
                    <c:v>14.78900182225918</c:v>
                  </c:pt>
                  <c:pt idx="3">
                    <c:v>14.1118345428123</c:v>
                  </c:pt>
                  <c:pt idx="4">
                    <c:v>14.03016199392692</c:v>
                  </c:pt>
                  <c:pt idx="6">
                    <c:v>13.40997366306231</c:v>
                  </c:pt>
                </c:numCache>
              </c:numRef>
            </c:plus>
            <c:minus>
              <c:numRef>
                <c:f>graphiques!$B$85:$H$85</c:f>
                <c:numCache>
                  <c:formatCode>General</c:formatCode>
                  <c:ptCount val="7"/>
                  <c:pt idx="1">
                    <c:v>14.78900182225918</c:v>
                  </c:pt>
                  <c:pt idx="3">
                    <c:v>14.1118345428123</c:v>
                  </c:pt>
                  <c:pt idx="4">
                    <c:v>14.03016199392692</c:v>
                  </c:pt>
                  <c:pt idx="6">
                    <c:v>13.40997366306231</c:v>
                  </c:pt>
                </c:numCache>
              </c:numRef>
            </c:minus>
          </c:errBars>
          <c:xVal>
            <c:numRef>
              <c:f>graphiques!$B$1:$H$1</c:f>
              <c:numCache>
                <c:formatCode>General</c:formatCode>
                <c:ptCount val="7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</c:numCache>
            </c:numRef>
          </c:xVal>
          <c:yVal>
            <c:numRef>
              <c:f>graphiques!$B$14:$H$14</c:f>
              <c:numCache>
                <c:formatCode>General</c:formatCode>
                <c:ptCount val="7"/>
                <c:pt idx="0">
                  <c:v>50.0</c:v>
                </c:pt>
                <c:pt idx="1">
                  <c:v>75.0</c:v>
                </c:pt>
                <c:pt idx="3">
                  <c:v>67.9</c:v>
                </c:pt>
                <c:pt idx="4">
                  <c:v>57.0</c:v>
                </c:pt>
                <c:pt idx="6" formatCode="0.0">
                  <c:v>66.83673469387755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graphiques!$A$15</c:f>
              <c:strCache>
                <c:ptCount val="1"/>
                <c:pt idx="0">
                  <c:v>12bx3b glu2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graphiques!$B$86:$T$86</c:f>
                <c:numCache>
                  <c:formatCode>General</c:formatCode>
                  <c:ptCount val="19"/>
                  <c:pt idx="1">
                    <c:v>14.12</c:v>
                  </c:pt>
                  <c:pt idx="3">
                    <c:v>0.0</c:v>
                  </c:pt>
                  <c:pt idx="4">
                    <c:v>10.89814383540571</c:v>
                  </c:pt>
                  <c:pt idx="6">
                    <c:v>15.38564467987561</c:v>
                  </c:pt>
                  <c:pt idx="8">
                    <c:v>3.68</c:v>
                  </c:pt>
                  <c:pt idx="10">
                    <c:v>17.03852345095726</c:v>
                  </c:pt>
                  <c:pt idx="11">
                    <c:v>15.24137903720151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16.06348317554106</c:v>
                  </c:pt>
                  <c:pt idx="15">
                    <c:v>13.67778119810613</c:v>
                  </c:pt>
                  <c:pt idx="17">
                    <c:v>0.0</c:v>
                  </c:pt>
                  <c:pt idx="18">
                    <c:v>17.21220563890358</c:v>
                  </c:pt>
                </c:numCache>
              </c:numRef>
            </c:plus>
            <c:minus>
              <c:numRef>
                <c:f>graphiques!$B$86:$T$86</c:f>
                <c:numCache>
                  <c:formatCode>General</c:formatCode>
                  <c:ptCount val="19"/>
                  <c:pt idx="1">
                    <c:v>14.12</c:v>
                  </c:pt>
                  <c:pt idx="3">
                    <c:v>0.0</c:v>
                  </c:pt>
                  <c:pt idx="4">
                    <c:v>10.89814383540571</c:v>
                  </c:pt>
                  <c:pt idx="6">
                    <c:v>15.38564467987561</c:v>
                  </c:pt>
                  <c:pt idx="8">
                    <c:v>3.68</c:v>
                  </c:pt>
                  <c:pt idx="10">
                    <c:v>17.03852345095726</c:v>
                  </c:pt>
                  <c:pt idx="11">
                    <c:v>15.24137903720151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16.06348317554106</c:v>
                  </c:pt>
                  <c:pt idx="15">
                    <c:v>13.67778119810613</c:v>
                  </c:pt>
                  <c:pt idx="17">
                    <c:v>0.0</c:v>
                  </c:pt>
                  <c:pt idx="18">
                    <c:v>17.21220563890358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graphiques!$B$15:$T$15</c:f>
              <c:numCache>
                <c:formatCode>General</c:formatCode>
                <c:ptCount val="19"/>
                <c:pt idx="0">
                  <c:v>50.0</c:v>
                </c:pt>
                <c:pt idx="1">
                  <c:v>64.8</c:v>
                </c:pt>
                <c:pt idx="4">
                  <c:v>30.5</c:v>
                </c:pt>
                <c:pt idx="6">
                  <c:v>46.5</c:v>
                </c:pt>
                <c:pt idx="8">
                  <c:v>39.0</c:v>
                </c:pt>
                <c:pt idx="10">
                  <c:v>40.6</c:v>
                </c:pt>
                <c:pt idx="11">
                  <c:v>52.1</c:v>
                </c:pt>
                <c:pt idx="14">
                  <c:v>63.7</c:v>
                </c:pt>
                <c:pt idx="15">
                  <c:v>55.8</c:v>
                </c:pt>
                <c:pt idx="18">
                  <c:v>51.1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graphiques!$A$16</c:f>
              <c:strCache>
                <c:ptCount val="1"/>
                <c:pt idx="0">
                  <c:v>12bx3b glu3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graphiques!$B$87:$T$87</c:f>
                <c:numCache>
                  <c:formatCode>General</c:formatCode>
                  <c:ptCount val="19"/>
                  <c:pt idx="1">
                    <c:v>12.67800477109134</c:v>
                  </c:pt>
                  <c:pt idx="3">
                    <c:v>0.0</c:v>
                  </c:pt>
                  <c:pt idx="4">
                    <c:v>0.0</c:v>
                  </c:pt>
                  <c:pt idx="6">
                    <c:v>15.49557121940904</c:v>
                  </c:pt>
                  <c:pt idx="8">
                    <c:v>8.217549817311727</c:v>
                  </c:pt>
                  <c:pt idx="10">
                    <c:v>15.43172648449765</c:v>
                  </c:pt>
                  <c:pt idx="11">
                    <c:v>6.43893168400373</c:v>
                  </c:pt>
                  <c:pt idx="12">
                    <c:v>0.0</c:v>
                  </c:pt>
                  <c:pt idx="13">
                    <c:v>15.79672547043463</c:v>
                  </c:pt>
                  <c:pt idx="15">
                    <c:v>15.1488039281655</c:v>
                  </c:pt>
                  <c:pt idx="17">
                    <c:v>0.0</c:v>
                  </c:pt>
                  <c:pt idx="18">
                    <c:v>18.25028420664353</c:v>
                  </c:pt>
                </c:numCache>
              </c:numRef>
            </c:plus>
            <c:minus>
              <c:numRef>
                <c:f>graphiques!$B$87:$T$87</c:f>
                <c:numCache>
                  <c:formatCode>General</c:formatCode>
                  <c:ptCount val="19"/>
                  <c:pt idx="1">
                    <c:v>12.67800477109134</c:v>
                  </c:pt>
                  <c:pt idx="3">
                    <c:v>0.0</c:v>
                  </c:pt>
                  <c:pt idx="4">
                    <c:v>0.0</c:v>
                  </c:pt>
                  <c:pt idx="6">
                    <c:v>15.49557121940904</c:v>
                  </c:pt>
                  <c:pt idx="8">
                    <c:v>8.217549817311727</c:v>
                  </c:pt>
                  <c:pt idx="10">
                    <c:v>15.43172648449765</c:v>
                  </c:pt>
                  <c:pt idx="11">
                    <c:v>6.43893168400373</c:v>
                  </c:pt>
                  <c:pt idx="12">
                    <c:v>0.0</c:v>
                  </c:pt>
                  <c:pt idx="13">
                    <c:v>15.79672547043463</c:v>
                  </c:pt>
                  <c:pt idx="15">
                    <c:v>15.1488039281655</c:v>
                  </c:pt>
                  <c:pt idx="17">
                    <c:v>0.0</c:v>
                  </c:pt>
                  <c:pt idx="18">
                    <c:v>18.25028420664353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graphiques!$B$16:$T$16</c:f>
              <c:numCache>
                <c:formatCode>General</c:formatCode>
                <c:ptCount val="19"/>
                <c:pt idx="0">
                  <c:v>50.0</c:v>
                </c:pt>
                <c:pt idx="1">
                  <c:v>56.8</c:v>
                </c:pt>
                <c:pt idx="4">
                  <c:v>53.4</c:v>
                </c:pt>
                <c:pt idx="6">
                  <c:v>53.2</c:v>
                </c:pt>
                <c:pt idx="8">
                  <c:v>43.8</c:v>
                </c:pt>
                <c:pt idx="10">
                  <c:v>41.0</c:v>
                </c:pt>
                <c:pt idx="11">
                  <c:v>39.9</c:v>
                </c:pt>
                <c:pt idx="13">
                  <c:v>44.7</c:v>
                </c:pt>
                <c:pt idx="15">
                  <c:v>50.0</c:v>
                </c:pt>
                <c:pt idx="18">
                  <c:v>57.1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33592"/>
        <c:axId val="-2130636664"/>
      </c:scatterChart>
      <c:valAx>
        <c:axId val="-213063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636664"/>
        <c:crosses val="autoZero"/>
        <c:crossBetween val="midCat"/>
      </c:valAx>
      <c:valAx>
        <c:axId val="-213063666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633592"/>
        <c:crosses val="autoZero"/>
        <c:crossBetween val="midCat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graphiques!$A$17</c:f>
              <c:strCache>
                <c:ptCount val="1"/>
                <c:pt idx="0">
                  <c:v>12bx3b A1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graphiques!$B$88:$H$88</c:f>
                <c:numCache>
                  <c:formatCode>General</c:formatCode>
                  <c:ptCount val="7"/>
                  <c:pt idx="1">
                    <c:v>0.0</c:v>
                  </c:pt>
                  <c:pt idx="3">
                    <c:v>16.96550079586116</c:v>
                  </c:pt>
                  <c:pt idx="4">
                    <c:v>14.74669018635279</c:v>
                  </c:pt>
                  <c:pt idx="6">
                    <c:v>7.503126814857011</c:v>
                  </c:pt>
                </c:numCache>
              </c:numRef>
            </c:plus>
            <c:minus>
              <c:numRef>
                <c:f>graphiques!$B$88:$H$88</c:f>
                <c:numCache>
                  <c:formatCode>General</c:formatCode>
                  <c:ptCount val="7"/>
                  <c:pt idx="1">
                    <c:v>0.0</c:v>
                  </c:pt>
                  <c:pt idx="3">
                    <c:v>16.96550079586116</c:v>
                  </c:pt>
                  <c:pt idx="4">
                    <c:v>14.74669018635279</c:v>
                  </c:pt>
                  <c:pt idx="6">
                    <c:v>7.503126814857011</c:v>
                  </c:pt>
                </c:numCache>
              </c:numRef>
            </c:minus>
          </c:errBars>
          <c:xVal>
            <c:numRef>
              <c:f>graphiques!$B$1:$H$1</c:f>
              <c:numCache>
                <c:formatCode>General</c:formatCode>
                <c:ptCount val="7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</c:numCache>
            </c:numRef>
          </c:xVal>
          <c:yVal>
            <c:numRef>
              <c:f>graphiques!$B$17:$H$17</c:f>
              <c:numCache>
                <c:formatCode>General</c:formatCode>
                <c:ptCount val="7"/>
                <c:pt idx="0">
                  <c:v>50.0</c:v>
                </c:pt>
                <c:pt idx="1">
                  <c:v>55.6</c:v>
                </c:pt>
                <c:pt idx="3">
                  <c:v>60.1</c:v>
                </c:pt>
                <c:pt idx="4">
                  <c:v>47.8</c:v>
                </c:pt>
                <c:pt idx="6" formatCode="0.0">
                  <c:v>60.86956521739131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graphiques!$A$18</c:f>
              <c:strCache>
                <c:ptCount val="1"/>
                <c:pt idx="0">
                  <c:v>12bx3b A2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graphiques!$B$89:$T$89</c:f>
                <c:numCache>
                  <c:formatCode>General</c:formatCode>
                  <c:ptCount val="19"/>
                  <c:pt idx="1">
                    <c:v>25.36226825744872</c:v>
                  </c:pt>
                  <c:pt idx="3">
                    <c:v>0.0</c:v>
                  </c:pt>
                  <c:pt idx="4">
                    <c:v>3.873608791607967</c:v>
                  </c:pt>
                  <c:pt idx="6">
                    <c:v>16.05206385292085</c:v>
                  </c:pt>
                  <c:pt idx="8">
                    <c:v>11.98</c:v>
                  </c:pt>
                  <c:pt idx="10">
                    <c:v>14.35208167436486</c:v>
                  </c:pt>
                  <c:pt idx="11">
                    <c:v>0.0</c:v>
                  </c:pt>
                  <c:pt idx="12">
                    <c:v>14.641586818244</c:v>
                  </c:pt>
                  <c:pt idx="13">
                    <c:v>16.45267668728512</c:v>
                  </c:pt>
                  <c:pt idx="15">
                    <c:v>14.54488956594547</c:v>
                  </c:pt>
                  <c:pt idx="17">
                    <c:v>0.0</c:v>
                  </c:pt>
                  <c:pt idx="18">
                    <c:v>13.89429040118236</c:v>
                  </c:pt>
                </c:numCache>
              </c:numRef>
            </c:plus>
            <c:minus>
              <c:numRef>
                <c:f>graphiques!$B$89:$T$89</c:f>
                <c:numCache>
                  <c:formatCode>General</c:formatCode>
                  <c:ptCount val="19"/>
                  <c:pt idx="1">
                    <c:v>25.36226825744872</c:v>
                  </c:pt>
                  <c:pt idx="3">
                    <c:v>0.0</c:v>
                  </c:pt>
                  <c:pt idx="4">
                    <c:v>3.873608791607967</c:v>
                  </c:pt>
                  <c:pt idx="6">
                    <c:v>16.05206385292085</c:v>
                  </c:pt>
                  <c:pt idx="8">
                    <c:v>11.98</c:v>
                  </c:pt>
                  <c:pt idx="10">
                    <c:v>14.35208167436486</c:v>
                  </c:pt>
                  <c:pt idx="11">
                    <c:v>0.0</c:v>
                  </c:pt>
                  <c:pt idx="12">
                    <c:v>14.641586818244</c:v>
                  </c:pt>
                  <c:pt idx="13">
                    <c:v>16.45267668728512</c:v>
                  </c:pt>
                  <c:pt idx="15">
                    <c:v>14.54488956594547</c:v>
                  </c:pt>
                  <c:pt idx="17">
                    <c:v>0.0</c:v>
                  </c:pt>
                  <c:pt idx="18">
                    <c:v>13.89429040118236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graphiques!$B$18:$T$18</c:f>
              <c:numCache>
                <c:formatCode>General</c:formatCode>
                <c:ptCount val="19"/>
                <c:pt idx="0">
                  <c:v>50.0</c:v>
                </c:pt>
                <c:pt idx="1">
                  <c:v>50.0</c:v>
                </c:pt>
                <c:pt idx="4">
                  <c:v>41.4</c:v>
                </c:pt>
                <c:pt idx="6">
                  <c:v>59.2</c:v>
                </c:pt>
                <c:pt idx="8">
                  <c:v>58.7</c:v>
                </c:pt>
                <c:pt idx="10">
                  <c:v>64.5</c:v>
                </c:pt>
                <c:pt idx="12">
                  <c:v>51.7</c:v>
                </c:pt>
                <c:pt idx="13">
                  <c:v>60.2</c:v>
                </c:pt>
                <c:pt idx="15">
                  <c:v>46.8</c:v>
                </c:pt>
                <c:pt idx="18">
                  <c:v>60.6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graphiques!$A$19</c:f>
              <c:strCache>
                <c:ptCount val="1"/>
                <c:pt idx="0">
                  <c:v>12bx3b A3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graphiques!$B$90:$T$90</c:f>
                <c:numCache>
                  <c:formatCode>General</c:formatCode>
                  <c:ptCount val="19"/>
                  <c:pt idx="1">
                    <c:v>12.23517472355813</c:v>
                  </c:pt>
                  <c:pt idx="3">
                    <c:v>0.0</c:v>
                  </c:pt>
                  <c:pt idx="4">
                    <c:v>5.61521922571594</c:v>
                  </c:pt>
                  <c:pt idx="6">
                    <c:v>15.67647528056423</c:v>
                  </c:pt>
                  <c:pt idx="8">
                    <c:v>7.972763976553223</c:v>
                  </c:pt>
                  <c:pt idx="10">
                    <c:v>16.58704600981945</c:v>
                  </c:pt>
                  <c:pt idx="11">
                    <c:v>10.07321992112074</c:v>
                  </c:pt>
                  <c:pt idx="12">
                    <c:v>0.0</c:v>
                  </c:pt>
                  <c:pt idx="13">
                    <c:v>16.90164421074245</c:v>
                  </c:pt>
                  <c:pt idx="15">
                    <c:v>3.233908268843386</c:v>
                  </c:pt>
                  <c:pt idx="17">
                    <c:v>0.0</c:v>
                  </c:pt>
                  <c:pt idx="18">
                    <c:v>18.24736731333653</c:v>
                  </c:pt>
                </c:numCache>
              </c:numRef>
            </c:plus>
            <c:minus>
              <c:numRef>
                <c:f>graphiques!$B$90:$T$90</c:f>
                <c:numCache>
                  <c:formatCode>General</c:formatCode>
                  <c:ptCount val="19"/>
                  <c:pt idx="1">
                    <c:v>12.23517472355813</c:v>
                  </c:pt>
                  <c:pt idx="3">
                    <c:v>0.0</c:v>
                  </c:pt>
                  <c:pt idx="4">
                    <c:v>5.61521922571594</c:v>
                  </c:pt>
                  <c:pt idx="6">
                    <c:v>15.67647528056423</c:v>
                  </c:pt>
                  <c:pt idx="8">
                    <c:v>7.972763976553223</c:v>
                  </c:pt>
                  <c:pt idx="10">
                    <c:v>16.58704600981945</c:v>
                  </c:pt>
                  <c:pt idx="11">
                    <c:v>10.07321992112074</c:v>
                  </c:pt>
                  <c:pt idx="12">
                    <c:v>0.0</c:v>
                  </c:pt>
                  <c:pt idx="13">
                    <c:v>16.90164421074245</c:v>
                  </c:pt>
                  <c:pt idx="15">
                    <c:v>3.233908268843386</c:v>
                  </c:pt>
                  <c:pt idx="17">
                    <c:v>0.0</c:v>
                  </c:pt>
                  <c:pt idx="18">
                    <c:v>18.24736731333653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graphiques!$B$19:$T$19</c:f>
              <c:numCache>
                <c:formatCode>General</c:formatCode>
                <c:ptCount val="19"/>
                <c:pt idx="0">
                  <c:v>50.0</c:v>
                </c:pt>
                <c:pt idx="1">
                  <c:v>50.0</c:v>
                </c:pt>
                <c:pt idx="4">
                  <c:v>40.3</c:v>
                </c:pt>
                <c:pt idx="6">
                  <c:v>48.4</c:v>
                </c:pt>
                <c:pt idx="8">
                  <c:v>60.1</c:v>
                </c:pt>
                <c:pt idx="10">
                  <c:v>64.9</c:v>
                </c:pt>
                <c:pt idx="11">
                  <c:v>56.8</c:v>
                </c:pt>
                <c:pt idx="13">
                  <c:v>36.8</c:v>
                </c:pt>
                <c:pt idx="15">
                  <c:v>46.5</c:v>
                </c:pt>
                <c:pt idx="18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75736"/>
        <c:axId val="-2130678808"/>
      </c:scatterChart>
      <c:valAx>
        <c:axId val="-213067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678808"/>
        <c:crosses val="autoZero"/>
        <c:crossBetween val="midCat"/>
      </c:valAx>
      <c:valAx>
        <c:axId val="-213067880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675736"/>
        <c:crosses val="autoZero"/>
        <c:crossBetween val="midCat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graphiques!$A$2</c:f>
              <c:strCache>
                <c:ptCount val="1"/>
                <c:pt idx="0">
                  <c:v>10bx3b C1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graphiques!$B$73:$H$73</c:f>
                <c:numCache>
                  <c:formatCode>General</c:formatCode>
                  <c:ptCount val="7"/>
                  <c:pt idx="1">
                    <c:v>16.96045858767321</c:v>
                  </c:pt>
                  <c:pt idx="3">
                    <c:v>18.53041227244067</c:v>
                  </c:pt>
                  <c:pt idx="4">
                    <c:v>15.19409545985783</c:v>
                  </c:pt>
                  <c:pt idx="6">
                    <c:v>14.49390862040927</c:v>
                  </c:pt>
                </c:numCache>
              </c:numRef>
            </c:plus>
            <c:minus>
              <c:numRef>
                <c:f>graphiques!$B$73:$H$73</c:f>
                <c:numCache>
                  <c:formatCode>General</c:formatCode>
                  <c:ptCount val="7"/>
                  <c:pt idx="1">
                    <c:v>16.96045858767321</c:v>
                  </c:pt>
                  <c:pt idx="3">
                    <c:v>18.53041227244067</c:v>
                  </c:pt>
                  <c:pt idx="4">
                    <c:v>15.19409545985783</c:v>
                  </c:pt>
                  <c:pt idx="6">
                    <c:v>14.49390862040927</c:v>
                  </c:pt>
                </c:numCache>
              </c:numRef>
            </c:minus>
          </c:errBars>
          <c:xVal>
            <c:numRef>
              <c:f>graphiques!$B$1:$J$1</c:f>
              <c:numCache>
                <c:formatCode>General</c:formatCode>
                <c:ptCount val="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</c:numCache>
            </c:numRef>
          </c:xVal>
          <c:yVal>
            <c:numRef>
              <c:f>graphiques!$B$2:$J$2</c:f>
              <c:numCache>
                <c:formatCode>General</c:formatCode>
                <c:ptCount val="9"/>
                <c:pt idx="0">
                  <c:v>50.0</c:v>
                </c:pt>
                <c:pt idx="1">
                  <c:v>37.9</c:v>
                </c:pt>
                <c:pt idx="3">
                  <c:v>50.0</c:v>
                </c:pt>
                <c:pt idx="4">
                  <c:v>49.5</c:v>
                </c:pt>
                <c:pt idx="6" formatCode="0.0">
                  <c:v>60.71428571428571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graphiques!$A$3</c:f>
              <c:strCache>
                <c:ptCount val="1"/>
                <c:pt idx="0">
                  <c:v>10bx3b C2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graphiques!$B$74:$T$74</c:f>
                <c:numCache>
                  <c:formatCode>General</c:formatCode>
                  <c:ptCount val="19"/>
                  <c:pt idx="1">
                    <c:v>14.66915324462581</c:v>
                  </c:pt>
                  <c:pt idx="3">
                    <c:v>0.0</c:v>
                  </c:pt>
                  <c:pt idx="4">
                    <c:v>12.72</c:v>
                  </c:pt>
                  <c:pt idx="6">
                    <c:v>15.29016533585644</c:v>
                  </c:pt>
                  <c:pt idx="8">
                    <c:v>9.350961663178975</c:v>
                  </c:pt>
                  <c:pt idx="10">
                    <c:v>15.38264007801206</c:v>
                  </c:pt>
                  <c:pt idx="11">
                    <c:v>12.33344976794988</c:v>
                  </c:pt>
                  <c:pt idx="12">
                    <c:v>0.0</c:v>
                  </c:pt>
                  <c:pt idx="13">
                    <c:v>13.4015519110847</c:v>
                  </c:pt>
                  <c:pt idx="17">
                    <c:v>0.0</c:v>
                  </c:pt>
                  <c:pt idx="18">
                    <c:v>11.47551349071552</c:v>
                  </c:pt>
                </c:numCache>
              </c:numRef>
            </c:plus>
            <c:minus>
              <c:numRef>
                <c:f>graphiques!$B$74:$T$74</c:f>
                <c:numCache>
                  <c:formatCode>General</c:formatCode>
                  <c:ptCount val="19"/>
                  <c:pt idx="1">
                    <c:v>14.66915324462581</c:v>
                  </c:pt>
                  <c:pt idx="3">
                    <c:v>0.0</c:v>
                  </c:pt>
                  <c:pt idx="4">
                    <c:v>12.72</c:v>
                  </c:pt>
                  <c:pt idx="6">
                    <c:v>15.29016533585644</c:v>
                  </c:pt>
                  <c:pt idx="8">
                    <c:v>9.350961663178975</c:v>
                  </c:pt>
                  <c:pt idx="10">
                    <c:v>15.38264007801206</c:v>
                  </c:pt>
                  <c:pt idx="11">
                    <c:v>12.33344976794988</c:v>
                  </c:pt>
                  <c:pt idx="12">
                    <c:v>0.0</c:v>
                  </c:pt>
                  <c:pt idx="13">
                    <c:v>13.4015519110847</c:v>
                  </c:pt>
                  <c:pt idx="17">
                    <c:v>0.0</c:v>
                  </c:pt>
                  <c:pt idx="18">
                    <c:v>11.47551349071552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graphiques!$B$3:$T$3</c:f>
              <c:numCache>
                <c:formatCode>General</c:formatCode>
                <c:ptCount val="19"/>
                <c:pt idx="0">
                  <c:v>50.0</c:v>
                </c:pt>
                <c:pt idx="1">
                  <c:v>23.1</c:v>
                </c:pt>
                <c:pt idx="4">
                  <c:v>50.0</c:v>
                </c:pt>
                <c:pt idx="6">
                  <c:v>50.5</c:v>
                </c:pt>
                <c:pt idx="8">
                  <c:v>67.9</c:v>
                </c:pt>
                <c:pt idx="10">
                  <c:v>73.4</c:v>
                </c:pt>
                <c:pt idx="11">
                  <c:v>80.4</c:v>
                </c:pt>
                <c:pt idx="13">
                  <c:v>82.1</c:v>
                </c:pt>
                <c:pt idx="15">
                  <c:v>83.7</c:v>
                </c:pt>
                <c:pt idx="18">
                  <c:v>87.2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graphiques!$A$4</c:f>
              <c:strCache>
                <c:ptCount val="1"/>
                <c:pt idx="0">
                  <c:v>10bx3b C3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graphiques!$B$75:$T$75</c:f>
                <c:numCache>
                  <c:formatCode>General</c:formatCode>
                  <c:ptCount val="19"/>
                  <c:pt idx="1">
                    <c:v>13.17996495514235</c:v>
                  </c:pt>
                  <c:pt idx="3">
                    <c:v>0.0</c:v>
                  </c:pt>
                  <c:pt idx="4">
                    <c:v>6.250167636313909</c:v>
                  </c:pt>
                  <c:pt idx="6">
                    <c:v>14.99505037712442</c:v>
                  </c:pt>
                  <c:pt idx="8">
                    <c:v>7.316121951507237</c:v>
                  </c:pt>
                  <c:pt idx="10">
                    <c:v>15.39973814708174</c:v>
                  </c:pt>
                  <c:pt idx="11">
                    <c:v>14.99385399805754</c:v>
                  </c:pt>
                  <c:pt idx="12">
                    <c:v>0.0</c:v>
                  </c:pt>
                  <c:pt idx="13">
                    <c:v>16.75105096672615</c:v>
                  </c:pt>
                  <c:pt idx="15">
                    <c:v>10.10890487781162</c:v>
                  </c:pt>
                  <c:pt idx="17">
                    <c:v>0.0</c:v>
                  </c:pt>
                  <c:pt idx="18">
                    <c:v>13.47698665338537</c:v>
                  </c:pt>
                </c:numCache>
              </c:numRef>
            </c:plus>
            <c:minus>
              <c:numRef>
                <c:f>graphiques!$B$75:$T$75</c:f>
                <c:numCache>
                  <c:formatCode>General</c:formatCode>
                  <c:ptCount val="19"/>
                  <c:pt idx="1">
                    <c:v>13.17996495514235</c:v>
                  </c:pt>
                  <c:pt idx="3">
                    <c:v>0.0</c:v>
                  </c:pt>
                  <c:pt idx="4">
                    <c:v>6.250167636313909</c:v>
                  </c:pt>
                  <c:pt idx="6">
                    <c:v>14.99505037712442</c:v>
                  </c:pt>
                  <c:pt idx="8">
                    <c:v>7.316121951507237</c:v>
                  </c:pt>
                  <c:pt idx="10">
                    <c:v>15.39973814708174</c:v>
                  </c:pt>
                  <c:pt idx="11">
                    <c:v>14.99385399805754</c:v>
                  </c:pt>
                  <c:pt idx="12">
                    <c:v>0.0</c:v>
                  </c:pt>
                  <c:pt idx="13">
                    <c:v>16.75105096672615</c:v>
                  </c:pt>
                  <c:pt idx="15">
                    <c:v>10.10890487781162</c:v>
                  </c:pt>
                  <c:pt idx="17">
                    <c:v>0.0</c:v>
                  </c:pt>
                  <c:pt idx="18">
                    <c:v>13.47698665338537</c:v>
                  </c:pt>
                </c:numCache>
              </c:numRef>
            </c:minus>
          </c:errBars>
          <c:xVal>
            <c:numRef>
              <c:f>graphiques!$B$1:$T$1</c:f>
              <c:numCache>
                <c:formatCode>General</c:formatCode>
                <c:ptCount val="19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26.0</c:v>
                </c:pt>
                <c:pt idx="13">
                  <c:v>30.0</c:v>
                </c:pt>
                <c:pt idx="14">
                  <c:v>31.0</c:v>
                </c:pt>
                <c:pt idx="15">
                  <c:v>35.0</c:v>
                </c:pt>
                <c:pt idx="16">
                  <c:v>36.0</c:v>
                </c:pt>
                <c:pt idx="17">
                  <c:v>39.0</c:v>
                </c:pt>
                <c:pt idx="18">
                  <c:v>40.0</c:v>
                </c:pt>
              </c:numCache>
            </c:numRef>
          </c:xVal>
          <c:yVal>
            <c:numRef>
              <c:f>graphiques!$B$4:$T$4</c:f>
              <c:numCache>
                <c:formatCode>General</c:formatCode>
                <c:ptCount val="19"/>
                <c:pt idx="0">
                  <c:v>50.0</c:v>
                </c:pt>
                <c:pt idx="1">
                  <c:v>41.1</c:v>
                </c:pt>
                <c:pt idx="4">
                  <c:v>72.6</c:v>
                </c:pt>
                <c:pt idx="6">
                  <c:v>71.1</c:v>
                </c:pt>
                <c:pt idx="8">
                  <c:v>68.4</c:v>
                </c:pt>
                <c:pt idx="10">
                  <c:v>68.6</c:v>
                </c:pt>
                <c:pt idx="11">
                  <c:v>69.2</c:v>
                </c:pt>
                <c:pt idx="13">
                  <c:v>61.4</c:v>
                </c:pt>
                <c:pt idx="15">
                  <c:v>78.4</c:v>
                </c:pt>
                <c:pt idx="18">
                  <c:v>80.3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60264"/>
        <c:axId val="-2127257192"/>
      </c:scatterChart>
      <c:valAx>
        <c:axId val="-212726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257192"/>
        <c:crosses val="autoZero"/>
        <c:crossBetween val="midCat"/>
      </c:valAx>
      <c:valAx>
        <c:axId val="-212725719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260264"/>
        <c:crosses val="autoZero"/>
        <c:crossBetween val="midCat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14</xdr:row>
      <xdr:rowOff>165100</xdr:rowOff>
    </xdr:from>
    <xdr:to>
      <xdr:col>29</xdr:col>
      <xdr:colOff>12700</xdr:colOff>
      <xdr:row>29</xdr:row>
      <xdr:rowOff>50800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158750</xdr:colOff>
      <xdr:row>29</xdr:row>
      <xdr:rowOff>165100</xdr:rowOff>
    </xdr:from>
    <xdr:to>
      <xdr:col>29</xdr:col>
      <xdr:colOff>12700</xdr:colOff>
      <xdr:row>44</xdr:row>
      <xdr:rowOff>50800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806450</xdr:colOff>
      <xdr:row>0</xdr:row>
      <xdr:rowOff>0</xdr:rowOff>
    </xdr:from>
    <xdr:to>
      <xdr:col>37</xdr:col>
      <xdr:colOff>241300</xdr:colOff>
      <xdr:row>14</xdr:row>
      <xdr:rowOff>76200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6350</xdr:colOff>
      <xdr:row>15</xdr:row>
      <xdr:rowOff>38100</xdr:rowOff>
    </xdr:from>
    <xdr:to>
      <xdr:col>37</xdr:col>
      <xdr:colOff>266700</xdr:colOff>
      <xdr:row>29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19050</xdr:colOff>
      <xdr:row>30</xdr:row>
      <xdr:rowOff>50800</xdr:rowOff>
    </xdr:from>
    <xdr:to>
      <xdr:col>37</xdr:col>
      <xdr:colOff>279400</xdr:colOff>
      <xdr:row>44</xdr:row>
      <xdr:rowOff>127000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82550</xdr:colOff>
      <xdr:row>0</xdr:row>
      <xdr:rowOff>63500</xdr:rowOff>
    </xdr:from>
    <xdr:to>
      <xdr:col>28</xdr:col>
      <xdr:colOff>762000</xdr:colOff>
      <xdr:row>14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6"/>
  <sheetViews>
    <sheetView tabSelected="1" topLeftCell="A10" workbookViewId="0">
      <selection activeCell="N17" sqref="N17"/>
    </sheetView>
  </sheetViews>
  <sheetFormatPr baseColWidth="10" defaultRowHeight="15" x14ac:dyDescent="0"/>
  <cols>
    <col min="1" max="1" width="10.83203125" style="10"/>
    <col min="9" max="9" width="11.6640625" customWidth="1"/>
    <col min="10" max="11" width="17.33203125" customWidth="1"/>
    <col min="12" max="16" width="11.83203125" bestFit="1" customWidth="1"/>
    <col min="25" max="25" width="30.33203125" customWidth="1"/>
  </cols>
  <sheetData>
    <row r="1" spans="1:25" ht="16">
      <c r="E1" s="5"/>
      <c r="F1" s="5"/>
      <c r="G1" s="5" t="s">
        <v>21</v>
      </c>
      <c r="H1" s="5"/>
      <c r="I1" s="5"/>
      <c r="J1" s="5"/>
      <c r="K1" s="5"/>
      <c r="L1" s="3"/>
      <c r="M1" s="3" t="s">
        <v>18</v>
      </c>
      <c r="N1" s="3"/>
      <c r="O1" s="4" t="s">
        <v>19</v>
      </c>
      <c r="P1" s="4"/>
      <c r="Q1" t="s">
        <v>25</v>
      </c>
      <c r="R1" s="12" t="s">
        <v>20</v>
      </c>
      <c r="S1" s="12"/>
      <c r="T1" s="12"/>
      <c r="V1" s="14" t="s">
        <v>22</v>
      </c>
      <c r="W1" s="14" t="s">
        <v>23</v>
      </c>
      <c r="Y1" t="s">
        <v>32</v>
      </c>
    </row>
    <row r="2" spans="1:25">
      <c r="A2" s="11" t="s">
        <v>24</v>
      </c>
      <c r="B2" s="1" t="s">
        <v>2</v>
      </c>
      <c r="C2" s="1" t="s">
        <v>3</v>
      </c>
      <c r="D2" s="1" t="s">
        <v>4</v>
      </c>
      <c r="E2" s="1" t="s">
        <v>0</v>
      </c>
      <c r="F2" s="1" t="s">
        <v>1</v>
      </c>
      <c r="G2" s="1" t="s">
        <v>9</v>
      </c>
      <c r="H2" s="1" t="s">
        <v>10</v>
      </c>
      <c r="I2" s="1" t="s">
        <v>11</v>
      </c>
      <c r="J2" s="1" t="s">
        <v>30</v>
      </c>
      <c r="K2" s="1" t="s">
        <v>31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1" t="s">
        <v>26</v>
      </c>
      <c r="R2" s="1" t="s">
        <v>0</v>
      </c>
      <c r="S2" s="1" t="s">
        <v>1</v>
      </c>
      <c r="T2" s="1" t="s">
        <v>9</v>
      </c>
    </row>
    <row r="3" spans="1:25">
      <c r="A3" s="10">
        <v>10</v>
      </c>
      <c r="B3" s="1" t="s">
        <v>7</v>
      </c>
      <c r="C3" s="9" t="s">
        <v>5</v>
      </c>
      <c r="D3" s="21" t="s">
        <v>28</v>
      </c>
      <c r="E3" s="2">
        <v>43</v>
      </c>
      <c r="F3" s="2">
        <v>20</v>
      </c>
      <c r="G3" s="2">
        <v>33</v>
      </c>
      <c r="H3" s="2">
        <v>119</v>
      </c>
      <c r="I3">
        <f t="shared" ref="I3:I4" si="0">2*F3+G3</f>
        <v>73</v>
      </c>
      <c r="J3" s="22">
        <f t="shared" ref="J3:J4" si="1">SUM(E3:G3)</f>
        <v>96</v>
      </c>
      <c r="K3" s="22">
        <v>311</v>
      </c>
      <c r="L3" s="6">
        <f t="shared" ref="L3:L4" si="2">100*(E3/(E3+F3+G3))</f>
        <v>44.791666666666671</v>
      </c>
      <c r="M3" s="6">
        <f t="shared" ref="M3:M4" si="3">100*(F3/(E3+F3+G3))</f>
        <v>20.833333333333336</v>
      </c>
      <c r="N3" s="6">
        <f t="shared" ref="N3:N4" si="4">100*(G3/(E3+F3+G3))</f>
        <v>34.375</v>
      </c>
      <c r="O3" s="23">
        <f>100*(H3/(H3+I3))</f>
        <v>61.979166666666664</v>
      </c>
      <c r="P3" s="23">
        <f>100*(I3/(H3+I3))</f>
        <v>38.020833333333329</v>
      </c>
      <c r="Q3" s="15">
        <f>1.96*SQRT((O3/100)*(P3/100)*(K3-J3)/(J3*(K3-1)))*100</f>
        <v>8.0870945360405884</v>
      </c>
      <c r="R3" s="6">
        <f>J3*(O3/100)^2</f>
        <v>36.877604166666664</v>
      </c>
      <c r="S3" s="6">
        <f t="shared" ref="S3:S4" si="5">(P3/100)^2*J3</f>
        <v>13.877604166666661</v>
      </c>
      <c r="T3" s="6">
        <f t="shared" ref="T3:T4" si="6">(O3/100)*(P3/100)*2*J3</f>
        <v>45.244791666666657</v>
      </c>
      <c r="V3">
        <f t="shared" ref="V3:V4" si="7">SUM((E3-R3)^2/R3,(F3-S3)^2/S3,(G3-T3)^2/T3)</f>
        <v>7.0313197547295747</v>
      </c>
      <c r="W3" s="28">
        <f>_xlfn.CHISQ.DIST.RT(V3, 1)</f>
        <v>8.0096303387358955E-3</v>
      </c>
      <c r="Y3" t="s">
        <v>33</v>
      </c>
    </row>
    <row r="4" spans="1:25">
      <c r="A4" s="16">
        <v>10</v>
      </c>
      <c r="B4" s="17" t="s">
        <v>7</v>
      </c>
      <c r="C4" s="17" t="s">
        <v>5</v>
      </c>
      <c r="D4" s="17" t="s">
        <v>27</v>
      </c>
      <c r="E4" s="18">
        <v>35</v>
      </c>
      <c r="F4" s="18">
        <v>19</v>
      </c>
      <c r="G4" s="18">
        <v>38</v>
      </c>
      <c r="H4" s="18">
        <f>2*E4 + G4</f>
        <v>108</v>
      </c>
      <c r="I4" s="18">
        <f t="shared" si="0"/>
        <v>76</v>
      </c>
      <c r="J4" s="18">
        <f t="shared" si="1"/>
        <v>92</v>
      </c>
      <c r="K4" s="18">
        <v>311</v>
      </c>
      <c r="L4" s="19">
        <f t="shared" si="2"/>
        <v>38.04347826086957</v>
      </c>
      <c r="M4" s="19">
        <f t="shared" si="3"/>
        <v>20.652173913043477</v>
      </c>
      <c r="N4" s="19">
        <f t="shared" si="4"/>
        <v>41.304347826086953</v>
      </c>
      <c r="O4" s="20">
        <f t="shared" ref="O4" si="8">100*(H4/(H4+I4))</f>
        <v>58.695652173913047</v>
      </c>
      <c r="P4" s="20">
        <f t="shared" ref="P4" si="9">100*(I4/(H4+I4))</f>
        <v>41.304347826086953</v>
      </c>
      <c r="Q4" s="15">
        <f t="shared" ref="Q4" si="10">1.96*SQRT((O4/100)*(P4/100)*(K4-J4)/(J4*(K4-1)))*100</f>
        <v>8.4567641559175346</v>
      </c>
      <c r="R4" s="19">
        <f t="shared" ref="R4" si="11">J4*(O4/100)^2</f>
        <v>31.69565217391305</v>
      </c>
      <c r="S4" s="19">
        <f t="shared" si="5"/>
        <v>15.695652173913039</v>
      </c>
      <c r="T4" s="19">
        <f t="shared" si="6"/>
        <v>44.608695652173907</v>
      </c>
      <c r="U4" s="18"/>
      <c r="V4">
        <f t="shared" si="7"/>
        <v>2.0192043895747585</v>
      </c>
      <c r="W4" s="7">
        <f t="shared" ref="W4" si="12">_xlfn.CHISQ.DIST.RT(V4, 1)</f>
        <v>0.15532050446432977</v>
      </c>
      <c r="Y4" t="s">
        <v>34</v>
      </c>
    </row>
    <row r="14" spans="1:25">
      <c r="J14" s="22"/>
      <c r="K14" s="22"/>
      <c r="L14" s="6"/>
      <c r="M14" s="6"/>
      <c r="N14" s="6"/>
      <c r="O14" s="8"/>
      <c r="P14" s="8"/>
      <c r="R14" s="6"/>
      <c r="S14" s="6"/>
      <c r="T14" s="6"/>
      <c r="W14" s="7"/>
    </row>
    <row r="24" spans="1:25">
      <c r="B24" s="1"/>
      <c r="C24" s="1"/>
      <c r="D24" s="1"/>
      <c r="J24" s="92" t="s">
        <v>79</v>
      </c>
      <c r="K24" s="92" t="s">
        <v>80</v>
      </c>
      <c r="L24" s="93"/>
      <c r="M24" s="93"/>
      <c r="N24" s="93"/>
      <c r="O24" s="94" t="s">
        <v>23</v>
      </c>
      <c r="P24" s="94" t="s">
        <v>78</v>
      </c>
      <c r="R24" s="6"/>
      <c r="S24" s="6"/>
      <c r="T24" s="6"/>
      <c r="W24" s="7"/>
    </row>
    <row r="25" spans="1:25">
      <c r="B25" s="1"/>
      <c r="C25" s="1"/>
      <c r="D25" s="1"/>
      <c r="J25" s="22"/>
      <c r="K25" s="22"/>
      <c r="L25" s="6"/>
      <c r="M25" s="6"/>
      <c r="N25" s="6"/>
      <c r="O25" s="8"/>
      <c r="P25" s="8"/>
      <c r="R25" s="6"/>
      <c r="S25" s="6"/>
      <c r="T25" s="6"/>
      <c r="W25" s="7"/>
    </row>
    <row r="26" spans="1:25" ht="16">
      <c r="E26" s="5"/>
      <c r="F26" s="5"/>
      <c r="G26" s="5" t="s">
        <v>21</v>
      </c>
      <c r="H26" s="5"/>
      <c r="I26" s="5"/>
      <c r="J26" s="5"/>
      <c r="K26" s="5"/>
      <c r="L26" s="3"/>
      <c r="M26" s="3" t="s">
        <v>18</v>
      </c>
      <c r="N26" s="3"/>
      <c r="O26" s="4" t="s">
        <v>19</v>
      </c>
      <c r="P26" s="4"/>
      <c r="Q26" t="s">
        <v>25</v>
      </c>
      <c r="R26" s="12" t="s">
        <v>20</v>
      </c>
      <c r="S26" s="12"/>
      <c r="T26" s="12"/>
      <c r="V26" s="14" t="s">
        <v>22</v>
      </c>
      <c r="W26" s="14" t="s">
        <v>23</v>
      </c>
      <c r="Y26" t="s">
        <v>32</v>
      </c>
    </row>
    <row r="27" spans="1:25">
      <c r="A27" s="11" t="s">
        <v>24</v>
      </c>
      <c r="B27" s="1" t="s">
        <v>2</v>
      </c>
      <c r="C27" s="1" t="s">
        <v>3</v>
      </c>
      <c r="D27" s="1" t="s">
        <v>4</v>
      </c>
      <c r="E27" s="1" t="s">
        <v>0</v>
      </c>
      <c r="F27" s="1" t="s">
        <v>1</v>
      </c>
      <c r="G27" s="1" t="s">
        <v>9</v>
      </c>
      <c r="H27" s="1" t="s">
        <v>10</v>
      </c>
      <c r="I27" s="1" t="s">
        <v>11</v>
      </c>
      <c r="J27" s="1" t="s">
        <v>30</v>
      </c>
      <c r="K27" s="1" t="s">
        <v>31</v>
      </c>
      <c r="L27" s="1" t="s">
        <v>13</v>
      </c>
      <c r="M27" s="1" t="s">
        <v>14</v>
      </c>
      <c r="N27" s="1" t="s">
        <v>15</v>
      </c>
      <c r="O27" s="1" t="s">
        <v>16</v>
      </c>
      <c r="P27" s="1" t="s">
        <v>17</v>
      </c>
      <c r="Q27" s="11" t="s">
        <v>26</v>
      </c>
      <c r="R27" s="1" t="s">
        <v>0</v>
      </c>
      <c r="S27" s="1" t="s">
        <v>1</v>
      </c>
      <c r="T27" s="1" t="s">
        <v>9</v>
      </c>
      <c r="V27" s="14"/>
      <c r="W27" s="14"/>
    </row>
    <row r="28" spans="1:25">
      <c r="A28" s="27">
        <v>10</v>
      </c>
      <c r="B28" s="1" t="s">
        <v>7</v>
      </c>
      <c r="C28" s="9" t="s">
        <v>8</v>
      </c>
      <c r="D28" s="1">
        <v>1</v>
      </c>
      <c r="E28">
        <v>62</v>
      </c>
      <c r="F28">
        <v>8</v>
      </c>
      <c r="G28" s="2">
        <v>36</v>
      </c>
      <c r="H28">
        <f>2*E28 + G28</f>
        <v>160</v>
      </c>
      <c r="I28">
        <f>2*F28+G28</f>
        <v>52</v>
      </c>
      <c r="J28" s="22">
        <f>SUM(E28:G28)</f>
        <v>106</v>
      </c>
      <c r="K28" s="22">
        <f>INT((70/0.905)+95+16)</f>
        <v>188</v>
      </c>
      <c r="L28" s="6">
        <f>100*(E28/(E28+F28+G28))</f>
        <v>58.490566037735846</v>
      </c>
      <c r="M28" s="6">
        <f>100*(F28/(E28+F28+G28))</f>
        <v>7.5471698113207548</v>
      </c>
      <c r="N28" s="6">
        <f>100*(G28/(E28+F28+G28))</f>
        <v>33.962264150943398</v>
      </c>
      <c r="O28" s="8">
        <f>100*(H28/(H28+I28))</f>
        <v>75.471698113207552</v>
      </c>
      <c r="P28" s="8">
        <f>100*(I28/(H28+I28))</f>
        <v>24.528301886792452</v>
      </c>
      <c r="Q28" s="15">
        <f t="shared" ref="Q28" si="13">1.96*SQRT((O28/100)*(P28/100)*(K28-J28)/(J28*(K28-1)))*100</f>
        <v>5.4239423376368698</v>
      </c>
      <c r="R28" s="6">
        <f>J28*(O28/100)^2</f>
        <v>60.377358490566039</v>
      </c>
      <c r="S28" s="6">
        <f>(P28/100)^2*J28</f>
        <v>6.3773584905660377</v>
      </c>
      <c r="T28" s="6">
        <f>(O28/100)*(P28/100)*2*J28</f>
        <v>39.24528301886793</v>
      </c>
      <c r="V28">
        <f>SUM((E28-R28)^2/R28,(F28-S28)^2/S28,(G28-T28)^2/T28)</f>
        <v>0.72482988165680562</v>
      </c>
      <c r="W28" s="7">
        <f>_xlfn.CHISQ.DIST.RT(V28, 1)</f>
        <v>0.39456417579400466</v>
      </c>
    </row>
    <row r="29" spans="1:25">
      <c r="A29" s="27">
        <v>5</v>
      </c>
      <c r="B29" s="1" t="s">
        <v>7</v>
      </c>
      <c r="C29" s="9" t="s">
        <v>8</v>
      </c>
      <c r="D29" s="1">
        <v>1</v>
      </c>
      <c r="E29">
        <v>46</v>
      </c>
      <c r="F29">
        <v>9</v>
      </c>
      <c r="G29" s="2">
        <v>35</v>
      </c>
      <c r="H29">
        <f>2*E29 + G29</f>
        <v>127</v>
      </c>
      <c r="I29">
        <f>2*F29+G29</f>
        <v>53</v>
      </c>
      <c r="J29" s="22">
        <f>SUM(E29:G29)</f>
        <v>90</v>
      </c>
      <c r="K29" s="22">
        <f>INT(234/0.905)+95</f>
        <v>353</v>
      </c>
      <c r="L29" s="6">
        <f>100*(E29/(E29+F29+G29))</f>
        <v>51.111111111111107</v>
      </c>
      <c r="M29" s="6">
        <f>100*(F29/(E29+F29+G29))</f>
        <v>10</v>
      </c>
      <c r="N29" s="6">
        <f>100*(G29/(E29+F29+G29))</f>
        <v>38.888888888888893</v>
      </c>
      <c r="O29" s="8">
        <f t="shared" ref="O29" si="14">100*(H29/(H29+I29))</f>
        <v>70.555555555555557</v>
      </c>
      <c r="P29" s="8">
        <f t="shared" ref="P29" si="15">100*(I29/(H29+I29))</f>
        <v>29.444444444444446</v>
      </c>
      <c r="Q29" s="15">
        <f t="shared" ref="Q29:Q30" si="16">1.96*SQRT((O29/100)*(P29/100)*(K29-J29)/(J29*(K29-1)))*100</f>
        <v>8.1397046980077494</v>
      </c>
      <c r="R29" s="6">
        <f t="shared" ref="R29" si="17">J29*(O29/100)^2</f>
        <v>44.802777777777784</v>
      </c>
      <c r="S29" s="6">
        <f t="shared" ref="S29" si="18">(P29/100)^2*J29</f>
        <v>7.8027777777777789</v>
      </c>
      <c r="T29" s="6">
        <f t="shared" ref="T29" si="19">(O29/100)*(P29/100)*2*J29</f>
        <v>37.394444444444446</v>
      </c>
      <c r="V29">
        <f>SUM((E29-R29)^2/R29,(F29-S29)^2/S29,(G29-T29)^2/T29)</f>
        <v>0.36900977326340501</v>
      </c>
      <c r="W29" s="7">
        <f t="shared" ref="W29" si="20">_xlfn.CHISQ.DIST.RT(V29, 1)</f>
        <v>0.54354452187630642</v>
      </c>
    </row>
    <row r="30" spans="1:25">
      <c r="A30" s="27">
        <v>2</v>
      </c>
      <c r="B30" s="1" t="s">
        <v>7</v>
      </c>
      <c r="C30" s="9" t="s">
        <v>8</v>
      </c>
      <c r="D30" s="1">
        <v>1</v>
      </c>
      <c r="E30">
        <v>35</v>
      </c>
      <c r="F30">
        <v>8</v>
      </c>
      <c r="G30" s="2">
        <v>46</v>
      </c>
      <c r="H30">
        <f>2*E30 + G30</f>
        <v>116</v>
      </c>
      <c r="I30">
        <f>2*F30+G30</f>
        <v>62</v>
      </c>
      <c r="J30" s="22">
        <f>SUM(E30:G30)</f>
        <v>89</v>
      </c>
      <c r="K30" s="22">
        <f>INT(439/0.905)</f>
        <v>485</v>
      </c>
      <c r="L30" s="6">
        <f>100*(E30/(E30+F30+G30))</f>
        <v>39.325842696629216</v>
      </c>
      <c r="M30" s="6">
        <f>100*(F30/(E30+F30+G30))</f>
        <v>8.9887640449438209</v>
      </c>
      <c r="N30" s="6">
        <f>100*(G30/(E30+F30+G30))</f>
        <v>51.68539325842697</v>
      </c>
      <c r="O30" s="8">
        <f t="shared" ref="O30:O31" si="21">100*(H30/(H30+I30))</f>
        <v>65.168539325842701</v>
      </c>
      <c r="P30" s="8">
        <f t="shared" ref="P30:P31" si="22">100*(I30/(H30+I30))</f>
        <v>34.831460674157306</v>
      </c>
      <c r="Q30" s="15">
        <f t="shared" si="16"/>
        <v>8.9534583405567663</v>
      </c>
      <c r="R30" s="6">
        <f t="shared" ref="R30:R31" si="23">J30*(O30/100)^2</f>
        <v>37.797752808988768</v>
      </c>
      <c r="S30" s="6">
        <f t="shared" ref="S30:S31" si="24">(P30/100)^2*J30</f>
        <v>10.797752808988765</v>
      </c>
      <c r="T30" s="6">
        <f t="shared" ref="T30:T31" si="25">(O30/100)*(P30/100)*2*J30</f>
        <v>40.404494382022477</v>
      </c>
      <c r="V30">
        <f>SUM((E30-R30)^2/R30,(F30-S30)^2/S30,(G30-T30)^2/T30)</f>
        <v>1.7069049036068991</v>
      </c>
      <c r="W30" s="7">
        <f t="shared" ref="W30" si="26">_xlfn.CHISQ.DIST.RT(V30, 1)</f>
        <v>0.19138743636072666</v>
      </c>
    </row>
    <row r="31" spans="1:25">
      <c r="A31" s="27">
        <v>0</v>
      </c>
      <c r="B31" s="1" t="s">
        <v>7</v>
      </c>
      <c r="C31" s="9" t="s">
        <v>8</v>
      </c>
      <c r="D31" s="1">
        <v>1</v>
      </c>
      <c r="E31">
        <v>39</v>
      </c>
      <c r="F31">
        <v>6</v>
      </c>
      <c r="G31" s="29">
        <v>13</v>
      </c>
      <c r="H31">
        <f>2*E31 + G31</f>
        <v>91</v>
      </c>
      <c r="I31">
        <f>2*F31+G31</f>
        <v>25</v>
      </c>
      <c r="J31" s="22">
        <f>SUM(E31:G31)</f>
        <v>58</v>
      </c>
      <c r="K31" s="22">
        <v>61</v>
      </c>
      <c r="L31" s="6">
        <f>100*(E31/(E31+F31+G31))</f>
        <v>67.241379310344826</v>
      </c>
      <c r="M31" s="6">
        <f>100*(F31/(E31+F31+G31))</f>
        <v>10.344827586206897</v>
      </c>
      <c r="N31" s="25">
        <f>100*(G31/(E31+F31+G31))</f>
        <v>22.413793103448278</v>
      </c>
      <c r="O31" s="8">
        <f t="shared" si="21"/>
        <v>78.448275862068968</v>
      </c>
      <c r="P31" s="8">
        <f t="shared" si="22"/>
        <v>21.551724137931032</v>
      </c>
      <c r="Q31" s="15">
        <f t="shared" ref="Q31" si="27">1.96*SQRT((O31/100)*(P31/100)*(K31-J31)/(J31*(K31-1)))*100</f>
        <v>2.3662454289420038</v>
      </c>
      <c r="R31" s="6">
        <f t="shared" si="23"/>
        <v>35.693965517241388</v>
      </c>
      <c r="S31" s="6">
        <f t="shared" si="24"/>
        <v>2.693965517241379</v>
      </c>
      <c r="T31" s="6">
        <f t="shared" si="25"/>
        <v>19.612068965517242</v>
      </c>
      <c r="V31">
        <f>SUM((E31-R31)^2/R31,(F31-S31)^2/S31,(G31-T31)^2/T31)</f>
        <v>6.5925877551020413</v>
      </c>
      <c r="W31" s="28">
        <f t="shared" ref="W31" si="28">_xlfn.CHISQ.DIST.RT(V31, 1)</f>
        <v>1.0240421249655572E-2</v>
      </c>
      <c r="Y31" t="s">
        <v>58</v>
      </c>
    </row>
    <row r="32" spans="1:25">
      <c r="A32" s="30" t="s">
        <v>60</v>
      </c>
      <c r="B32" s="1" t="s">
        <v>7</v>
      </c>
      <c r="C32" s="9" t="s">
        <v>8</v>
      </c>
      <c r="D32" s="1">
        <v>1</v>
      </c>
      <c r="E32">
        <v>24</v>
      </c>
      <c r="F32">
        <v>26</v>
      </c>
      <c r="G32" s="29">
        <v>1</v>
      </c>
      <c r="H32">
        <f>2*E32 + G32</f>
        <v>49</v>
      </c>
      <c r="I32">
        <f>2*F32+G32</f>
        <v>53</v>
      </c>
      <c r="J32" s="22">
        <f>SUM(E32:G32)</f>
        <v>51</v>
      </c>
      <c r="K32" s="22">
        <v>60</v>
      </c>
      <c r="L32" s="6">
        <f>100*(E32/(E32+F32+G32))</f>
        <v>47.058823529411761</v>
      </c>
      <c r="M32" s="6">
        <f>100*(F32/(E32+F32+G32))</f>
        <v>50.980392156862742</v>
      </c>
      <c r="N32" s="25">
        <f>100*(G32/(E32+F32+G32))</f>
        <v>1.9607843137254901</v>
      </c>
      <c r="O32" s="8">
        <f t="shared" ref="O32" si="29">100*(H32/(H32+I32))</f>
        <v>48.03921568627451</v>
      </c>
      <c r="P32" s="8">
        <f t="shared" ref="P32" si="30">100*(I32/(H32+I32))</f>
        <v>51.960784313725497</v>
      </c>
      <c r="Q32" s="15">
        <f t="shared" ref="Q32" si="31">1.96*SQRT((O32/100)*(P32/100)*(K32-J32)/(J32*(K32-1)))*100</f>
        <v>5.3555248062416014</v>
      </c>
      <c r="R32" s="6">
        <f t="shared" ref="R32" si="32">J32*(O32/100)^2</f>
        <v>11.769607843137255</v>
      </c>
      <c r="S32" s="6">
        <f t="shared" ref="S32" si="33">(P32/100)^2*J32</f>
        <v>13.769607843137258</v>
      </c>
      <c r="T32" s="6">
        <f t="shared" ref="T32" si="34">(O32/100)*(P32/100)*2*J32</f>
        <v>25.460784313725494</v>
      </c>
      <c r="V32">
        <f>SUM((E32-R32)^2/R32,(F32-S32)^2/S32,(G32-T32)^2/T32)</f>
        <v>47.072512209742911</v>
      </c>
      <c r="W32" s="28">
        <f t="shared" ref="W32" si="35">_xlfn.CHISQ.DIST.RT(V32, 1)</f>
        <v>6.8408386781962697E-12</v>
      </c>
      <c r="Y32" t="s">
        <v>61</v>
      </c>
    </row>
    <row r="33" spans="1:25">
      <c r="J33" s="22"/>
      <c r="K33" s="22"/>
    </row>
    <row r="34" spans="1:25">
      <c r="A34" s="13">
        <v>10</v>
      </c>
      <c r="B34" s="1" t="s">
        <v>12</v>
      </c>
      <c r="C34" s="9" t="s">
        <v>5</v>
      </c>
      <c r="D34" s="1">
        <v>1</v>
      </c>
      <c r="E34">
        <v>11</v>
      </c>
      <c r="F34">
        <v>44</v>
      </c>
      <c r="G34" s="2">
        <v>43</v>
      </c>
      <c r="H34">
        <f>2*E34 + G34</f>
        <v>65</v>
      </c>
      <c r="I34">
        <f>2*F34+G34</f>
        <v>131</v>
      </c>
      <c r="J34" s="22">
        <f>SUM(E34:G34)</f>
        <v>98</v>
      </c>
      <c r="K34" s="22">
        <f>INT((157/0.905)+95+8)</f>
        <v>276</v>
      </c>
      <c r="L34" s="6">
        <f>100*(E34/(E34+F34+G34))</f>
        <v>11.224489795918368</v>
      </c>
      <c r="M34" s="6">
        <f>100*(F34/(E34+F34+G34))</f>
        <v>44.897959183673471</v>
      </c>
      <c r="N34" s="6">
        <f>100*(G34/(E34+F34+G34))</f>
        <v>43.877551020408163</v>
      </c>
      <c r="O34" s="8">
        <f>100*(H34/(H34+I34))</f>
        <v>33.163265306122447</v>
      </c>
      <c r="P34" s="8">
        <f>100*(I34/(H34+I34))</f>
        <v>66.83673469387756</v>
      </c>
      <c r="Q34" s="15">
        <f>1.96*SQRT((O34/100)*(P34/100)*(K34-J34)/(J34*(K34-1)))*100</f>
        <v>7.4993382515727873</v>
      </c>
      <c r="R34" s="6">
        <f>J34*(O34/100)^2</f>
        <v>10.778061224489795</v>
      </c>
      <c r="S34" s="6">
        <f>(P34/100)^2*J34</f>
        <v>43.778061224489818</v>
      </c>
      <c r="T34" s="6">
        <f>(O34/100)*(P34/100)*2*J34</f>
        <v>43.443877551020414</v>
      </c>
      <c r="V34">
        <f>SUM((E34-R34)^2/R34,(F34-S34)^2/S34,(G34-T34)^2/T34)</f>
        <v>1.0230462701136301E-2</v>
      </c>
      <c r="W34" s="7">
        <f>_xlfn.CHISQ.DIST.RT(V34, 1)</f>
        <v>0.91943476115459988</v>
      </c>
      <c r="Y34" t="s">
        <v>35</v>
      </c>
    </row>
    <row r="35" spans="1:25">
      <c r="A35" s="13">
        <v>5</v>
      </c>
      <c r="B35" s="1" t="s">
        <v>12</v>
      </c>
      <c r="C35" s="9" t="s">
        <v>5</v>
      </c>
      <c r="D35" s="1">
        <v>1</v>
      </c>
      <c r="E35">
        <v>6</v>
      </c>
      <c r="F35">
        <v>52</v>
      </c>
      <c r="G35" s="2">
        <v>35</v>
      </c>
      <c r="H35">
        <f>2*E35 + G35</f>
        <v>47</v>
      </c>
      <c r="I35">
        <f>2*F35+G35</f>
        <v>139</v>
      </c>
      <c r="J35" s="22">
        <f>SUM(E35:G35)</f>
        <v>93</v>
      </c>
      <c r="K35" s="22">
        <f>INT(150/0.905)+95</f>
        <v>260</v>
      </c>
      <c r="L35" s="6">
        <f>100*(E35/(E35+F35+G35))</f>
        <v>6.4516129032258061</v>
      </c>
      <c r="M35" s="6">
        <f>100*(F35/(E35+F35+G35))</f>
        <v>55.913978494623649</v>
      </c>
      <c r="N35" s="6">
        <f>100*(G35/(E35+F35+G35))</f>
        <v>37.634408602150536</v>
      </c>
      <c r="O35" s="8">
        <f t="shared" ref="O35" si="36">100*(H35/(H35+I35))</f>
        <v>25.268817204301076</v>
      </c>
      <c r="P35" s="8">
        <f t="shared" ref="P35" si="37">100*(I35/(H35+I35))</f>
        <v>74.731182795698928</v>
      </c>
      <c r="Q35" s="15">
        <f t="shared" ref="Q35:Q37" si="38">1.96*SQRT((O35/100)*(P35/100)*(K35-J35)/(J35*(K35-1)))*100</f>
        <v>7.0919609480642016</v>
      </c>
      <c r="R35" s="6">
        <f t="shared" ref="R35" si="39">J35*(O35/100)^2</f>
        <v>5.9381720430107521</v>
      </c>
      <c r="S35" s="6">
        <f t="shared" ref="S35" si="40">(P35/100)^2*J35</f>
        <v>51.938172043010752</v>
      </c>
      <c r="T35" s="6">
        <f t="shared" ref="T35" si="41">(O35/100)*(P35/100)*2*J35</f>
        <v>35.123655913978496</v>
      </c>
      <c r="V35">
        <f>SUM((E35-R35)^2/R35,(F35-S35)^2/S35,(G35-T35)^2/T35)</f>
        <v>1.1526920667855444E-3</v>
      </c>
      <c r="W35" s="7">
        <f t="shared" ref="W35" si="42">_xlfn.CHISQ.DIST.RT(V35, 1)</f>
        <v>0.97291597005056762</v>
      </c>
    </row>
    <row r="36" spans="1:25">
      <c r="A36" s="13">
        <v>2</v>
      </c>
      <c r="B36" s="1" t="s">
        <v>12</v>
      </c>
      <c r="C36" s="9" t="s">
        <v>5</v>
      </c>
      <c r="D36" s="1">
        <v>1</v>
      </c>
      <c r="E36">
        <v>13</v>
      </c>
      <c r="F36">
        <v>33</v>
      </c>
      <c r="G36" s="2">
        <v>48</v>
      </c>
      <c r="H36">
        <f>2*E36 + G36</f>
        <v>74</v>
      </c>
      <c r="I36">
        <f>2*F36+G36</f>
        <v>114</v>
      </c>
      <c r="J36" s="22">
        <f>SUM(E36:G36)</f>
        <v>94</v>
      </c>
      <c r="K36" s="22">
        <f>INT(47/0.905)+95</f>
        <v>146</v>
      </c>
      <c r="L36" s="6">
        <f>100*(E36/(E36+F36+G36))</f>
        <v>13.829787234042554</v>
      </c>
      <c r="M36" s="6">
        <f>100*(F36/(E36+F36+G36))</f>
        <v>35.106382978723403</v>
      </c>
      <c r="N36" s="6">
        <f>100*(G36/(E36+F36+G36))</f>
        <v>51.063829787234042</v>
      </c>
      <c r="O36" s="8">
        <f t="shared" ref="O36:O37" si="43">100*(H36/(H36+I36))</f>
        <v>39.361702127659576</v>
      </c>
      <c r="P36" s="8">
        <f t="shared" ref="P36:P37" si="44">100*(I36/(H36+I36))</f>
        <v>60.638297872340431</v>
      </c>
      <c r="Q36" s="15">
        <f t="shared" si="38"/>
        <v>5.914530170779364</v>
      </c>
      <c r="R36" s="6">
        <f t="shared" ref="R36:R37" si="45">J36*(O36/100)^2</f>
        <v>14.563829787234045</v>
      </c>
      <c r="S36" s="6">
        <f t="shared" ref="S36:S37" si="46">(P36/100)^2*J36</f>
        <v>34.563829787234049</v>
      </c>
      <c r="T36" s="6">
        <f t="shared" ref="T36:T37" si="47">(O36/100)*(P36/100)*2*J36</f>
        <v>44.872340425531917</v>
      </c>
      <c r="V36">
        <f>SUM((E36-R36)^2/R36,(F36-S36)^2/S36,(G36-T36)^2/T36)</f>
        <v>0.45667723574439234</v>
      </c>
      <c r="W36" s="7">
        <f t="shared" ref="W36:W37" si="48">_xlfn.CHISQ.DIST.RT(V36, 1)</f>
        <v>0.4991809795308777</v>
      </c>
    </row>
    <row r="37" spans="1:25">
      <c r="A37" s="13">
        <v>0</v>
      </c>
      <c r="B37" s="1" t="s">
        <v>12</v>
      </c>
      <c r="C37" s="9" t="s">
        <v>5</v>
      </c>
      <c r="D37" s="1">
        <v>1</v>
      </c>
      <c r="E37">
        <v>37</v>
      </c>
      <c r="F37">
        <v>32</v>
      </c>
      <c r="G37" s="2">
        <v>0</v>
      </c>
      <c r="H37">
        <f>2*E37 + G37</f>
        <v>74</v>
      </c>
      <c r="I37">
        <f>2*F37+G37</f>
        <v>64</v>
      </c>
      <c r="J37" s="22">
        <f>SUM(E37:G37)</f>
        <v>69</v>
      </c>
      <c r="K37" s="22">
        <v>76</v>
      </c>
      <c r="L37" s="6">
        <f>100*(E37/(E37+F37+G37))</f>
        <v>53.623188405797109</v>
      </c>
      <c r="M37" s="6">
        <f>100*(F37/(E37+F37+G37))</f>
        <v>46.376811594202898</v>
      </c>
      <c r="N37" s="6">
        <f>100*(G37/(E37+F37+G37))</f>
        <v>0</v>
      </c>
      <c r="O37" s="8">
        <f t="shared" si="43"/>
        <v>53.623188405797109</v>
      </c>
      <c r="P37" s="8">
        <f t="shared" si="44"/>
        <v>46.376811594202898</v>
      </c>
      <c r="Q37" s="15">
        <f t="shared" si="38"/>
        <v>3.5948160724371432</v>
      </c>
      <c r="R37" s="6">
        <f t="shared" si="45"/>
        <v>19.840579710144929</v>
      </c>
      <c r="S37" s="6">
        <f t="shared" si="46"/>
        <v>14.840579710144928</v>
      </c>
      <c r="T37" s="6">
        <f t="shared" si="47"/>
        <v>34.318840579710148</v>
      </c>
      <c r="V37">
        <f>SUM((E37-R37)^2/R37,(F37-S37)^2/S37,(G37-T37)^2/T37)</f>
        <v>69</v>
      </c>
      <c r="W37" s="28">
        <f t="shared" si="48"/>
        <v>9.8463440314253168E-17</v>
      </c>
      <c r="Y37" t="s">
        <v>59</v>
      </c>
    </row>
    <row r="38" spans="1:25" s="36" customFormat="1">
      <c r="A38" s="44"/>
      <c r="B38" s="45"/>
      <c r="C38" s="46"/>
      <c r="D38" s="45"/>
      <c r="G38" s="47"/>
      <c r="J38" s="48"/>
      <c r="K38" s="48"/>
      <c r="L38" s="49"/>
      <c r="M38" s="49"/>
      <c r="N38" s="49"/>
      <c r="O38" s="50"/>
      <c r="P38" s="50"/>
      <c r="Q38" s="51"/>
      <c r="R38" s="49"/>
      <c r="S38" s="49"/>
      <c r="T38" s="49"/>
      <c r="W38" s="52"/>
    </row>
    <row r="39" spans="1:25">
      <c r="A39" s="44"/>
      <c r="B39" s="1"/>
      <c r="C39" s="9"/>
      <c r="D39" s="1"/>
      <c r="G39" s="2"/>
      <c r="J39" s="22"/>
      <c r="K39" s="22"/>
      <c r="L39" s="6"/>
      <c r="M39" s="6"/>
      <c r="N39" s="6"/>
      <c r="O39" s="8"/>
      <c r="P39" s="8"/>
      <c r="Q39" s="15"/>
      <c r="R39" s="6"/>
      <c r="S39" s="6"/>
      <c r="T39" s="6"/>
      <c r="W39" s="28"/>
    </row>
    <row r="40" spans="1:25">
      <c r="A40" s="31">
        <v>10</v>
      </c>
      <c r="B40" s="1" t="s">
        <v>7</v>
      </c>
      <c r="C40" s="9" t="s">
        <v>6</v>
      </c>
      <c r="D40" s="1">
        <v>1</v>
      </c>
      <c r="E40">
        <v>38</v>
      </c>
      <c r="F40">
        <v>17</v>
      </c>
      <c r="G40" s="2">
        <v>45</v>
      </c>
      <c r="H40">
        <f>2*E40 + G40</f>
        <v>121</v>
      </c>
      <c r="I40">
        <f>2*F40+G40</f>
        <v>79</v>
      </c>
      <c r="J40" s="22">
        <f>SUM(E40:G40)</f>
        <v>100</v>
      </c>
      <c r="K40" s="22">
        <f>INT((105/0.905)+95+16)</f>
        <v>227</v>
      </c>
      <c r="L40" s="6">
        <f>100*(E40/(E40+F40+G40))</f>
        <v>38</v>
      </c>
      <c r="M40" s="6">
        <f>100*(F40/(E40+F40+G40))</f>
        <v>17</v>
      </c>
      <c r="N40" s="6">
        <f>100*(G40/(E40+F40+G40))</f>
        <v>45</v>
      </c>
      <c r="O40" s="8">
        <f>100*(H40/(H40+I40))</f>
        <v>60.5</v>
      </c>
      <c r="P40" s="8">
        <f>100*(I40/(H40+I40))</f>
        <v>39.5</v>
      </c>
      <c r="Q40" s="15">
        <f>1.96*SQRT((O40/100)*(P40/100)*(K40-J40)/(J40*(K40-1)))*100</f>
        <v>7.1825713257549717</v>
      </c>
      <c r="R40" s="6">
        <f>J40*(O40/100)^2</f>
        <v>36.602499999999999</v>
      </c>
      <c r="S40" s="6">
        <f>(P40/100)^2*J40</f>
        <v>15.602500000000003</v>
      </c>
      <c r="T40" s="6">
        <f>(O40/100)*(P40/100)*2*J40</f>
        <v>47.795000000000002</v>
      </c>
      <c r="V40">
        <f>SUM((E40-R40)^2/R40,(F40-S40)^2/S40,(G40-T40)^2/T40)</f>
        <v>0.34197841298819498</v>
      </c>
      <c r="W40" s="7">
        <f>_xlfn.CHISQ.DIST.RT(V40, 1)</f>
        <v>0.55868946452591239</v>
      </c>
    </row>
    <row r="41" spans="1:25">
      <c r="A41" s="31">
        <v>5</v>
      </c>
      <c r="B41" s="1" t="s">
        <v>7</v>
      </c>
      <c r="C41" s="9" t="s">
        <v>6</v>
      </c>
      <c r="D41" s="1">
        <v>1</v>
      </c>
      <c r="E41">
        <v>23</v>
      </c>
      <c r="F41">
        <v>20</v>
      </c>
      <c r="G41">
        <v>51</v>
      </c>
      <c r="H41">
        <f>2*E41 + G41</f>
        <v>97</v>
      </c>
      <c r="I41">
        <f>2*F41+G41</f>
        <v>91</v>
      </c>
      <c r="J41" s="22">
        <f>SUM(E41:G41)</f>
        <v>94</v>
      </c>
      <c r="K41">
        <f>INT(200/(84/95))</f>
        <v>226</v>
      </c>
      <c r="L41" s="6">
        <f>100*(E41/(E41+F41+G41))</f>
        <v>24.468085106382979</v>
      </c>
      <c r="M41" s="6">
        <f>100*(F41/(E41+F41+G41))</f>
        <v>21.276595744680851</v>
      </c>
      <c r="N41" s="6">
        <f>100*(G41/(E41+F41+G41))</f>
        <v>54.255319148936167</v>
      </c>
      <c r="O41" s="8">
        <f t="shared" ref="O41:O42" si="49">100*(H41/(H41+I41))</f>
        <v>51.595744680851062</v>
      </c>
      <c r="P41" s="8">
        <f t="shared" ref="P41:P42" si="50">100*(I41/(H41+I41))</f>
        <v>48.404255319148938</v>
      </c>
      <c r="Q41" s="15">
        <f>1.96*SQRT((O41/100)*(P41/100)*(K41-J41)/(J41*(K41-1)))*100</f>
        <v>7.7381396852251205</v>
      </c>
      <c r="R41" s="6">
        <f t="shared" ref="R41:R42" si="51">J41*(O41/100)^2</f>
        <v>25.023936170212767</v>
      </c>
      <c r="S41" s="6">
        <f t="shared" ref="S41:S42" si="52">(P41/100)^2*J41</f>
        <v>22.023936170212767</v>
      </c>
      <c r="T41" s="6">
        <f t="shared" ref="T41:T42" si="53">(O41/100)*(P41/100)*2*J41</f>
        <v>46.952127659574465</v>
      </c>
      <c r="V41">
        <f>SUM((E41-R41)^2/R41,(F41-S41)^2/S41,(G41-T41)^2/T41)</f>
        <v>0.69866809904814309</v>
      </c>
      <c r="W41" s="26">
        <f t="shared" ref="W41:W42" si="54">_xlfn.CHISQ.DIST.RT(V41, 1)</f>
        <v>0.40323159446982498</v>
      </c>
    </row>
    <row r="42" spans="1:25">
      <c r="A42" s="31">
        <v>2</v>
      </c>
      <c r="B42" s="1" t="s">
        <v>7</v>
      </c>
      <c r="C42" s="9" t="s">
        <v>6</v>
      </c>
      <c r="D42" s="1">
        <v>1</v>
      </c>
      <c r="E42">
        <v>32</v>
      </c>
      <c r="F42">
        <v>8</v>
      </c>
      <c r="G42">
        <v>54</v>
      </c>
      <c r="H42">
        <f>2*E42 + G42</f>
        <v>118</v>
      </c>
      <c r="I42">
        <f>2*F42+G42</f>
        <v>70</v>
      </c>
      <c r="J42" s="22">
        <f>SUM(E42:G42)</f>
        <v>94</v>
      </c>
      <c r="K42" s="36">
        <f>INT(200/(85/95))</f>
        <v>223</v>
      </c>
      <c r="L42" s="6">
        <f>100*(E42/(E42+F42+G42))</f>
        <v>34.042553191489361</v>
      </c>
      <c r="M42" s="6">
        <f>100*(F42/(E42+F42+G42))</f>
        <v>8.5106382978723403</v>
      </c>
      <c r="N42" s="6">
        <f>100*(G42/(E42+F42+G42))</f>
        <v>57.446808510638306</v>
      </c>
      <c r="O42" s="8">
        <f t="shared" si="49"/>
        <v>62.765957446808507</v>
      </c>
      <c r="P42" s="8">
        <f t="shared" si="50"/>
        <v>37.234042553191486</v>
      </c>
      <c r="Q42" s="15">
        <f>1.96*SQRT((O42/100)*(P42/100)*(K42-J42)/(J42*(K65-1)))*100</f>
        <v>8.1388435821511695</v>
      </c>
      <c r="R42" s="6">
        <f t="shared" si="51"/>
        <v>37.031914893617021</v>
      </c>
      <c r="S42" s="6">
        <f t="shared" si="52"/>
        <v>13.031914893617021</v>
      </c>
      <c r="T42" s="6">
        <f t="shared" si="53"/>
        <v>43.936170212765951</v>
      </c>
      <c r="V42">
        <f>SUM((E42-R42)^2/R42,(F42-S42)^2/S42,(G42-T42)^2/T42)</f>
        <v>4.93185186053738</v>
      </c>
      <c r="W42" s="28">
        <f t="shared" si="54"/>
        <v>2.6366048131882043E-2</v>
      </c>
      <c r="Y42" t="s">
        <v>66</v>
      </c>
    </row>
    <row r="43" spans="1:25">
      <c r="A43" s="31">
        <v>0</v>
      </c>
      <c r="B43" s="1" t="s">
        <v>7</v>
      </c>
      <c r="C43" s="9" t="s">
        <v>6</v>
      </c>
      <c r="D43" s="1">
        <v>1</v>
      </c>
      <c r="E43">
        <v>40</v>
      </c>
      <c r="F43">
        <v>50</v>
      </c>
      <c r="G43" s="29">
        <v>16</v>
      </c>
      <c r="H43">
        <f>2*E43 + G43</f>
        <v>96</v>
      </c>
      <c r="I43">
        <f>2*F43+G43</f>
        <v>116</v>
      </c>
      <c r="J43" s="22">
        <f>SUM(E43:G43)</f>
        <v>106</v>
      </c>
      <c r="K43" s="22">
        <v>114</v>
      </c>
      <c r="L43" s="6">
        <f>100*(E43/(E43+F43+G43))</f>
        <v>37.735849056603776</v>
      </c>
      <c r="M43" s="6">
        <f>100*(F43/(E43+F43+G43))</f>
        <v>47.169811320754718</v>
      </c>
      <c r="N43" s="6">
        <f>100*(G43/(E43+F43+G43))</f>
        <v>15.09433962264151</v>
      </c>
      <c r="O43" s="8">
        <f t="shared" ref="O43" si="55">100*(H43/(H43+I43))</f>
        <v>45.283018867924532</v>
      </c>
      <c r="P43" s="8">
        <f t="shared" ref="P43" si="56">100*(I43/(H43+I43))</f>
        <v>54.716981132075468</v>
      </c>
      <c r="Q43" s="15">
        <f>1.96*SQRT((O43/100)*(P43/100)*(K43-J43)/(J43*(K43-1)))*100</f>
        <v>2.5213762673290185</v>
      </c>
      <c r="R43" s="6">
        <f t="shared" ref="R43" si="57">J43*(O43/100)^2</f>
        <v>21.735849056603779</v>
      </c>
      <c r="S43" s="6">
        <f t="shared" ref="S43" si="58">(P43/100)^2*J43</f>
        <v>31.735849056603772</v>
      </c>
      <c r="T43" s="6">
        <f t="shared" ref="T43" si="59">(O43/100)*(P43/100)*2*J43</f>
        <v>52.528301886792455</v>
      </c>
      <c r="V43">
        <f>SUM((E43-R43)^2/R43,(F43-S43)^2/S43,(G43-T43)^2/T43)</f>
        <v>51.259941868146377</v>
      </c>
      <c r="W43" s="7">
        <f>_xlfn.CHISQ.DIST.RT(V43, 1)</f>
        <v>8.0909930671370669E-13</v>
      </c>
      <c r="Y43" t="s">
        <v>63</v>
      </c>
    </row>
    <row r="44" spans="1:25">
      <c r="A44" s="31" t="s">
        <v>60</v>
      </c>
      <c r="B44" s="1" t="s">
        <v>7</v>
      </c>
      <c r="C44" s="9" t="s">
        <v>6</v>
      </c>
      <c r="D44" s="1">
        <v>1</v>
      </c>
      <c r="E44">
        <v>19</v>
      </c>
      <c r="F44">
        <v>26</v>
      </c>
      <c r="G44" s="29">
        <v>2</v>
      </c>
      <c r="H44">
        <f>2*E44 + G44</f>
        <v>40</v>
      </c>
      <c r="I44">
        <f>2*F44+G44</f>
        <v>54</v>
      </c>
      <c r="J44" s="22">
        <f>SUM(E44:G44)</f>
        <v>47</v>
      </c>
      <c r="K44">
        <v>60</v>
      </c>
      <c r="L44" s="6">
        <f>100*(E44/(E44+F44+G44))</f>
        <v>40.425531914893611</v>
      </c>
      <c r="M44" s="6">
        <f>100*(F44/(E44+F44+G44))</f>
        <v>55.319148936170215</v>
      </c>
      <c r="N44" s="6">
        <f>100*(G44/(E44+F44+G44))</f>
        <v>4.2553191489361701</v>
      </c>
      <c r="O44" s="8">
        <f t="shared" ref="O44" si="60">100*(H44/(H44+I44))</f>
        <v>42.553191489361701</v>
      </c>
      <c r="P44" s="8">
        <f t="shared" ref="P44" si="61">100*(I44/(H44+I44))</f>
        <v>57.446808510638306</v>
      </c>
      <c r="Q44" s="15">
        <f t="shared" ref="Q44" si="62">1.96*SQRT((O44/100)*(P44/100)*(K44-J44)/(J44*(K44-1)))*100</f>
        <v>6.6351666430259488</v>
      </c>
      <c r="R44" s="6">
        <f t="shared" ref="R44" si="63">J44*(O44/100)^2</f>
        <v>8.5106382978723403</v>
      </c>
      <c r="S44" s="6">
        <f t="shared" ref="S44" si="64">(P44/100)^2*J44</f>
        <v>15.510638297872342</v>
      </c>
      <c r="T44" s="6">
        <f t="shared" ref="T44" si="65">(O44/100)*(P44/100)*2*J44</f>
        <v>22.978723404255319</v>
      </c>
      <c r="V44">
        <f>SUM((E44-R44)^2/R44,(F44-S44)^2/S44,(G44-T44)^2/T44)</f>
        <v>39.174564471879279</v>
      </c>
      <c r="W44" s="7">
        <f>_xlfn.CHISQ.DIST.RT(V44, 1)</f>
        <v>3.8755638954534798E-10</v>
      </c>
      <c r="Y44" s="29" t="s">
        <v>64</v>
      </c>
    </row>
    <row r="47" spans="1:25">
      <c r="A47" s="32">
        <v>10</v>
      </c>
      <c r="B47" s="1" t="s">
        <v>12</v>
      </c>
      <c r="C47" s="9" t="s">
        <v>6</v>
      </c>
      <c r="D47" s="1">
        <v>1</v>
      </c>
      <c r="E47">
        <v>45</v>
      </c>
      <c r="F47">
        <v>12</v>
      </c>
      <c r="G47" s="2">
        <v>41</v>
      </c>
      <c r="H47">
        <f>2*E47 + G47</f>
        <v>131</v>
      </c>
      <c r="I47">
        <f>2*F47+G47</f>
        <v>65</v>
      </c>
      <c r="J47" s="22">
        <f>SUM(E47:G47)</f>
        <v>98</v>
      </c>
      <c r="K47" s="22">
        <f>INT((86/0.905)+95+12)</f>
        <v>202</v>
      </c>
      <c r="L47" s="6">
        <f>100*(E47/(E47+F47+G47))</f>
        <v>45.91836734693878</v>
      </c>
      <c r="M47" s="6">
        <f>100*(F47/(E47+F47+G47))</f>
        <v>12.244897959183673</v>
      </c>
      <c r="N47" s="6">
        <f>100*(G47/(E47+F47+G47))</f>
        <v>41.836734693877553</v>
      </c>
      <c r="O47" s="8">
        <f>100*(H47/(H47+I47))</f>
        <v>66.83673469387756</v>
      </c>
      <c r="P47" s="8">
        <f>100*(I47/(H47+I47))</f>
        <v>33.163265306122447</v>
      </c>
      <c r="Q47" s="15">
        <f>1.96*SQRT((O47/100)*(P47/100)*(K47-J47)/(J47*(K47-1)))*100</f>
        <v>6.7049868315311567</v>
      </c>
      <c r="R47" s="6">
        <f>J47*(O47/100)^2</f>
        <v>43.778061224489818</v>
      </c>
      <c r="S47" s="6">
        <f>(P47/100)^2*J47</f>
        <v>10.778061224489795</v>
      </c>
      <c r="T47" s="6">
        <f>(O47/100)*(P47/100)*2*J47</f>
        <v>43.443877551020414</v>
      </c>
      <c r="V47">
        <f>SUM((E47-R47)^2/R47,(F47-S47)^2/S47,(G47-T47)^2/T47)</f>
        <v>0.31011858800520892</v>
      </c>
      <c r="W47" s="7">
        <f>_xlfn.CHISQ.DIST.RT(V47, 1)</f>
        <v>0.57760742412714317</v>
      </c>
    </row>
    <row r="48" spans="1:25">
      <c r="A48" s="32">
        <v>5</v>
      </c>
      <c r="B48" s="1" t="s">
        <v>12</v>
      </c>
      <c r="C48" s="9" t="s">
        <v>6</v>
      </c>
      <c r="D48" s="1">
        <v>1</v>
      </c>
      <c r="E48" s="36">
        <v>31</v>
      </c>
      <c r="F48" s="36">
        <v>18</v>
      </c>
      <c r="G48" s="36">
        <v>44</v>
      </c>
      <c r="H48">
        <f>2*E48 + G48</f>
        <v>106</v>
      </c>
      <c r="I48">
        <f>2*F48+G48</f>
        <v>80</v>
      </c>
      <c r="J48" s="22">
        <f t="shared" ref="J48" si="66">SUM(E48:G48)</f>
        <v>93</v>
      </c>
      <c r="K48">
        <f>INT(221/(116/95))</f>
        <v>180</v>
      </c>
      <c r="L48" s="6">
        <f t="shared" ref="L48" si="67">100*(E48/(E48+F48+G48))</f>
        <v>33.333333333333329</v>
      </c>
      <c r="M48" s="6">
        <f t="shared" ref="M48" si="68">100*(F48/(E48+F48+G48))</f>
        <v>19.35483870967742</v>
      </c>
      <c r="N48" s="6">
        <f t="shared" ref="N48" si="69">100*(G48/(E48+F48+G48))</f>
        <v>47.311827956989248</v>
      </c>
      <c r="O48" s="8">
        <f t="shared" ref="O48" si="70">100*(H48/(H48+I48))</f>
        <v>56.98924731182796</v>
      </c>
      <c r="P48" s="8">
        <f t="shared" ref="P48" si="71">100*(I48/(H48+I48))</f>
        <v>43.01075268817204</v>
      </c>
      <c r="Q48" s="15">
        <f t="shared" ref="Q48" si="72">1.96*SQRT((O48/100)*(P48/100)*(K48-J48)/(J48*(K48-1)))*100</f>
        <v>7.0150809969634613</v>
      </c>
      <c r="R48" s="6">
        <f t="shared" ref="R48" si="73">J48*(O48/100)^2</f>
        <v>30.204301075268823</v>
      </c>
      <c r="S48" s="6">
        <f t="shared" ref="S48" si="74">(P48/100)^2*J48</f>
        <v>17.204301075268813</v>
      </c>
      <c r="T48" s="6">
        <f t="shared" ref="T48" si="75">(O48/100)*(P48/100)*2*J48</f>
        <v>45.591397849462368</v>
      </c>
      <c r="V48">
        <f t="shared" ref="V48" si="76">SUM((E48-R48)^2/R48,(F48-S48)^2/S48,(G48-T48)^2/T48)</f>
        <v>0.11331167675329323</v>
      </c>
      <c r="W48" s="7">
        <f>_xlfn.CHISQ.DIST.RT(V48, 1)</f>
        <v>0.73640488661683146</v>
      </c>
    </row>
    <row r="49" spans="1:25">
      <c r="A49" s="32">
        <v>2</v>
      </c>
      <c r="B49" s="1" t="s">
        <v>12</v>
      </c>
      <c r="C49" s="9" t="s">
        <v>6</v>
      </c>
      <c r="D49" s="1">
        <v>1</v>
      </c>
      <c r="E49" s="36">
        <v>39</v>
      </c>
      <c r="F49" s="36">
        <v>5</v>
      </c>
      <c r="G49" s="36">
        <v>51</v>
      </c>
      <c r="H49">
        <f>2*E49 + G49</f>
        <v>129</v>
      </c>
      <c r="I49">
        <f>2*F49+G49</f>
        <v>61</v>
      </c>
      <c r="J49" s="22">
        <f t="shared" ref="J49" si="77">SUM(E49:G49)</f>
        <v>95</v>
      </c>
      <c r="K49">
        <f>INT(211/(92/95))</f>
        <v>217</v>
      </c>
      <c r="L49" s="6">
        <f t="shared" ref="L49" si="78">100*(E49/(E49+F49+G49))</f>
        <v>41.05263157894737</v>
      </c>
      <c r="M49" s="6">
        <f t="shared" ref="M49" si="79">100*(F49/(E49+F49+G49))</f>
        <v>5.2631578947368416</v>
      </c>
      <c r="N49" s="6">
        <f t="shared" ref="N49" si="80">100*(G49/(E49+F49+G49))</f>
        <v>53.684210526315788</v>
      </c>
      <c r="O49" s="8">
        <f t="shared" ref="O49" si="81">100*(H49/(H49+I49))</f>
        <v>67.89473684210526</v>
      </c>
      <c r="P49" s="8">
        <f t="shared" ref="P49" si="82">100*(I49/(H49+I49))</f>
        <v>32.10526315789474</v>
      </c>
      <c r="Q49" s="15">
        <f t="shared" ref="Q49" si="83">1.96*SQRT((O49/100)*(P49/100)*(K49-J49)/(J49*(K49-1)))*100</f>
        <v>7.0559172714061482</v>
      </c>
      <c r="R49" s="6">
        <f t="shared" ref="R49" si="84">J49*(O49/100)^2</f>
        <v>43.792105263157893</v>
      </c>
      <c r="S49" s="6">
        <f t="shared" ref="S49" si="85">(P49/100)^2*J49</f>
        <v>9.7921052631578984</v>
      </c>
      <c r="T49" s="6">
        <f t="shared" ref="T49" si="86">(O49/100)*(P49/100)*2*J49</f>
        <v>41.415789473684214</v>
      </c>
      <c r="V49">
        <f t="shared" ref="V49" si="87">SUM((E49-R49)^2/R49,(F49-S49)^2/S49,(G49-T49)^2/T49)</f>
        <v>5.0874998128668816</v>
      </c>
      <c r="W49" s="28">
        <f>_xlfn.CHISQ.DIST.RT(V49, 1)</f>
        <v>2.4098910812872864E-2</v>
      </c>
      <c r="Y49" t="s">
        <v>67</v>
      </c>
    </row>
    <row r="50" spans="1:25">
      <c r="A50" s="32">
        <v>0</v>
      </c>
      <c r="B50" s="1" t="s">
        <v>12</v>
      </c>
      <c r="C50" s="9" t="s">
        <v>6</v>
      </c>
      <c r="D50" s="1">
        <v>1</v>
      </c>
      <c r="E50">
        <v>28</v>
      </c>
      <c r="F50">
        <v>9</v>
      </c>
      <c r="G50" s="29">
        <v>1</v>
      </c>
      <c r="H50">
        <f>2*E50 + G50</f>
        <v>57</v>
      </c>
      <c r="I50">
        <f>2*F50+G50</f>
        <v>19</v>
      </c>
      <c r="J50" s="22">
        <f>SUM(E50:G50)</f>
        <v>38</v>
      </c>
      <c r="K50" s="22">
        <v>53</v>
      </c>
      <c r="L50" s="6">
        <f>100*(E50/(E50+F50+G50))</f>
        <v>73.68421052631578</v>
      </c>
      <c r="M50" s="6">
        <f>100*(F50/(E50+F50+G50))</f>
        <v>23.684210526315788</v>
      </c>
      <c r="N50" s="6">
        <f>100*(G50/(E50+F50+G50))</f>
        <v>2.6315789473684208</v>
      </c>
      <c r="O50" s="8">
        <f>100*(H50/(H50+I50))</f>
        <v>75</v>
      </c>
      <c r="P50" s="8">
        <f>100*(I50/(H50+I50))</f>
        <v>25</v>
      </c>
      <c r="Q50" s="15">
        <f>1.96*SQRT((O50/100)*(P50/100)*(K50-J50)/(J50*(K50-1)))*100</f>
        <v>7.3945009111295912</v>
      </c>
      <c r="R50" s="6">
        <f>J50*(O50/100)^2</f>
        <v>21.375</v>
      </c>
      <c r="S50" s="6">
        <f>(P50/100)^2*J50</f>
        <v>2.375</v>
      </c>
      <c r="T50" s="6">
        <f>(O50/100)*(P50/100)*2*J50</f>
        <v>14.25</v>
      </c>
      <c r="V50">
        <f>SUM((E50-R50)^2/R50,(F50-S50)^2/S50,(G50-T50)^2/T50)</f>
        <v>32.853801169590646</v>
      </c>
      <c r="W50" s="7">
        <f>_xlfn.CHISQ.DIST.RT(V50, 1)</f>
        <v>9.9356605355257213E-9</v>
      </c>
      <c r="Y50" t="s">
        <v>62</v>
      </c>
    </row>
    <row r="51" spans="1:25">
      <c r="A51" s="32" t="s">
        <v>60</v>
      </c>
      <c r="B51" s="1" t="s">
        <v>12</v>
      </c>
      <c r="C51" s="9" t="s">
        <v>6</v>
      </c>
      <c r="D51" s="1">
        <v>1</v>
      </c>
      <c r="E51">
        <v>23</v>
      </c>
      <c r="F51">
        <v>21</v>
      </c>
      <c r="G51" s="29">
        <v>1</v>
      </c>
      <c r="H51">
        <f>2*E51 + G51</f>
        <v>47</v>
      </c>
      <c r="I51">
        <f>2*F51+G51</f>
        <v>43</v>
      </c>
      <c r="J51" s="22">
        <f t="shared" ref="J51" si="88">SUM(E51:G51)</f>
        <v>45</v>
      </c>
      <c r="K51" s="22">
        <v>60</v>
      </c>
      <c r="L51" s="6">
        <f t="shared" ref="L51" si="89">100*(E51/(E51+F51+G51))</f>
        <v>51.111111111111107</v>
      </c>
      <c r="M51" s="6">
        <f t="shared" ref="M51" si="90">100*(F51/(E51+F51+G51))</f>
        <v>46.666666666666664</v>
      </c>
      <c r="N51" s="6">
        <f t="shared" ref="N51" si="91">100*(G51/(E51+F51+G51))</f>
        <v>2.2222222222222223</v>
      </c>
      <c r="O51" s="8">
        <f t="shared" ref="O51" si="92">100*(H51/(H51+I51))</f>
        <v>52.222222222222229</v>
      </c>
      <c r="P51" s="8">
        <f t="shared" ref="P51" si="93">100*(I51/(H51+I51))</f>
        <v>47.777777777777779</v>
      </c>
      <c r="Q51" s="15">
        <f t="shared" ref="Q51" si="94">1.96*SQRT((O51/100)*(P51/100)*(K51-J51)/(J51*(K51-1)))*100</f>
        <v>7.3588522870033781</v>
      </c>
      <c r="R51" s="6">
        <f t="shared" ref="R51" si="95">J51*(O51/100)^2</f>
        <v>12.272222222222224</v>
      </c>
      <c r="S51" s="6">
        <f t="shared" ref="S51" si="96">(P51/100)^2*J51</f>
        <v>10.272222222222222</v>
      </c>
      <c r="T51" s="6">
        <f t="shared" ref="T51" si="97">(O51/100)*(P51/100)*2*J51</f>
        <v>22.455555555555559</v>
      </c>
      <c r="V51">
        <f t="shared" ref="V51" si="98">SUM((E51-R51)^2/R51,(F51-S51)^2/S51,(G51-T51)^2/T51)</f>
        <v>41.08132422527342</v>
      </c>
      <c r="W51" s="7">
        <f t="shared" ref="W51" si="99">_xlfn.CHISQ.DIST.RT(V51, 1)</f>
        <v>1.4602499223261478E-10</v>
      </c>
      <c r="Y51" s="29" t="s">
        <v>65</v>
      </c>
    </row>
    <row r="55" spans="1:25" s="22" customFormat="1">
      <c r="A55" s="33">
        <v>10</v>
      </c>
      <c r="B55" s="24" t="s">
        <v>7</v>
      </c>
      <c r="C55" s="24" t="s">
        <v>5</v>
      </c>
      <c r="D55" s="24" t="s">
        <v>29</v>
      </c>
      <c r="E55" s="22">
        <v>45</v>
      </c>
      <c r="F55" s="22">
        <v>21</v>
      </c>
      <c r="G55" s="22">
        <v>46</v>
      </c>
      <c r="H55" s="22">
        <f>2*E55 + G55</f>
        <v>136</v>
      </c>
      <c r="I55" s="22">
        <f>2*F55+G55</f>
        <v>88</v>
      </c>
      <c r="J55" s="22">
        <f>SUM(E55:G55)</f>
        <v>112</v>
      </c>
      <c r="K55" s="22">
        <f>INT(95+20+95+(92/0.905))</f>
        <v>311</v>
      </c>
      <c r="L55" s="25">
        <f>100*(E55/(E55+F55+G55))</f>
        <v>40.178571428571431</v>
      </c>
      <c r="M55" s="25">
        <f>100*(F55/(E55+F55+G55))</f>
        <v>18.75</v>
      </c>
      <c r="N55" s="25">
        <f>100*(G55/(E55+F55+G55))</f>
        <v>41.071428571428569</v>
      </c>
      <c r="O55" s="8">
        <f t="shared" ref="O55" si="100">100*(H55/(H55+I55))</f>
        <v>60.714285714285708</v>
      </c>
      <c r="P55" s="8">
        <f t="shared" ref="P55" si="101">100*(I55/(H55+I55))</f>
        <v>39.285714285714285</v>
      </c>
      <c r="Q55" s="15">
        <f>1.96*SQRT((O55/100)*(P55/100)*(K55-J55)/(J55*(K55-1)))*100</f>
        <v>7.2469543102046359</v>
      </c>
      <c r="R55" s="25">
        <f t="shared" ref="R55" si="102">J55*(O55/100)^2</f>
        <v>41.285714285714278</v>
      </c>
      <c r="S55" s="25">
        <f t="shared" ref="S55" si="103">(P55/100)^2*J55</f>
        <v>17.285714285714285</v>
      </c>
      <c r="T55" s="25">
        <f t="shared" ref="T55" si="104">(O55/100)*(P55/100)*2*J55</f>
        <v>53.428571428571423</v>
      </c>
      <c r="V55" s="22">
        <f>SUM((E55-R55)^2/R55,(F55-S55)^2/S55,(G55-T55)^2/T55)</f>
        <v>2.1651176756555817</v>
      </c>
      <c r="W55" s="26">
        <f t="shared" ref="W55" si="105">_xlfn.CHISQ.DIST.RT(V55, 1)</f>
        <v>0.14117381546484192</v>
      </c>
    </row>
    <row r="56" spans="1:25">
      <c r="A56" s="35">
        <v>5</v>
      </c>
      <c r="B56" s="24" t="s">
        <v>7</v>
      </c>
      <c r="C56" s="24" t="s">
        <v>5</v>
      </c>
      <c r="D56" s="24">
        <v>1</v>
      </c>
      <c r="E56" s="22">
        <v>27</v>
      </c>
      <c r="F56" s="22">
        <v>28</v>
      </c>
      <c r="G56" s="22">
        <v>47</v>
      </c>
      <c r="H56" s="22">
        <f>2*E56 + G56</f>
        <v>101</v>
      </c>
      <c r="I56" s="22">
        <f>2*F56+G56</f>
        <v>103</v>
      </c>
      <c r="J56" s="22">
        <f t="shared" ref="J56" si="106">SUM(E56:G56)</f>
        <v>102</v>
      </c>
      <c r="K56" s="22">
        <f>INT(337/(122/95))</f>
        <v>262</v>
      </c>
      <c r="L56" s="25">
        <f t="shared" ref="L56" si="107">100*(E56/(E56+F56+G56))</f>
        <v>26.47058823529412</v>
      </c>
      <c r="M56" s="25">
        <f t="shared" ref="M56" si="108">100*(F56/(E56+F56+G56))</f>
        <v>27.450980392156865</v>
      </c>
      <c r="N56" s="25">
        <f t="shared" ref="N56" si="109">100*(G56/(E56+F56+G56))</f>
        <v>46.078431372549019</v>
      </c>
      <c r="O56" s="8">
        <f t="shared" ref="O56" si="110">100*(H56/(H56+I56))</f>
        <v>49.509803921568633</v>
      </c>
      <c r="P56" s="8">
        <f t="shared" ref="P56" si="111">100*(I56/(H56+I56))</f>
        <v>50.490196078431367</v>
      </c>
      <c r="Q56" s="15">
        <f t="shared" ref="Q56" si="112">1.96*SQRT((O56/100)*(P56/100)*(K56-J56)/(J56*(K56-1)))*100</f>
        <v>7.5970477299289172</v>
      </c>
      <c r="R56" s="25">
        <f t="shared" ref="R56" si="113">J56*(O56/100)^2</f>
        <v>25.002450980392165</v>
      </c>
      <c r="S56" s="25">
        <f t="shared" ref="S56" si="114">(P56/100)^2*J56</f>
        <v>26.002450980392155</v>
      </c>
      <c r="T56" s="25">
        <f t="shared" ref="T56" si="115">(O56/100)*(P56/100)*2*J56</f>
        <v>50.995098039215691</v>
      </c>
      <c r="U56" s="22"/>
      <c r="V56" s="22">
        <f>SUM((E56-R56)^2/R56,(F56-S56)^2/S56,(G56-T56)^2/T56)</f>
        <v>0.62603439182360066</v>
      </c>
      <c r="W56" s="26">
        <f t="shared" ref="W56" si="116">_xlfn.CHISQ.DIST.RT(V56, 1)</f>
        <v>0.42881366715824998</v>
      </c>
    </row>
    <row r="57" spans="1:25">
      <c r="A57" s="35">
        <v>2</v>
      </c>
      <c r="B57" s="24" t="s">
        <v>7</v>
      </c>
      <c r="C57" s="24" t="s">
        <v>5</v>
      </c>
      <c r="D57" s="24">
        <v>1</v>
      </c>
      <c r="E57" s="22">
        <v>16</v>
      </c>
      <c r="F57" s="22">
        <v>16</v>
      </c>
      <c r="G57" s="22">
        <v>62</v>
      </c>
      <c r="H57" s="22">
        <f>2*E57 + G57</f>
        <v>94</v>
      </c>
      <c r="I57" s="22">
        <f>2*F57+G57</f>
        <v>94</v>
      </c>
      <c r="J57" s="22">
        <f t="shared" ref="J57" si="117">SUM(E57:G57)</f>
        <v>94</v>
      </c>
      <c r="K57" s="22">
        <f>INT(522/(85/95))</f>
        <v>583</v>
      </c>
      <c r="L57" s="25">
        <f t="shared" ref="L57" si="118">100*(E57/(E57+F57+G57))</f>
        <v>17.021276595744681</v>
      </c>
      <c r="M57" s="25">
        <f t="shared" ref="M57" si="119">100*(F57/(E57+F57+G57))</f>
        <v>17.021276595744681</v>
      </c>
      <c r="N57" s="25">
        <f t="shared" ref="N57" si="120">100*(G57/(E57+F57+G57))</f>
        <v>65.957446808510639</v>
      </c>
      <c r="O57" s="8">
        <f t="shared" ref="O57" si="121">100*(H57/(H57+I57))</f>
        <v>50</v>
      </c>
      <c r="P57" s="8">
        <f t="shared" ref="P57" si="122">100*(I57/(H57+I57))</f>
        <v>50</v>
      </c>
      <c r="Q57" s="15">
        <f t="shared" ref="Q57" si="123">1.96*SQRT((O57/100)*(P57/100)*(K57-J57)/(J57*(K57-1)))*100</f>
        <v>9.2652061362203355</v>
      </c>
      <c r="R57" s="25">
        <f t="shared" ref="R57" si="124">J57*(O57/100)^2</f>
        <v>23.5</v>
      </c>
      <c r="S57" s="25">
        <f t="shared" ref="S57" si="125">(P57/100)^2*J57</f>
        <v>23.5</v>
      </c>
      <c r="T57" s="25">
        <f t="shared" ref="T57" si="126">(O57/100)*(P57/100)*2*J57</f>
        <v>47</v>
      </c>
      <c r="U57" s="22"/>
      <c r="V57" s="22">
        <f>SUM((E57-R57)^2/R57,(F57-S57)^2/S57,(G57-T57)^2/T57)</f>
        <v>9.5744680851063837</v>
      </c>
      <c r="W57" s="28">
        <f t="shared" ref="W57" si="127">_xlfn.CHISQ.DIST.RT(V57, 1)</f>
        <v>1.9730200875189416E-3</v>
      </c>
      <c r="Y57" t="s">
        <v>68</v>
      </c>
    </row>
    <row r="58" spans="1:25">
      <c r="A58" s="35">
        <v>0</v>
      </c>
      <c r="B58" s="24" t="s">
        <v>7</v>
      </c>
      <c r="C58" s="24" t="s">
        <v>5</v>
      </c>
      <c r="D58" s="24">
        <v>1</v>
      </c>
      <c r="E58" s="22">
        <v>33</v>
      </c>
      <c r="F58" s="22">
        <v>54</v>
      </c>
      <c r="G58" s="22">
        <v>0</v>
      </c>
      <c r="H58" s="22">
        <f>2*E58 + G58</f>
        <v>66</v>
      </c>
      <c r="I58" s="22">
        <f>2*F58+G58</f>
        <v>108</v>
      </c>
      <c r="J58" s="22">
        <f t="shared" ref="J58" si="128">SUM(E58:G58)</f>
        <v>87</v>
      </c>
      <c r="K58" s="22">
        <v>280</v>
      </c>
      <c r="L58" s="25">
        <f t="shared" ref="L58" si="129">100*(E58/(E58+F58+G58))</f>
        <v>37.931034482758619</v>
      </c>
      <c r="M58" s="25">
        <f t="shared" ref="M58" si="130">100*(F58/(E58+F58+G58))</f>
        <v>62.068965517241381</v>
      </c>
      <c r="N58" s="25">
        <f t="shared" ref="N58" si="131">100*(G58/(E58+F58+G58))</f>
        <v>0</v>
      </c>
      <c r="O58" s="8">
        <f t="shared" ref="O58" si="132">100*(H58/(H58+I58))</f>
        <v>37.931034482758619</v>
      </c>
      <c r="P58" s="8">
        <f t="shared" ref="P58" si="133">100*(I58/(H58+I58))</f>
        <v>62.068965517241381</v>
      </c>
      <c r="Q58" s="15">
        <f t="shared" ref="Q58" si="134">1.96*SQRT((O58/100)*(P58/100)*(K58-J58)/(J58*(K58-1)))*100</f>
        <v>8.4802292938366062</v>
      </c>
      <c r="R58" s="25">
        <f t="shared" ref="R58" si="135">J58*(O58/100)^2</f>
        <v>12.517241379310343</v>
      </c>
      <c r="S58" s="25">
        <f t="shared" ref="S58" si="136">(P58/100)^2*J58</f>
        <v>33.517241379310349</v>
      </c>
      <c r="T58" s="25">
        <f t="shared" ref="T58" si="137">(O58/100)*(P58/100)*2*J58</f>
        <v>40.96551724137931</v>
      </c>
      <c r="U58" s="22"/>
      <c r="V58" s="22">
        <f>SUM((E58-R58)^2/R58,(F58-S58)^2/S58,(G58-T58)^2/T58)</f>
        <v>87</v>
      </c>
      <c r="W58" s="26">
        <f t="shared" ref="W58" si="138">_xlfn.CHISQ.DIST.RT(V58, 1)</f>
        <v>1.0852117784135215E-20</v>
      </c>
      <c r="Y58" t="s">
        <v>59</v>
      </c>
    </row>
    <row r="64" spans="1:25">
      <c r="A64" s="34">
        <v>10</v>
      </c>
      <c r="B64" s="1" t="s">
        <v>12</v>
      </c>
      <c r="C64" s="9" t="s">
        <v>8</v>
      </c>
      <c r="D64" s="1">
        <v>1</v>
      </c>
      <c r="E64">
        <v>30</v>
      </c>
      <c r="F64">
        <v>10</v>
      </c>
      <c r="G64">
        <v>52</v>
      </c>
      <c r="H64">
        <f>2*E64 + G64</f>
        <v>112</v>
      </c>
      <c r="I64">
        <f>2*F64+G64</f>
        <v>72</v>
      </c>
      <c r="J64" s="22">
        <f>SUM(E64:G64)</f>
        <v>92</v>
      </c>
      <c r="K64" s="22">
        <f>INT((0.905/97)+95+12)</f>
        <v>107</v>
      </c>
      <c r="L64" s="6">
        <f>100*(E64/(E64+F64+G64))</f>
        <v>32.608695652173914</v>
      </c>
      <c r="M64" s="6">
        <f>100*(F64/(E64+F64+G64))</f>
        <v>10.869565217391305</v>
      </c>
      <c r="N64" s="6">
        <f>100*(G64/(E64+F64+G64))</f>
        <v>56.521739130434781</v>
      </c>
      <c r="O64" s="8">
        <f>100*(H64/(H64+I64))</f>
        <v>60.869565217391312</v>
      </c>
      <c r="P64" s="8">
        <f>100*(I64/(H64+I64))</f>
        <v>39.130434782608695</v>
      </c>
      <c r="Q64" s="15">
        <f>1.96*SQRT((O64/100)*(P64/100)*(K64-J64)/(J64*(K64-1)))*100</f>
        <v>3.7515634074285056</v>
      </c>
      <c r="R64" s="6">
        <f>J64*(O64/100)^2</f>
        <v>34.086956521739133</v>
      </c>
      <c r="S64" s="6">
        <f>(P64/100)^2*J64</f>
        <v>14.086956521739133</v>
      </c>
      <c r="T64" s="6">
        <f>(O64/100)*(P64/100)*2*J64</f>
        <v>43.826086956521742</v>
      </c>
      <c r="V64">
        <f>SUM((E64-R64)^2/R64,(F64-S64)^2/S64,(G64-T64)^2/T64)</f>
        <v>3.2002393550012602</v>
      </c>
      <c r="W64" s="7">
        <f>_xlfn.CHISQ.DIST.RT(V64, 1)</f>
        <v>7.3627493755025461E-2</v>
      </c>
    </row>
    <row r="65" spans="1:25">
      <c r="A65" s="34">
        <v>5</v>
      </c>
      <c r="B65" s="1" t="s">
        <v>12</v>
      </c>
      <c r="C65" s="9" t="s">
        <v>8</v>
      </c>
      <c r="D65" s="1">
        <v>1</v>
      </c>
      <c r="E65">
        <v>21</v>
      </c>
      <c r="F65">
        <v>25</v>
      </c>
      <c r="G65">
        <v>45</v>
      </c>
      <c r="H65" s="22">
        <f>2*E65 + G65</f>
        <v>87</v>
      </c>
      <c r="I65" s="22">
        <f>2*F65+G65</f>
        <v>95</v>
      </c>
      <c r="J65" s="22">
        <f t="shared" ref="J65" si="139">SUM(E65:G65)</f>
        <v>91</v>
      </c>
      <c r="K65">
        <f>INT(195/(99/95))</f>
        <v>187</v>
      </c>
      <c r="L65" s="25">
        <f t="shared" ref="L65" si="140">100*(E65/(E65+F65+G65))</f>
        <v>23.076923076923077</v>
      </c>
      <c r="M65" s="25">
        <f t="shared" ref="M65" si="141">100*(F65/(E65+F65+G65))</f>
        <v>27.472527472527474</v>
      </c>
      <c r="N65" s="25">
        <f t="shared" ref="N65" si="142">100*(G65/(E65+F65+G65))</f>
        <v>49.450549450549453</v>
      </c>
      <c r="O65" s="8">
        <f t="shared" ref="O65" si="143">100*(H65/(H65+I65))</f>
        <v>47.802197802197803</v>
      </c>
      <c r="P65" s="8">
        <f t="shared" ref="P65" si="144">100*(I65/(H65+I65))</f>
        <v>52.197802197802204</v>
      </c>
      <c r="Q65" s="15">
        <f t="shared" ref="Q65" si="145">1.96*SQRT((O65/100)*(P65/100)*(K65-J65)/(J65*(K65-1)))*100</f>
        <v>7.3733450931763951</v>
      </c>
      <c r="R65" s="25">
        <f t="shared" ref="R65" si="146">J65*(O65/100)^2</f>
        <v>20.793956043956047</v>
      </c>
      <c r="S65" s="25">
        <f t="shared" ref="S65" si="147">(P65/100)^2*J65</f>
        <v>24.793956043956044</v>
      </c>
      <c r="T65" s="25">
        <f t="shared" ref="T65" si="148">(O65/100)*(P65/100)*2*J65</f>
        <v>45.41208791208792</v>
      </c>
      <c r="U65" s="22"/>
      <c r="V65" s="22">
        <f>SUM((E65-R65)^2/R65,(F65-S65)^2/S65,(G65-T65)^2/T65)</f>
        <v>7.4933877029391242E-3</v>
      </c>
      <c r="W65" s="26">
        <f t="shared" ref="W65:W66" si="149">_xlfn.CHISQ.DIST.RT(V65, 1)</f>
        <v>0.93101779942234453</v>
      </c>
    </row>
    <row r="66" spans="1:25">
      <c r="A66" s="34">
        <v>2</v>
      </c>
      <c r="B66" s="1" t="s">
        <v>12</v>
      </c>
      <c r="C66" s="9" t="s">
        <v>8</v>
      </c>
      <c r="D66" s="1">
        <v>1</v>
      </c>
      <c r="E66">
        <v>32</v>
      </c>
      <c r="F66">
        <v>13</v>
      </c>
      <c r="G66">
        <v>49</v>
      </c>
      <c r="H66" s="22">
        <f>2*E66 + G66</f>
        <v>113</v>
      </c>
      <c r="I66" s="22">
        <f>2*F66+G66</f>
        <v>75</v>
      </c>
      <c r="J66" s="22">
        <f t="shared" ref="J66" si="150">SUM(E66:G66)</f>
        <v>94</v>
      </c>
      <c r="K66">
        <f>INT(322/(87/95))</f>
        <v>351</v>
      </c>
      <c r="L66" s="25">
        <f t="shared" ref="L66" si="151">100*(E66/(E66+F66+G66))</f>
        <v>34.042553191489361</v>
      </c>
      <c r="M66" s="25">
        <f t="shared" ref="M66" si="152">100*(F66/(E66+F66+G66))</f>
        <v>13.829787234042554</v>
      </c>
      <c r="N66" s="25">
        <f t="shared" ref="N66" si="153">100*(G66/(E66+F66+G66))</f>
        <v>52.12765957446809</v>
      </c>
      <c r="O66" s="8">
        <f t="shared" ref="O66" si="154">100*(H66/(H66+I66))</f>
        <v>60.106382978723403</v>
      </c>
      <c r="P66" s="8">
        <f t="shared" ref="P66" si="155">100*(I66/(H66+I66))</f>
        <v>39.893617021276597</v>
      </c>
      <c r="Q66" s="15">
        <f t="shared" ref="Q66" si="156">1.96*SQRT((O66/100)*(P66/100)*(K66-J66)/(J66*(K66-1)))*100</f>
        <v>8.4827503979305785</v>
      </c>
      <c r="R66" s="25">
        <f t="shared" ref="R66" si="157">J66*(O66/100)^2</f>
        <v>33.960106382978722</v>
      </c>
      <c r="S66" s="25">
        <f t="shared" ref="S66" si="158">(P66/100)^2*J66</f>
        <v>14.960106382978722</v>
      </c>
      <c r="T66" s="25">
        <f t="shared" ref="T66" si="159">(O66/100)*(P66/100)*2*J66</f>
        <v>45.079787234042556</v>
      </c>
      <c r="U66" s="22"/>
      <c r="V66" s="22">
        <f>SUM((E66-R66)^2/R66,(F66-S66)^2/S66,(G66-T66)^2/T66)</f>
        <v>0.71085891699515236</v>
      </c>
      <c r="W66" s="26">
        <f t="shared" si="149"/>
        <v>0.39915881966699057</v>
      </c>
    </row>
    <row r="67" spans="1:25">
      <c r="A67" s="34">
        <v>0</v>
      </c>
      <c r="B67" s="1" t="s">
        <v>12</v>
      </c>
      <c r="C67" s="9" t="s">
        <v>8</v>
      </c>
      <c r="D67" s="1">
        <v>1</v>
      </c>
      <c r="E67">
        <v>35</v>
      </c>
      <c r="F67">
        <v>28</v>
      </c>
      <c r="G67">
        <v>0</v>
      </c>
      <c r="H67">
        <f>2*E67 + G67</f>
        <v>70</v>
      </c>
      <c r="I67">
        <f>2*F67+G67</f>
        <v>56</v>
      </c>
      <c r="J67" s="22">
        <f t="shared" ref="J67" si="160">SUM(E67:G67)</f>
        <v>63</v>
      </c>
      <c r="K67" s="22">
        <v>63</v>
      </c>
      <c r="L67" s="6">
        <f t="shared" ref="L67" si="161">100*(E67/(E67+F67+G67))</f>
        <v>55.555555555555557</v>
      </c>
      <c r="M67" s="6">
        <f t="shared" ref="M67" si="162">100*(F67/(E67+F67+G67))</f>
        <v>44.444444444444443</v>
      </c>
      <c r="N67" s="6">
        <f t="shared" ref="N67" si="163">100*(G67/(E67+F67+G67))</f>
        <v>0</v>
      </c>
      <c r="O67" s="8">
        <f t="shared" ref="O67" si="164">100*(H67/(H67+I67))</f>
        <v>55.555555555555557</v>
      </c>
      <c r="P67" s="8">
        <f t="shared" ref="P67" si="165">100*(I67/(H67+I67))</f>
        <v>44.444444444444443</v>
      </c>
      <c r="Q67" s="15">
        <f t="shared" ref="Q67" si="166">1.96*SQRT((O67/100)*(P67/100)*(K67-J67)/(J67*(K67-1)))*100</f>
        <v>0</v>
      </c>
      <c r="R67" s="6">
        <f t="shared" ref="R67" si="167">J67*(O67/100)^2</f>
        <v>19.444444444444446</v>
      </c>
      <c r="S67" s="6">
        <f t="shared" ref="S67" si="168">(P67/100)^2*J67</f>
        <v>12.444444444444443</v>
      </c>
      <c r="T67" s="6">
        <f t="shared" ref="T67" si="169">(O67/100)*(P67/100)*2*J67</f>
        <v>31.111111111111111</v>
      </c>
      <c r="V67">
        <f t="shared" ref="V67" si="170">SUM((E67-R67)^2/R67,(F67-S67)^2/S67,(G67-T67)^2/T67)</f>
        <v>63</v>
      </c>
      <c r="W67" s="7">
        <f t="shared" ref="W67" si="171">_xlfn.CHISQ.DIST.RT(V67, 1)</f>
        <v>2.0670658180782593E-15</v>
      </c>
      <c r="Y67" t="s">
        <v>59</v>
      </c>
    </row>
    <row r="69" spans="1:25">
      <c r="I69" s="29"/>
      <c r="J69" s="29"/>
    </row>
    <row r="72" spans="1:25" ht="16">
      <c r="E72" s="5"/>
      <c r="F72" s="5"/>
      <c r="G72" s="5" t="s">
        <v>21</v>
      </c>
      <c r="H72" s="5"/>
      <c r="I72" s="5"/>
      <c r="J72" s="5"/>
      <c r="K72" s="5"/>
      <c r="L72" s="3"/>
      <c r="M72" s="3" t="s">
        <v>18</v>
      </c>
      <c r="N72" s="3"/>
      <c r="O72" s="4" t="s">
        <v>19</v>
      </c>
      <c r="P72" s="4"/>
      <c r="Q72" t="s">
        <v>25</v>
      </c>
      <c r="R72" s="12" t="s">
        <v>20</v>
      </c>
      <c r="S72" s="12"/>
      <c r="T72" s="12"/>
      <c r="V72" s="14" t="s">
        <v>22</v>
      </c>
      <c r="W72" s="14" t="s">
        <v>23</v>
      </c>
      <c r="Y72" t="s">
        <v>32</v>
      </c>
    </row>
    <row r="73" spans="1:25">
      <c r="A73" s="11" t="s">
        <v>24</v>
      </c>
      <c r="B73" s="1" t="s">
        <v>2</v>
      </c>
      <c r="C73" s="1" t="s">
        <v>3</v>
      </c>
      <c r="D73" s="1" t="s">
        <v>4</v>
      </c>
      <c r="E73" s="1" t="s">
        <v>0</v>
      </c>
      <c r="F73" s="1" t="s">
        <v>1</v>
      </c>
      <c r="G73" s="1" t="s">
        <v>9</v>
      </c>
      <c r="H73" s="1" t="s">
        <v>10</v>
      </c>
      <c r="I73" s="1" t="s">
        <v>11</v>
      </c>
      <c r="J73" s="1" t="s">
        <v>30</v>
      </c>
      <c r="K73" s="1" t="s">
        <v>31</v>
      </c>
      <c r="L73" s="1" t="s">
        <v>13</v>
      </c>
      <c r="M73" s="1" t="s">
        <v>14</v>
      </c>
      <c r="N73" s="1" t="s">
        <v>15</v>
      </c>
      <c r="O73" s="1" t="s">
        <v>16</v>
      </c>
      <c r="P73" s="1" t="s">
        <v>17</v>
      </c>
      <c r="Q73" s="11" t="s">
        <v>26</v>
      </c>
      <c r="R73" s="1" t="s">
        <v>0</v>
      </c>
      <c r="S73" s="1" t="s">
        <v>1</v>
      </c>
      <c r="T73" s="1" t="s">
        <v>9</v>
      </c>
      <c r="V73" s="44"/>
      <c r="W73" s="44"/>
    </row>
    <row r="74" spans="1:25">
      <c r="A74" s="1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1"/>
      <c r="R74" s="1"/>
      <c r="S74" s="1"/>
      <c r="T74" s="1"/>
      <c r="V74" s="44"/>
      <c r="W74" s="44"/>
    </row>
    <row r="75" spans="1:25">
      <c r="A75" s="1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1"/>
      <c r="R75" s="1"/>
      <c r="S75" s="1"/>
      <c r="T75" s="1"/>
      <c r="V75" s="44"/>
      <c r="W75" s="44"/>
    </row>
    <row r="76" spans="1:25">
      <c r="A76" s="62">
        <v>40</v>
      </c>
      <c r="B76" s="1" t="s">
        <v>7</v>
      </c>
      <c r="C76" s="1" t="s">
        <v>5</v>
      </c>
      <c r="D76" s="1">
        <v>3</v>
      </c>
      <c r="E76" s="22">
        <v>60</v>
      </c>
      <c r="F76" s="22">
        <v>3</v>
      </c>
      <c r="G76" s="22">
        <v>31</v>
      </c>
      <c r="H76" s="22">
        <f t="shared" ref="H76" si="172">2*E76 + G76</f>
        <v>151</v>
      </c>
      <c r="I76" s="22">
        <f t="shared" ref="I76" si="173">2*F76+G76</f>
        <v>37</v>
      </c>
      <c r="J76" s="22">
        <f t="shared" ref="J76" si="174">SUM(E76:G76)</f>
        <v>94</v>
      </c>
      <c r="K76" s="22">
        <f>INT(275/(83/95))</f>
        <v>314</v>
      </c>
      <c r="L76" s="6">
        <f t="shared" ref="L76" si="175">100*(E76/(E76+F76+G76))</f>
        <v>63.829787234042556</v>
      </c>
      <c r="M76" s="6">
        <f t="shared" ref="M76" si="176">100*(F76/(E76+F76+G76))</f>
        <v>3.1914893617021276</v>
      </c>
      <c r="N76" s="6">
        <f t="shared" ref="N76" si="177">100*(G76/(E76+F76+G76))</f>
        <v>32.978723404255319</v>
      </c>
      <c r="O76" s="8">
        <f t="shared" ref="O76" si="178">100*(H76/(H76+I76))</f>
        <v>80.319148936170208</v>
      </c>
      <c r="P76" s="8">
        <f t="shared" ref="P76" si="179">100*(I76/(H76+I76))</f>
        <v>19.680851063829788</v>
      </c>
      <c r="Q76" s="15">
        <f t="shared" ref="Q76" si="180">1.96*SQRT((O76/100)*(P76/100)*(K76-J76)/(J76*(K76-1)))*100</f>
        <v>6.7384933266926836</v>
      </c>
      <c r="R76" s="6">
        <f t="shared" ref="R76" si="181">J76*(O76/100)^2</f>
        <v>60.640957446808493</v>
      </c>
      <c r="S76" s="6">
        <f t="shared" ref="S76" si="182">(P76/100)^2*J76</f>
        <v>3.6409574468085113</v>
      </c>
      <c r="T76" s="6">
        <f t="shared" ref="T76" si="183">(O76/100)*(P76/100)*2*J76</f>
        <v>29.718085106382979</v>
      </c>
      <c r="V76">
        <f t="shared" ref="V76" si="184">SUM((E76-R76)^2/R76,(F76-S76)^2/S76,(G76-T76)^2/T76)</f>
        <v>0.17490595497249997</v>
      </c>
      <c r="W76" s="26">
        <f t="shared" ref="W76" si="185">_xlfn.CHISQ.DIST.RT(V76, 1)</f>
        <v>0.67578803410487631</v>
      </c>
    </row>
    <row r="77" spans="1:25">
      <c r="A77" s="62">
        <v>35</v>
      </c>
      <c r="B77" s="1" t="s">
        <v>7</v>
      </c>
      <c r="C77" s="1" t="s">
        <v>5</v>
      </c>
      <c r="D77" s="1">
        <v>3</v>
      </c>
      <c r="E77" s="2">
        <v>59</v>
      </c>
      <c r="F77" s="2">
        <v>5</v>
      </c>
      <c r="G77" s="2">
        <v>31</v>
      </c>
      <c r="H77" s="22">
        <f t="shared" ref="H77" si="186">2*E77 + G77</f>
        <v>149</v>
      </c>
      <c r="I77" s="22">
        <f t="shared" ref="I77" si="187">2*F77+G77</f>
        <v>41</v>
      </c>
      <c r="J77" s="22">
        <f t="shared" ref="J77" si="188">SUM(E77:G77)</f>
        <v>95</v>
      </c>
      <c r="K77" s="2">
        <v>151</v>
      </c>
      <c r="L77" s="6">
        <f t="shared" ref="L77" si="189">100*(E77/(E77+F77+G77))</f>
        <v>62.10526315789474</v>
      </c>
      <c r="M77" s="6">
        <f t="shared" ref="M77" si="190">100*(F77/(E77+F77+G77))</f>
        <v>5.2631578947368416</v>
      </c>
      <c r="N77" s="6">
        <f t="shared" ref="N77" si="191">100*(G77/(E77+F77+G77))</f>
        <v>32.631578947368425</v>
      </c>
      <c r="O77" s="8">
        <f t="shared" ref="O77" si="192">100*(H77/(H77+I77))</f>
        <v>78.421052631578945</v>
      </c>
      <c r="P77" s="8">
        <f t="shared" ref="P77" si="193">100*(I77/(H77+I77))</f>
        <v>21.578947368421055</v>
      </c>
      <c r="Q77" s="15">
        <f t="shared" ref="Q77" si="194">1.96*SQRT((O77/100)*(P77/100)*(K77-J77)/(J77*(K77-1)))*100</f>
        <v>5.0544524389058116</v>
      </c>
      <c r="R77" s="6">
        <f t="shared" ref="R77" si="195">J77*(O77/100)^2</f>
        <v>58.423684210526311</v>
      </c>
      <c r="S77" s="6">
        <f t="shared" ref="S77" si="196">(P77/100)^2*J77</f>
        <v>4.423684210526317</v>
      </c>
      <c r="T77" s="6">
        <f t="shared" ref="T77" si="197">(O77/100)*(P77/100)*2*J77</f>
        <v>32.152631578947378</v>
      </c>
      <c r="V77">
        <f t="shared" ref="V77" si="198">SUM((E77-R77)^2/R77,(F77-S77)^2/S77,(G77-T77)^2/T77)</f>
        <v>0.1220876079428018</v>
      </c>
      <c r="W77" s="26">
        <f t="shared" ref="W77" si="199">_xlfn.CHISQ.DIST.RT(V77, 1)</f>
        <v>0.72678124784373166</v>
      </c>
    </row>
    <row r="78" spans="1:25">
      <c r="A78" s="62">
        <v>30</v>
      </c>
      <c r="B78" s="1" t="s">
        <v>7</v>
      </c>
      <c r="C78" s="1" t="s">
        <v>5</v>
      </c>
      <c r="D78" s="1">
        <v>3</v>
      </c>
      <c r="E78" s="2">
        <v>30</v>
      </c>
      <c r="F78" s="2">
        <v>10</v>
      </c>
      <c r="G78" s="2">
        <v>48</v>
      </c>
      <c r="H78" s="22">
        <f t="shared" ref="H78:H83" si="200">2*E78 + G78</f>
        <v>108</v>
      </c>
      <c r="I78" s="22">
        <f t="shared" ref="I78:I83" si="201">2*F78+G78</f>
        <v>68</v>
      </c>
      <c r="J78" s="22">
        <f t="shared" ref="J78:J83" si="202">SUM(E78:G78)</f>
        <v>88</v>
      </c>
      <c r="K78" s="2">
        <v>271</v>
      </c>
      <c r="L78" s="6">
        <f t="shared" ref="L78:L83" si="203">100*(E78/(E78+F78+G78))</f>
        <v>34.090909090909086</v>
      </c>
      <c r="M78" s="6">
        <f t="shared" ref="M78:M83" si="204">100*(F78/(E78+F78+G78))</f>
        <v>11.363636363636363</v>
      </c>
      <c r="N78" s="6">
        <f t="shared" ref="N78:N83" si="205">100*(G78/(E78+F78+G78))</f>
        <v>54.54545454545454</v>
      </c>
      <c r="O78" s="8">
        <f t="shared" ref="O78:O83" si="206">100*(H78/(H78+I78))</f>
        <v>61.363636363636367</v>
      </c>
      <c r="P78" s="8">
        <f t="shared" ref="P78:P83" si="207">100*(I78/(H78+I78))</f>
        <v>38.636363636363633</v>
      </c>
      <c r="Q78" s="15">
        <f t="shared" ref="Q78:Q83" si="208">1.96*SQRT((O78/100)*(P78/100)*(K78-J78)/(J78*(K78-1)))*100</f>
        <v>8.3755254833630772</v>
      </c>
      <c r="R78" s="6">
        <f t="shared" ref="R78:R83" si="209">J78*(O78/100)^2</f>
        <v>33.13636363636364</v>
      </c>
      <c r="S78" s="6">
        <f t="shared" ref="S78:S83" si="210">(P78/100)^2*J78</f>
        <v>13.136363636363635</v>
      </c>
      <c r="T78" s="6">
        <f t="shared" ref="T78:T83" si="211">(O78/100)*(P78/100)*2*J78</f>
        <v>41.727272727272727</v>
      </c>
      <c r="V78">
        <f t="shared" ref="V78:V83" si="212">SUM((E78-R78)^2/R78,(F78-S78)^2/S78,(G78-T78)^2/T78)</f>
        <v>1.9886368490751423</v>
      </c>
      <c r="W78" s="26">
        <f t="shared" ref="W78:W83" si="213">_xlfn.CHISQ.DIST.RT(V78, 1)</f>
        <v>0.15848348176583354</v>
      </c>
    </row>
    <row r="79" spans="1:25">
      <c r="A79" s="62">
        <v>25</v>
      </c>
      <c r="B79" s="1" t="s">
        <v>7</v>
      </c>
      <c r="C79" s="1" t="s">
        <v>5</v>
      </c>
      <c r="D79" s="1">
        <v>3</v>
      </c>
      <c r="E79" s="2">
        <v>42</v>
      </c>
      <c r="F79" s="2">
        <v>7</v>
      </c>
      <c r="G79" s="2">
        <v>42</v>
      </c>
      <c r="H79" s="22">
        <f t="shared" si="200"/>
        <v>126</v>
      </c>
      <c r="I79" s="22">
        <f t="shared" si="201"/>
        <v>56</v>
      </c>
      <c r="J79" s="22">
        <f t="shared" si="202"/>
        <v>91</v>
      </c>
      <c r="K79" s="2">
        <f>INT(239/(94/95))</f>
        <v>241</v>
      </c>
      <c r="L79" s="6">
        <f t="shared" si="203"/>
        <v>46.153846153846153</v>
      </c>
      <c r="M79" s="6">
        <f t="shared" si="204"/>
        <v>7.6923076923076925</v>
      </c>
      <c r="N79" s="6">
        <f t="shared" si="205"/>
        <v>46.153846153846153</v>
      </c>
      <c r="O79" s="8">
        <f t="shared" si="206"/>
        <v>69.230769230769226</v>
      </c>
      <c r="P79" s="8">
        <f t="shared" si="207"/>
        <v>30.76923076923077</v>
      </c>
      <c r="Q79" s="15">
        <f t="shared" si="208"/>
        <v>7.4969269990287692</v>
      </c>
      <c r="R79" s="6">
        <f t="shared" si="209"/>
        <v>43.615384615384613</v>
      </c>
      <c r="S79" s="6">
        <f t="shared" si="210"/>
        <v>8.6153846153846168</v>
      </c>
      <c r="T79" s="6">
        <f t="shared" si="211"/>
        <v>38.769230769230774</v>
      </c>
      <c r="V79">
        <f t="shared" si="212"/>
        <v>0.63194444444444398</v>
      </c>
      <c r="W79" s="26">
        <f t="shared" si="213"/>
        <v>0.42664297475735163</v>
      </c>
    </row>
    <row r="80" spans="1:25">
      <c r="A80" s="62">
        <v>20</v>
      </c>
      <c r="B80" s="1" t="s">
        <v>7</v>
      </c>
      <c r="C80" s="1" t="s">
        <v>5</v>
      </c>
      <c r="D80" s="1">
        <v>3</v>
      </c>
      <c r="E80" s="2">
        <v>47</v>
      </c>
      <c r="F80" s="2">
        <v>12</v>
      </c>
      <c r="G80" s="2">
        <v>35</v>
      </c>
      <c r="H80" s="22">
        <f t="shared" si="200"/>
        <v>129</v>
      </c>
      <c r="I80" s="22">
        <f t="shared" si="201"/>
        <v>59</v>
      </c>
      <c r="J80" s="22">
        <f t="shared" si="202"/>
        <v>94</v>
      </c>
      <c r="K80" s="2">
        <f>INT(277/(92/95))</f>
        <v>286</v>
      </c>
      <c r="L80" s="6">
        <f t="shared" si="203"/>
        <v>50</v>
      </c>
      <c r="M80" s="6">
        <f t="shared" si="204"/>
        <v>12.76595744680851</v>
      </c>
      <c r="N80" s="6">
        <f t="shared" si="205"/>
        <v>37.234042553191486</v>
      </c>
      <c r="O80" s="8">
        <f t="shared" si="206"/>
        <v>68.61702127659575</v>
      </c>
      <c r="P80" s="8">
        <f t="shared" si="207"/>
        <v>31.382978723404253</v>
      </c>
      <c r="Q80" s="15">
        <f t="shared" si="208"/>
        <v>7.699869073540869</v>
      </c>
      <c r="R80" s="6">
        <f t="shared" si="209"/>
        <v>44.257978723404257</v>
      </c>
      <c r="S80" s="6">
        <f t="shared" si="210"/>
        <v>9.2579787234042552</v>
      </c>
      <c r="T80" s="6">
        <f t="shared" si="211"/>
        <v>40.484042553191486</v>
      </c>
      <c r="V80">
        <f t="shared" si="212"/>
        <v>1.7248913340908678</v>
      </c>
      <c r="W80" s="26">
        <f t="shared" si="213"/>
        <v>0.18906463849317307</v>
      </c>
    </row>
    <row r="81" spans="1:25">
      <c r="A81" s="38">
        <v>15</v>
      </c>
      <c r="B81" s="1" t="s">
        <v>7</v>
      </c>
      <c r="C81" s="1" t="s">
        <v>5</v>
      </c>
      <c r="D81" s="1">
        <v>3</v>
      </c>
      <c r="E81">
        <v>41</v>
      </c>
      <c r="F81" s="2">
        <v>6</v>
      </c>
      <c r="G81" s="2">
        <v>48</v>
      </c>
      <c r="H81" s="22">
        <f t="shared" si="200"/>
        <v>130</v>
      </c>
      <c r="I81" s="22">
        <f t="shared" si="201"/>
        <v>60</v>
      </c>
      <c r="J81" s="22">
        <f t="shared" si="202"/>
        <v>95</v>
      </c>
      <c r="K81">
        <f>INT(102/(86/95))</f>
        <v>112</v>
      </c>
      <c r="L81" s="6">
        <f t="shared" si="203"/>
        <v>43.15789473684211</v>
      </c>
      <c r="M81" s="6">
        <f t="shared" si="204"/>
        <v>6.3157894736842106</v>
      </c>
      <c r="N81" s="6">
        <f t="shared" si="205"/>
        <v>50.526315789473685</v>
      </c>
      <c r="O81" s="8">
        <f t="shared" si="206"/>
        <v>68.421052631578945</v>
      </c>
      <c r="P81" s="8">
        <f t="shared" si="207"/>
        <v>31.578947368421051</v>
      </c>
      <c r="Q81" s="15">
        <f t="shared" si="208"/>
        <v>3.6580609757536187</v>
      </c>
      <c r="R81" s="6">
        <f t="shared" si="209"/>
        <v>44.473684210526315</v>
      </c>
      <c r="S81" s="6">
        <f t="shared" si="210"/>
        <v>9.473684210526315</v>
      </c>
      <c r="T81" s="6">
        <f t="shared" si="211"/>
        <v>41.05263157894737</v>
      </c>
      <c r="V81">
        <f t="shared" si="212"/>
        <v>2.720710059171596</v>
      </c>
      <c r="W81" s="26">
        <f t="shared" si="213"/>
        <v>9.9053942257749578E-2</v>
      </c>
    </row>
    <row r="82" spans="1:25">
      <c r="A82" s="38">
        <v>10</v>
      </c>
      <c r="B82" s="1" t="s">
        <v>7</v>
      </c>
      <c r="C82" s="1" t="s">
        <v>5</v>
      </c>
      <c r="D82" s="1">
        <v>3</v>
      </c>
      <c r="E82">
        <v>52</v>
      </c>
      <c r="F82" s="2">
        <v>12</v>
      </c>
      <c r="G82" s="2">
        <v>31</v>
      </c>
      <c r="H82" s="22">
        <f t="shared" si="200"/>
        <v>135</v>
      </c>
      <c r="I82" s="22">
        <f t="shared" si="201"/>
        <v>55</v>
      </c>
      <c r="J82" s="22">
        <f t="shared" si="202"/>
        <v>95</v>
      </c>
      <c r="K82" s="22">
        <f>INT(252/(82/95))</f>
        <v>291</v>
      </c>
      <c r="L82" s="6">
        <f t="shared" si="203"/>
        <v>54.736842105263165</v>
      </c>
      <c r="M82" s="6">
        <f t="shared" si="204"/>
        <v>12.631578947368421</v>
      </c>
      <c r="N82" s="6">
        <f t="shared" si="205"/>
        <v>32.631578947368425</v>
      </c>
      <c r="O82" s="8">
        <f t="shared" si="206"/>
        <v>71.05263157894737</v>
      </c>
      <c r="P82" s="8">
        <f t="shared" si="207"/>
        <v>28.947368421052634</v>
      </c>
      <c r="Q82" s="15">
        <f t="shared" si="208"/>
        <v>7.4975251885622081</v>
      </c>
      <c r="R82" s="6">
        <f t="shared" si="209"/>
        <v>47.960526315789473</v>
      </c>
      <c r="S82" s="6">
        <f t="shared" si="210"/>
        <v>7.9605263157894743</v>
      </c>
      <c r="T82" s="6">
        <f t="shared" si="211"/>
        <v>39.078947368421055</v>
      </c>
      <c r="V82">
        <f t="shared" si="212"/>
        <v>4.0602002063281528</v>
      </c>
      <c r="W82" s="28">
        <f t="shared" si="213"/>
        <v>4.3905293708358939E-2</v>
      </c>
    </row>
    <row r="83" spans="1:25">
      <c r="A83" s="38">
        <v>5</v>
      </c>
      <c r="B83" s="1" t="s">
        <v>7</v>
      </c>
      <c r="C83" s="1" t="s">
        <v>5</v>
      </c>
      <c r="D83" s="1">
        <v>3</v>
      </c>
      <c r="E83">
        <v>49</v>
      </c>
      <c r="F83" s="2">
        <v>6</v>
      </c>
      <c r="G83" s="2">
        <v>40</v>
      </c>
      <c r="H83" s="22">
        <f t="shared" si="200"/>
        <v>138</v>
      </c>
      <c r="I83" s="22">
        <f t="shared" si="201"/>
        <v>52</v>
      </c>
      <c r="J83" s="22">
        <f t="shared" si="202"/>
        <v>95</v>
      </c>
      <c r="K83" s="22">
        <v>108</v>
      </c>
      <c r="L83" s="6">
        <f t="shared" si="203"/>
        <v>51.578947368421055</v>
      </c>
      <c r="M83" s="6">
        <f t="shared" si="204"/>
        <v>6.3157894736842106</v>
      </c>
      <c r="N83" s="6">
        <f t="shared" si="205"/>
        <v>42.105263157894733</v>
      </c>
      <c r="O83" s="8">
        <f t="shared" si="206"/>
        <v>72.631578947368425</v>
      </c>
      <c r="P83" s="8">
        <f t="shared" si="207"/>
        <v>27.368421052631582</v>
      </c>
      <c r="Q83" s="15">
        <f t="shared" si="208"/>
        <v>3.1250838181569547</v>
      </c>
      <c r="R83" s="6">
        <f t="shared" si="209"/>
        <v>50.115789473684217</v>
      </c>
      <c r="S83" s="6">
        <f t="shared" si="210"/>
        <v>7.1157894736842113</v>
      </c>
      <c r="T83" s="6">
        <f t="shared" si="211"/>
        <v>37.768421052631581</v>
      </c>
      <c r="V83">
        <f t="shared" si="212"/>
        <v>0.33165798543143343</v>
      </c>
      <c r="W83" s="26">
        <f t="shared" si="213"/>
        <v>0.56468443328711926</v>
      </c>
    </row>
    <row r="84" spans="1:25">
      <c r="A84" s="38">
        <v>2</v>
      </c>
      <c r="B84" s="1" t="s">
        <v>7</v>
      </c>
      <c r="C84" s="1" t="s">
        <v>5</v>
      </c>
      <c r="D84" s="1">
        <v>3</v>
      </c>
      <c r="F84" s="2"/>
      <c r="G84" s="2"/>
      <c r="H84" s="22"/>
      <c r="I84" s="22"/>
      <c r="J84" s="22"/>
      <c r="K84" s="22"/>
      <c r="L84" s="6"/>
      <c r="M84" s="6"/>
      <c r="N84" s="6"/>
      <c r="O84" s="8"/>
      <c r="P84" s="8"/>
      <c r="Q84" s="15"/>
      <c r="R84" s="6"/>
      <c r="S84" s="6"/>
      <c r="T84" s="6"/>
      <c r="W84" s="28"/>
    </row>
    <row r="85" spans="1:25">
      <c r="A85" s="38">
        <v>0</v>
      </c>
      <c r="B85" s="24" t="s">
        <v>7</v>
      </c>
      <c r="C85" s="24" t="s">
        <v>5</v>
      </c>
      <c r="D85" s="24">
        <v>3</v>
      </c>
      <c r="E85">
        <v>39</v>
      </c>
      <c r="F85" s="22">
        <v>56</v>
      </c>
      <c r="G85" s="22">
        <v>0</v>
      </c>
      <c r="H85" s="22">
        <f>2*E85 + G85</f>
        <v>78</v>
      </c>
      <c r="I85" s="22">
        <f>2*F85+G85</f>
        <v>112</v>
      </c>
      <c r="J85" s="22">
        <f t="shared" ref="J85" si="214">SUM(E85:G85)</f>
        <v>95</v>
      </c>
      <c r="K85">
        <f>INT(199/(111/95))</f>
        <v>170</v>
      </c>
      <c r="L85" s="6">
        <f t="shared" ref="L85" si="215">100*(E85/(E85+F85+G85))</f>
        <v>41.05263157894737</v>
      </c>
      <c r="M85" s="6">
        <f t="shared" ref="M85" si="216">100*(F85/(E85+F85+G85))</f>
        <v>58.947368421052623</v>
      </c>
      <c r="N85" s="6">
        <f t="shared" ref="N85" si="217">100*(G85/(E85+F85+G85))</f>
        <v>0</v>
      </c>
      <c r="O85" s="8">
        <f t="shared" ref="O85" si="218">100*(H85/(H85+I85))</f>
        <v>41.05263157894737</v>
      </c>
      <c r="P85" s="8">
        <f t="shared" ref="P85" si="219">100*(I85/(H85+I85))</f>
        <v>58.947368421052623</v>
      </c>
      <c r="Q85" s="15">
        <f t="shared" ref="Q85" si="220">1.96*SQRT((O85/100)*(P85/100)*(K85-J85)/(J85*(K85-1)))*100</f>
        <v>6.5899824775711737</v>
      </c>
      <c r="R85" s="6">
        <f t="shared" ref="R85" si="221">J85*(O85/100)^2</f>
        <v>16.010526315789473</v>
      </c>
      <c r="S85" s="6">
        <f t="shared" ref="S85" si="222">(P85/100)^2*J85</f>
        <v>33.01052631578947</v>
      </c>
      <c r="T85" s="6">
        <f t="shared" ref="T85" si="223">(O85/100)*(P85/100)*2*J85</f>
        <v>45.978947368421053</v>
      </c>
      <c r="V85">
        <f t="shared" ref="V85" si="224">SUM((E85-R85)^2/R85,(F85-S85)^2/S85,(G85-T85)^2/T85)</f>
        <v>95.000000000000014</v>
      </c>
      <c r="W85" s="7">
        <f t="shared" ref="W85" si="225">_xlfn.CHISQ.DIST.RT(V85, 1)</f>
        <v>1.9038526505460193E-22</v>
      </c>
      <c r="Y85" t="s">
        <v>69</v>
      </c>
    </row>
    <row r="86" spans="1:25" s="69" customFormat="1">
      <c r="A86" s="68"/>
      <c r="F86" s="70"/>
      <c r="G86" s="70"/>
    </row>
    <row r="87" spans="1:25">
      <c r="A87" s="37">
        <v>40</v>
      </c>
      <c r="B87" s="1" t="s">
        <v>7</v>
      </c>
      <c r="C87" s="1" t="s">
        <v>6</v>
      </c>
      <c r="D87" s="1">
        <v>3</v>
      </c>
      <c r="E87">
        <v>29</v>
      </c>
      <c r="F87" s="2">
        <v>35</v>
      </c>
      <c r="G87" s="2">
        <v>31</v>
      </c>
      <c r="H87" s="22">
        <f t="shared" ref="H87:H88" si="226">2*E87 + G87</f>
        <v>89</v>
      </c>
      <c r="I87" s="22">
        <f t="shared" ref="I87:I88" si="227">2*F87+G87</f>
        <v>101</v>
      </c>
      <c r="J87" s="22">
        <f t="shared" ref="J87:J88" si="228">SUM(E87:G87)</f>
        <v>95</v>
      </c>
      <c r="K87">
        <v>410</v>
      </c>
      <c r="L87" s="6">
        <f t="shared" ref="L87:L88" si="229">100*(E87/(E87+F87+G87))</f>
        <v>30.526315789473685</v>
      </c>
      <c r="M87" s="6">
        <f t="shared" ref="M87:M88" si="230">100*(F87/(E87+F87+G87))</f>
        <v>36.84210526315789</v>
      </c>
      <c r="N87" s="6">
        <f t="shared" ref="N87:N88" si="231">100*(G87/(E87+F87+G87))</f>
        <v>32.631578947368425</v>
      </c>
      <c r="O87" s="8">
        <f t="shared" ref="O87:O88" si="232">100*(H87/(H87+I87))</f>
        <v>46.842105263157897</v>
      </c>
      <c r="P87" s="8">
        <f t="shared" ref="P87:P88" si="233">100*(I87/(H87+I87))</f>
        <v>53.157894736842103</v>
      </c>
      <c r="Q87" s="15">
        <f t="shared" ref="Q87:Q88" si="234">1.96*SQRT((O87/100)*(P87/100)*(K87-J87)/(J87*(K87-1)))*100</f>
        <v>8.8062291228983653</v>
      </c>
      <c r="R87" s="6">
        <f t="shared" ref="R87:R88" si="235">J87*(O87/100)^2</f>
        <v>20.844736842105267</v>
      </c>
      <c r="S87" s="6">
        <f t="shared" ref="S87:S88" si="236">(P87/100)^2*J87</f>
        <v>26.844736842105259</v>
      </c>
      <c r="T87" s="6">
        <f t="shared" ref="T87:T88" si="237">(O87/100)*(P87/100)*2*J87</f>
        <v>47.310526315789474</v>
      </c>
      <c r="V87">
        <f t="shared" ref="V87:V88" si="238">SUM((E87-R87)^2/R87,(F87-S87)^2/S87,(G87-T87)^2/T87)</f>
        <v>11.291301313736554</v>
      </c>
      <c r="W87" s="28">
        <f t="shared" ref="W87:W88" si="239">_xlfn.CHISQ.DIST.RT(V87, 1)</f>
        <v>7.7871080665387559E-4</v>
      </c>
      <c r="X87" s="29" t="s">
        <v>75</v>
      </c>
    </row>
    <row r="88" spans="1:25">
      <c r="A88" s="79">
        <v>39</v>
      </c>
      <c r="B88" s="1" t="s">
        <v>7</v>
      </c>
      <c r="C88" s="1" t="s">
        <v>6</v>
      </c>
      <c r="D88" s="1">
        <v>3</v>
      </c>
      <c r="E88" s="2">
        <v>26</v>
      </c>
      <c r="F88" s="2">
        <v>18</v>
      </c>
      <c r="G88" s="2">
        <v>51</v>
      </c>
      <c r="H88" s="22">
        <f t="shared" si="226"/>
        <v>103</v>
      </c>
      <c r="I88" s="22">
        <f t="shared" si="227"/>
        <v>87</v>
      </c>
      <c r="J88" s="22">
        <f t="shared" si="228"/>
        <v>95</v>
      </c>
      <c r="K88">
        <f>INT(203/(102/95))</f>
        <v>189</v>
      </c>
      <c r="L88" s="6">
        <f t="shared" si="229"/>
        <v>27.368421052631582</v>
      </c>
      <c r="M88" s="6">
        <f t="shared" si="230"/>
        <v>18.947368421052634</v>
      </c>
      <c r="N88" s="6">
        <f t="shared" si="231"/>
        <v>53.684210526315788</v>
      </c>
      <c r="O88" s="8">
        <f t="shared" si="232"/>
        <v>54.210526315789473</v>
      </c>
      <c r="P88" s="8">
        <f t="shared" si="233"/>
        <v>45.789473684210527</v>
      </c>
      <c r="Q88" s="15">
        <f t="shared" si="234"/>
        <v>7.0844136079521558</v>
      </c>
      <c r="R88" s="6">
        <f t="shared" si="235"/>
        <v>27.918421052631579</v>
      </c>
      <c r="S88" s="6">
        <f t="shared" si="236"/>
        <v>19.918421052631583</v>
      </c>
      <c r="T88" s="6">
        <f t="shared" si="237"/>
        <v>47.163157894736848</v>
      </c>
      <c r="V88">
        <f t="shared" si="238"/>
        <v>0.62873220626060755</v>
      </c>
      <c r="W88" s="7">
        <f t="shared" si="239"/>
        <v>0.4278207306025289</v>
      </c>
      <c r="X88" s="29"/>
    </row>
    <row r="89" spans="1:25">
      <c r="A89" s="37">
        <v>35</v>
      </c>
      <c r="B89" s="1" t="s">
        <v>7</v>
      </c>
      <c r="C89" s="1" t="s">
        <v>6</v>
      </c>
      <c r="D89" s="1">
        <v>3</v>
      </c>
      <c r="E89">
        <v>52</v>
      </c>
      <c r="F89" s="2">
        <v>11</v>
      </c>
      <c r="G89" s="2">
        <v>31</v>
      </c>
      <c r="H89" s="22">
        <f t="shared" ref="H89" si="240">2*E89 + G89</f>
        <v>135</v>
      </c>
      <c r="I89" s="22">
        <f t="shared" ref="I89" si="241">2*F89+G89</f>
        <v>53</v>
      </c>
      <c r="J89" s="22">
        <f t="shared" ref="J89" si="242">SUM(E89:G89)</f>
        <v>94</v>
      </c>
      <c r="K89">
        <f>INT(206/(97/95))</f>
        <v>201</v>
      </c>
      <c r="L89" s="6">
        <f t="shared" ref="L89" si="243">100*(E89/(E89+F89+G89))</f>
        <v>55.319148936170215</v>
      </c>
      <c r="M89" s="6">
        <f t="shared" ref="M89" si="244">100*(F89/(E89+F89+G89))</f>
        <v>11.702127659574469</v>
      </c>
      <c r="N89" s="6">
        <f t="shared" ref="N89" si="245">100*(G89/(E89+F89+G89))</f>
        <v>32.978723404255319</v>
      </c>
      <c r="O89" s="8">
        <f t="shared" ref="O89" si="246">100*(H89/(H89+I89))</f>
        <v>71.808510638297875</v>
      </c>
      <c r="P89" s="8">
        <f t="shared" ref="P89" si="247">100*(I89/(H89+I89))</f>
        <v>28.191489361702125</v>
      </c>
      <c r="Q89" s="15">
        <f t="shared" ref="Q89" si="248">1.96*SQRT((O89/100)*(P89/100)*(K89-J89)/(J89*(K89-1)))*100</f>
        <v>6.6529767441998926</v>
      </c>
      <c r="R89" s="6">
        <f t="shared" ref="R89" si="249">J89*(O89/100)^2</f>
        <v>48.47074468085107</v>
      </c>
      <c r="S89" s="6">
        <f t="shared" ref="S89" si="250">(P89/100)^2*J89</f>
        <v>7.4707446808510634</v>
      </c>
      <c r="T89" s="6">
        <f t="shared" ref="T89" si="251">(O89/100)*(P89/100)*2*J89</f>
        <v>38.058510638297868</v>
      </c>
      <c r="V89">
        <f t="shared" ref="V89" si="252">SUM((E89-R89)^2/R89,(F89-S89)^2/S89,(G89-T89)^2/T89)</f>
        <v>3.233332913362446</v>
      </c>
      <c r="W89" s="7">
        <f t="shared" ref="W89" si="253">_xlfn.CHISQ.DIST.RT(V89, 1)</f>
        <v>7.2153703514785048E-2</v>
      </c>
    </row>
    <row r="90" spans="1:25">
      <c r="A90" s="37">
        <v>30</v>
      </c>
      <c r="B90" s="1" t="s">
        <v>7</v>
      </c>
      <c r="C90" s="1" t="s">
        <v>6</v>
      </c>
      <c r="D90" s="1">
        <v>3</v>
      </c>
      <c r="E90">
        <v>29</v>
      </c>
      <c r="F90" s="2">
        <v>14</v>
      </c>
      <c r="G90" s="2">
        <v>51</v>
      </c>
      <c r="H90" s="22">
        <f t="shared" ref="H90:H95" si="254">2*E90 + G90</f>
        <v>109</v>
      </c>
      <c r="I90" s="22">
        <f t="shared" ref="I90:I95" si="255">2*F90+G90</f>
        <v>79</v>
      </c>
      <c r="J90" s="22">
        <f t="shared" ref="J90:J95" si="256">SUM(E90:G90)</f>
        <v>94</v>
      </c>
      <c r="K90">
        <v>284</v>
      </c>
      <c r="L90" s="6">
        <f t="shared" ref="L90:L95" si="257">100*(E90/(E90+F90+G90))</f>
        <v>30.851063829787233</v>
      </c>
      <c r="M90" s="6">
        <f t="shared" ref="M90:M95" si="258">100*(F90/(E90+F90+G90))</f>
        <v>14.893617021276595</v>
      </c>
      <c r="N90" s="6">
        <f t="shared" ref="N90:N95" si="259">100*(G90/(E90+F90+G90))</f>
        <v>54.255319148936167</v>
      </c>
      <c r="O90" s="8">
        <f t="shared" ref="O90:O95" si="260">100*(H90/(H90+I90))</f>
        <v>57.978723404255319</v>
      </c>
      <c r="P90" s="8">
        <f t="shared" ref="P90:P95" si="261">100*(I90/(H90+I90))</f>
        <v>42.021276595744681</v>
      </c>
      <c r="Q90" s="15">
        <f t="shared" ref="Q90" si="262">1.96*SQRT((O90/100)*(P90/100)*(K90-J90)/(J90*(K90-1)))*100</f>
        <v>8.176071347447019</v>
      </c>
      <c r="R90" s="6">
        <f t="shared" ref="R90:R95" si="263">J90*(O90/100)^2</f>
        <v>31.598404255319146</v>
      </c>
      <c r="S90" s="6">
        <f t="shared" ref="S90:S95" si="264">(P90/100)^2*J90</f>
        <v>16.598404255319153</v>
      </c>
      <c r="T90" s="6">
        <f t="shared" ref="T90:T95" si="265">(O90/100)*(P90/100)*2*J90</f>
        <v>45.803191489361701</v>
      </c>
      <c r="V90">
        <f t="shared" ref="V90:V95" si="266">SUM((E90-R90)^2/R90,(F90-S90)^2/S90,(G90-T90)^2/T90)</f>
        <v>1.210068073313848</v>
      </c>
      <c r="W90" s="7">
        <f t="shared" ref="W90:W95" si="267">_xlfn.CHISQ.DIST.RT(V90, 1)</f>
        <v>0.27131864056669835</v>
      </c>
    </row>
    <row r="91" spans="1:25">
      <c r="A91" s="37">
        <v>25</v>
      </c>
      <c r="B91" s="1" t="s">
        <v>7</v>
      </c>
      <c r="C91" s="1" t="s">
        <v>6</v>
      </c>
      <c r="D91" s="1">
        <v>3</v>
      </c>
      <c r="E91" s="2">
        <v>48</v>
      </c>
      <c r="F91" s="2">
        <v>4</v>
      </c>
      <c r="G91" s="2">
        <v>41</v>
      </c>
      <c r="H91" s="22">
        <f t="shared" si="254"/>
        <v>137</v>
      </c>
      <c r="I91" s="22">
        <f t="shared" si="255"/>
        <v>49</v>
      </c>
      <c r="J91" s="22">
        <f t="shared" si="256"/>
        <v>93</v>
      </c>
      <c r="K91">
        <f>INT(255/(105/95))</f>
        <v>230</v>
      </c>
      <c r="L91" s="6">
        <f t="shared" si="257"/>
        <v>51.612903225806448</v>
      </c>
      <c r="M91" s="6">
        <f t="shared" si="258"/>
        <v>4.3010752688172049</v>
      </c>
      <c r="N91" s="6">
        <f t="shared" si="259"/>
        <v>44.086021505376344</v>
      </c>
      <c r="O91" s="8">
        <f t="shared" si="260"/>
        <v>73.655913978494624</v>
      </c>
      <c r="P91" s="8">
        <f t="shared" si="261"/>
        <v>26.344086021505376</v>
      </c>
      <c r="Q91" s="15">
        <f t="shared" ref="Q91" si="268">1.96*SQRT((O91/100)*(P91/100)*(K91-J91)/(J91*(K91-1)))*100</f>
        <v>6.924724805785357</v>
      </c>
      <c r="R91" s="6">
        <f t="shared" si="263"/>
        <v>50.454301075268816</v>
      </c>
      <c r="S91" s="6">
        <f t="shared" si="264"/>
        <v>6.4543010752688161</v>
      </c>
      <c r="T91" s="6">
        <f t="shared" si="265"/>
        <v>36.091397849462361</v>
      </c>
      <c r="V91">
        <f t="shared" si="266"/>
        <v>1.7202485848631328</v>
      </c>
      <c r="W91" s="7">
        <f t="shared" si="267"/>
        <v>0.18966104977899223</v>
      </c>
    </row>
    <row r="92" spans="1:25">
      <c r="A92" s="37">
        <v>20</v>
      </c>
      <c r="B92" s="1" t="s">
        <v>7</v>
      </c>
      <c r="C92" s="1" t="s">
        <v>6</v>
      </c>
      <c r="D92" s="1">
        <v>3</v>
      </c>
      <c r="E92">
        <v>57</v>
      </c>
      <c r="F92" s="2">
        <v>7</v>
      </c>
      <c r="G92" s="2">
        <v>31</v>
      </c>
      <c r="H92" s="22">
        <f t="shared" si="254"/>
        <v>145</v>
      </c>
      <c r="I92" s="22">
        <f t="shared" si="255"/>
        <v>45</v>
      </c>
      <c r="J92" s="22">
        <f t="shared" si="256"/>
        <v>95</v>
      </c>
      <c r="K92">
        <f>INT(164/(107/95))</f>
        <v>145</v>
      </c>
      <c r="L92" s="6">
        <f t="shared" si="257"/>
        <v>60</v>
      </c>
      <c r="M92" s="6">
        <f t="shared" si="258"/>
        <v>7.3684210526315779</v>
      </c>
      <c r="N92" s="6">
        <f t="shared" si="259"/>
        <v>32.631578947368425</v>
      </c>
      <c r="O92" s="8">
        <f t="shared" si="260"/>
        <v>76.31578947368422</v>
      </c>
      <c r="P92" s="8">
        <f t="shared" si="261"/>
        <v>23.684210526315788</v>
      </c>
      <c r="Q92" s="15">
        <f t="shared" ref="Q92" si="269">1.96*SQRT((O92/100)*(P92/100)*(K92-J92)/(J92*(K92-1)))*100</f>
        <v>5.0377276145977063</v>
      </c>
      <c r="R92" s="6">
        <f t="shared" si="263"/>
        <v>55.328947368421055</v>
      </c>
      <c r="S92" s="6">
        <f t="shared" si="264"/>
        <v>5.3289473684210522</v>
      </c>
      <c r="T92" s="6">
        <f t="shared" si="265"/>
        <v>34.34210526315789</v>
      </c>
      <c r="V92">
        <f t="shared" si="266"/>
        <v>0.8997254884690471</v>
      </c>
      <c r="W92" s="7">
        <f t="shared" si="267"/>
        <v>0.3428553284355203</v>
      </c>
    </row>
    <row r="93" spans="1:25">
      <c r="A93" s="37">
        <v>15</v>
      </c>
      <c r="B93" s="1" t="s">
        <v>7</v>
      </c>
      <c r="C93" s="1" t="s">
        <v>6</v>
      </c>
      <c r="D93" s="1">
        <v>3</v>
      </c>
      <c r="E93">
        <v>41</v>
      </c>
      <c r="F93" s="2">
        <v>9</v>
      </c>
      <c r="G93" s="2">
        <v>44</v>
      </c>
      <c r="H93" s="22">
        <f t="shared" si="254"/>
        <v>126</v>
      </c>
      <c r="I93" s="22">
        <f t="shared" si="255"/>
        <v>62</v>
      </c>
      <c r="J93" s="22">
        <f t="shared" si="256"/>
        <v>94</v>
      </c>
      <c r="K93">
        <f>INT(132/(97/95))</f>
        <v>129</v>
      </c>
      <c r="L93" s="6">
        <f t="shared" si="257"/>
        <v>43.61702127659575</v>
      </c>
      <c r="M93" s="6">
        <f t="shared" si="258"/>
        <v>9.5744680851063837</v>
      </c>
      <c r="N93" s="6">
        <f t="shared" si="259"/>
        <v>46.808510638297875</v>
      </c>
      <c r="O93" s="8">
        <f t="shared" si="260"/>
        <v>67.021276595744681</v>
      </c>
      <c r="P93" s="8">
        <f t="shared" si="261"/>
        <v>32.978723404255319</v>
      </c>
      <c r="Q93" s="15">
        <f t="shared" ref="Q93" si="270">1.96*SQRT((O93/100)*(P93/100)*(K93-J93)/(J93*(K93-1)))*100</f>
        <v>4.9698633762807578</v>
      </c>
      <c r="R93" s="6">
        <f t="shared" si="263"/>
        <v>42.223404255319153</v>
      </c>
      <c r="S93" s="6">
        <f t="shared" si="264"/>
        <v>10.223404255319148</v>
      </c>
      <c r="T93" s="6">
        <f t="shared" si="265"/>
        <v>41.553191489361701</v>
      </c>
      <c r="V93">
        <f t="shared" si="266"/>
        <v>0.32592603079694904</v>
      </c>
      <c r="W93" s="7">
        <f t="shared" si="267"/>
        <v>0.56806789358084353</v>
      </c>
    </row>
    <row r="94" spans="1:25">
      <c r="A94" s="37">
        <v>10</v>
      </c>
      <c r="B94" s="1" t="s">
        <v>7</v>
      </c>
      <c r="C94" s="1" t="s">
        <v>6</v>
      </c>
      <c r="D94" s="1">
        <v>3</v>
      </c>
      <c r="E94">
        <v>21</v>
      </c>
      <c r="F94" s="2">
        <v>24</v>
      </c>
      <c r="G94" s="2">
        <v>50</v>
      </c>
      <c r="H94" s="22">
        <f t="shared" si="254"/>
        <v>92</v>
      </c>
      <c r="I94" s="22">
        <f t="shared" si="255"/>
        <v>98</v>
      </c>
      <c r="J94" s="22">
        <f t="shared" si="256"/>
        <v>95</v>
      </c>
      <c r="K94" s="22">
        <v>282</v>
      </c>
      <c r="L94" s="6">
        <f t="shared" si="257"/>
        <v>22.105263157894736</v>
      </c>
      <c r="M94" s="6">
        <f t="shared" si="258"/>
        <v>25.263157894736842</v>
      </c>
      <c r="N94" s="6">
        <f t="shared" si="259"/>
        <v>52.631578947368418</v>
      </c>
      <c r="O94" s="8">
        <f t="shared" si="260"/>
        <v>48.421052631578945</v>
      </c>
      <c r="P94" s="8">
        <f t="shared" si="261"/>
        <v>51.578947368421055</v>
      </c>
      <c r="Q94" s="15">
        <f t="shared" ref="Q94" si="271">1.96*SQRT((O94/100)*(P94/100)*(K94-J94)/(J94*(K94-1)))*100</f>
        <v>8.1981387179562901</v>
      </c>
      <c r="R94" s="6">
        <f t="shared" si="263"/>
        <v>22.273684210526312</v>
      </c>
      <c r="S94" s="6">
        <f t="shared" si="264"/>
        <v>25.273684210526319</v>
      </c>
      <c r="T94" s="6">
        <f t="shared" si="265"/>
        <v>47.452631578947368</v>
      </c>
      <c r="V94">
        <f t="shared" si="266"/>
        <v>0.2737704201699197</v>
      </c>
      <c r="W94" s="7">
        <f t="shared" si="267"/>
        <v>0.60081368345189179</v>
      </c>
    </row>
    <row r="95" spans="1:25">
      <c r="A95" s="37">
        <v>5</v>
      </c>
      <c r="B95" s="1" t="s">
        <v>7</v>
      </c>
      <c r="C95" s="1" t="s">
        <v>6</v>
      </c>
      <c r="D95" s="1">
        <v>3</v>
      </c>
      <c r="E95">
        <v>33</v>
      </c>
      <c r="F95" s="2">
        <v>20</v>
      </c>
      <c r="G95" s="2">
        <v>42</v>
      </c>
      <c r="H95" s="22">
        <f t="shared" si="254"/>
        <v>108</v>
      </c>
      <c r="I95" s="22">
        <f t="shared" si="255"/>
        <v>82</v>
      </c>
      <c r="J95" s="22">
        <f t="shared" si="256"/>
        <v>95</v>
      </c>
      <c r="K95" s="22">
        <v>115</v>
      </c>
      <c r="L95" s="6">
        <f t="shared" si="257"/>
        <v>34.736842105263158</v>
      </c>
      <c r="M95" s="6">
        <f t="shared" si="258"/>
        <v>21.052631578947366</v>
      </c>
      <c r="N95" s="6">
        <f t="shared" si="259"/>
        <v>44.210526315789473</v>
      </c>
      <c r="O95" s="8">
        <f t="shared" si="260"/>
        <v>56.84210526315789</v>
      </c>
      <c r="P95" s="8">
        <f t="shared" si="261"/>
        <v>43.15789473684211</v>
      </c>
      <c r="Q95" s="15">
        <f t="shared" ref="Q95" si="272">1.96*SQRT((O95/100)*(P95/100)*(K95-J95)/(J95*(K95-1)))*100</f>
        <v>4.1717862067706539</v>
      </c>
      <c r="R95" s="6">
        <f t="shared" si="263"/>
        <v>30.694736842105261</v>
      </c>
      <c r="S95" s="6">
        <f t="shared" si="264"/>
        <v>17.694736842105268</v>
      </c>
      <c r="T95" s="6">
        <f t="shared" si="265"/>
        <v>46.610526315789485</v>
      </c>
      <c r="V95">
        <f t="shared" si="266"/>
        <v>0.92951542659058151</v>
      </c>
      <c r="W95" s="7">
        <f t="shared" si="267"/>
        <v>0.33498887283518264</v>
      </c>
    </row>
    <row r="96" spans="1:25">
      <c r="A96" s="37">
        <v>2</v>
      </c>
      <c r="B96" s="1" t="s">
        <v>7</v>
      </c>
      <c r="C96" s="1" t="s">
        <v>6</v>
      </c>
      <c r="D96" s="1">
        <v>3</v>
      </c>
      <c r="F96" s="2"/>
      <c r="G96" s="2"/>
      <c r="H96" s="22"/>
      <c r="I96" s="22"/>
      <c r="J96" s="22"/>
      <c r="K96" s="22"/>
      <c r="L96" s="6"/>
      <c r="M96" s="6"/>
      <c r="N96" s="6"/>
      <c r="O96" s="8"/>
      <c r="P96" s="8"/>
      <c r="Q96" s="15"/>
      <c r="R96" s="6"/>
      <c r="S96" s="6"/>
      <c r="T96" s="6"/>
      <c r="W96" s="7"/>
    </row>
    <row r="97" spans="1:25">
      <c r="A97" s="37">
        <v>0</v>
      </c>
      <c r="B97" s="1" t="s">
        <v>7</v>
      </c>
      <c r="C97" s="9" t="s">
        <v>6</v>
      </c>
      <c r="D97" s="1">
        <v>3</v>
      </c>
      <c r="E97">
        <v>37</v>
      </c>
      <c r="F97">
        <v>58</v>
      </c>
      <c r="G97">
        <v>0</v>
      </c>
      <c r="H97" s="22">
        <f>2*E97 + G97</f>
        <v>74</v>
      </c>
      <c r="I97" s="22">
        <f>2*F97+G97</f>
        <v>116</v>
      </c>
      <c r="J97" s="22">
        <f t="shared" ref="J97" si="273">SUM(E97:G97)</f>
        <v>95</v>
      </c>
      <c r="K97">
        <f>INT(333/(108/95))</f>
        <v>292</v>
      </c>
      <c r="L97" s="6">
        <f t="shared" ref="L97" si="274">100*(E97/(E97+F97+G97))</f>
        <v>38.94736842105263</v>
      </c>
      <c r="M97" s="6">
        <f t="shared" ref="M97" si="275">100*(F97/(E97+F97+G97))</f>
        <v>61.05263157894737</v>
      </c>
      <c r="N97" s="6">
        <f t="shared" ref="N97" si="276">100*(G97/(E97+F97+G97))</f>
        <v>0</v>
      </c>
      <c r="O97" s="8">
        <f t="shared" ref="O97" si="277">100*(H97/(H97+I97))</f>
        <v>38.94736842105263</v>
      </c>
      <c r="P97" s="8">
        <f t="shared" ref="P97" si="278">100*(I97/(H97+I97))</f>
        <v>61.05263157894737</v>
      </c>
      <c r="Q97" s="15">
        <f t="shared" ref="Q97" si="279">1.96*SQRT((O97/100)*(P97/100)*(K97-J97)/(J97*(K97-1)))*100</f>
        <v>8.0681161325662032</v>
      </c>
      <c r="R97" s="6">
        <f t="shared" ref="R97" si="280">J97*(O97/100)^2</f>
        <v>14.410526315789474</v>
      </c>
      <c r="S97" s="6">
        <f t="shared" ref="S97" si="281">(P97/100)^2*J97</f>
        <v>35.410526315789475</v>
      </c>
      <c r="T97" s="6">
        <f t="shared" ref="T97" si="282">(O97/100)*(P97/100)*2*J97</f>
        <v>45.178947368421049</v>
      </c>
      <c r="V97">
        <f t="shared" ref="V97" si="283">SUM((E97-R97)^2/R97,(F97-S97)^2/S97,(G97-T97)^2/T97)</f>
        <v>94.999999999999986</v>
      </c>
      <c r="W97" s="7">
        <f t="shared" ref="W97" si="284">_xlfn.CHISQ.DIST.RT(V97, 1)</f>
        <v>1.9038526505460331E-22</v>
      </c>
      <c r="Y97" t="s">
        <v>69</v>
      </c>
    </row>
    <row r="98" spans="1:25" s="69" customFormat="1">
      <c r="A98" s="68"/>
      <c r="B98" s="71"/>
      <c r="C98" s="72"/>
      <c r="D98" s="71"/>
      <c r="H98" s="73"/>
      <c r="I98" s="73"/>
      <c r="J98" s="73"/>
      <c r="L98" s="74"/>
      <c r="M98" s="74"/>
      <c r="N98" s="74"/>
      <c r="O98" s="75"/>
      <c r="P98" s="75"/>
      <c r="Q98" s="76"/>
      <c r="R98" s="74"/>
      <c r="S98" s="74"/>
      <c r="T98" s="74"/>
      <c r="W98" s="77"/>
    </row>
    <row r="99" spans="1:25">
      <c r="A99" s="40">
        <v>40</v>
      </c>
      <c r="B99" s="1" t="s">
        <v>7</v>
      </c>
      <c r="C99" s="1" t="s">
        <v>8</v>
      </c>
      <c r="D99" s="1">
        <v>3</v>
      </c>
      <c r="E99">
        <v>38</v>
      </c>
      <c r="F99" s="2">
        <v>13</v>
      </c>
      <c r="G99" s="2">
        <v>44</v>
      </c>
      <c r="H99">
        <f t="shared" ref="H99" si="285">2*E99 + G99</f>
        <v>120</v>
      </c>
      <c r="I99">
        <f t="shared" ref="I99" si="286">2*F99+G99</f>
        <v>70</v>
      </c>
      <c r="J99" s="22">
        <f t="shared" ref="J99" si="287">SUM(E99:G99)</f>
        <v>95</v>
      </c>
      <c r="K99">
        <f>INT(284/(73/95))</f>
        <v>369</v>
      </c>
      <c r="L99" s="6">
        <f t="shared" ref="L99" si="288">100*(E99/(E99+F99+G99))</f>
        <v>40</v>
      </c>
      <c r="M99" s="6">
        <f t="shared" ref="M99" si="289">100*(F99/(E99+F99+G99))</f>
        <v>13.684210526315791</v>
      </c>
      <c r="N99" s="6">
        <f t="shared" ref="N99" si="290">100*(G99/(E99+F99+G99))</f>
        <v>46.315789473684212</v>
      </c>
      <c r="O99" s="8">
        <f t="shared" ref="O99" si="291">100*(H99/(H99+I99))</f>
        <v>63.157894736842103</v>
      </c>
      <c r="P99" s="8">
        <f t="shared" ref="P99" si="292">100*(I99/(H99+I99))</f>
        <v>36.84210526315789</v>
      </c>
      <c r="Q99" s="15">
        <f t="shared" ref="Q99" si="293">1.96*SQRT((O99/100)*(P99/100)*(K99-J99)/(J99*(K99-1)))*100</f>
        <v>8.3701199705276252</v>
      </c>
      <c r="R99" s="6">
        <f t="shared" ref="R99" si="294">J99*(O99/100)^2</f>
        <v>37.89473684210526</v>
      </c>
      <c r="S99" s="6">
        <f t="shared" ref="S99" si="295">(P99/100)^2*J99</f>
        <v>12.894736842105262</v>
      </c>
      <c r="T99" s="6">
        <f t="shared" ref="T99" si="296">(O99/100)*(P99/100)*2*J99</f>
        <v>44.210526315789465</v>
      </c>
      <c r="V99">
        <f t="shared" ref="V99" si="297">SUM((E99-R99)^2/R99,(F99-S99)^2/S99,(G99-T99)^2/T99)</f>
        <v>2.1541950113378268E-3</v>
      </c>
      <c r="W99" s="26">
        <f t="shared" ref="W99" si="298">_xlfn.CHISQ.DIST.RT(V99, 1)</f>
        <v>0.9629808309663539</v>
      </c>
    </row>
    <row r="100" spans="1:25">
      <c r="A100" s="40">
        <v>35</v>
      </c>
      <c r="B100" s="1" t="s">
        <v>7</v>
      </c>
      <c r="C100" s="1" t="s">
        <v>8</v>
      </c>
      <c r="D100" s="1">
        <v>3</v>
      </c>
      <c r="E100">
        <v>35</v>
      </c>
      <c r="F100" s="2">
        <v>21</v>
      </c>
      <c r="G100" s="2">
        <v>37</v>
      </c>
      <c r="H100">
        <f t="shared" ref="H100" si="299">2*E100 + G100</f>
        <v>107</v>
      </c>
      <c r="I100">
        <f t="shared" ref="I100" si="300">2*F100+G100</f>
        <v>79</v>
      </c>
      <c r="J100" s="22">
        <f t="shared" ref="J100" si="301">SUM(E100:G100)</f>
        <v>93</v>
      </c>
      <c r="K100">
        <f>INT(155/(101/95))</f>
        <v>145</v>
      </c>
      <c r="L100" s="6">
        <f t="shared" ref="L100" si="302">100*(E100/(E100+F100+G100))</f>
        <v>37.634408602150536</v>
      </c>
      <c r="M100" s="6">
        <f t="shared" ref="M100" si="303">100*(F100/(E100+F100+G100))</f>
        <v>22.58064516129032</v>
      </c>
      <c r="N100" s="6">
        <f t="shared" ref="N100" si="304">100*(G100/(E100+F100+G100))</f>
        <v>39.784946236559136</v>
      </c>
      <c r="O100" s="8">
        <f t="shared" ref="O100" si="305">100*(H100/(H100+I100))</f>
        <v>57.526881720430111</v>
      </c>
      <c r="P100" s="8">
        <f t="shared" ref="P100" si="306">100*(I100/(H100+I100))</f>
        <v>42.473118279569896</v>
      </c>
      <c r="Q100" s="15">
        <f t="shared" ref="Q100" si="307">1.96*SQRT((O100/100)*(P100/100)*(K100-J100)/(J100*(K100-1)))*100</f>
        <v>6.0370880931116488</v>
      </c>
      <c r="R100" s="6">
        <f t="shared" ref="R100" si="308">J100*(O100/100)^2</f>
        <v>30.776881720430111</v>
      </c>
      <c r="S100" s="6">
        <f t="shared" ref="S100" si="309">(P100/100)^2*J100</f>
        <v>16.776881720430108</v>
      </c>
      <c r="T100" s="6">
        <f t="shared" ref="T100" si="310">(O100/100)*(P100/100)*2*J100</f>
        <v>45.446236559139784</v>
      </c>
      <c r="V100">
        <f t="shared" ref="V100" si="311">SUM((E100-R100)^2/R100,(F100-S100)^2/S100,(G100-T100)^2/T100)</f>
        <v>3.2122813826318128</v>
      </c>
      <c r="W100" s="26">
        <f t="shared" ref="W100" si="312">_xlfn.CHISQ.DIST.RT(V100, 1)</f>
        <v>7.3087509675609993E-2</v>
      </c>
    </row>
    <row r="101" spans="1:25">
      <c r="A101" s="40">
        <v>30</v>
      </c>
      <c r="B101" s="1" t="s">
        <v>7</v>
      </c>
      <c r="C101" s="1" t="s">
        <v>8</v>
      </c>
      <c r="D101" s="1">
        <v>3</v>
      </c>
      <c r="E101">
        <v>23</v>
      </c>
      <c r="F101" s="2">
        <v>21</v>
      </c>
      <c r="G101" s="2">
        <v>49</v>
      </c>
      <c r="H101">
        <f t="shared" ref="H101:H106" si="313">2*E101 + G101</f>
        <v>95</v>
      </c>
      <c r="I101">
        <f t="shared" ref="I101:I106" si="314">2*F101+G101</f>
        <v>91</v>
      </c>
      <c r="J101" s="22">
        <f t="shared" ref="J101" si="315">SUM(E101:G101)</f>
        <v>93</v>
      </c>
      <c r="K101">
        <f>INT(334/(102/95))</f>
        <v>311</v>
      </c>
      <c r="L101" s="6">
        <f t="shared" ref="L101:L106" si="316">100*(E101/(E101+F101+G101))</f>
        <v>24.731182795698924</v>
      </c>
      <c r="M101" s="6">
        <f t="shared" ref="M101:M106" si="317">100*(F101/(E101+F101+G101))</f>
        <v>22.58064516129032</v>
      </c>
      <c r="N101" s="6">
        <f t="shared" ref="N101:N106" si="318">100*(G101/(E101+F101+G101))</f>
        <v>52.688172043010752</v>
      </c>
      <c r="O101" s="8">
        <f t="shared" ref="O101:O106" si="319">100*(H101/(H101+I101))</f>
        <v>51.075268817204304</v>
      </c>
      <c r="P101" s="8">
        <f t="shared" ref="P101:P106" si="320">100*(I101/(H101+I101))</f>
        <v>48.924731182795696</v>
      </c>
      <c r="Q101" s="15">
        <f t="shared" ref="Q101" si="321">1.96*SQRT((O101/100)*(P101/100)*(K101-J101)/(J101*(K101-1)))*100</f>
        <v>8.5198422094688357</v>
      </c>
      <c r="R101" s="6">
        <f t="shared" ref="R101" si="322">J101*(O101/100)^2</f>
        <v>24.26075268817204</v>
      </c>
      <c r="S101" s="6">
        <f t="shared" ref="S101" si="323">(P101/100)^2*J101</f>
        <v>22.26075268817204</v>
      </c>
      <c r="T101" s="6">
        <f t="shared" ref="T101:T106" si="324">(O101/100)*(P101/100)*2*J101</f>
        <v>46.478494623655905</v>
      </c>
      <c r="V101">
        <f t="shared" ref="V101:V106" si="325">SUM((E101-R101)^2/R101,(F101-S101)^2/S101,(G101-T101)^2/T101)</f>
        <v>0.27371502565195344</v>
      </c>
      <c r="W101" s="26">
        <f t="shared" ref="W101:W106" si="326">_xlfn.CHISQ.DIST.RT(V101, 1)</f>
        <v>0.60085051865641925</v>
      </c>
    </row>
    <row r="102" spans="1:25">
      <c r="A102" s="40">
        <v>25</v>
      </c>
      <c r="B102" s="1" t="s">
        <v>7</v>
      </c>
      <c r="C102" s="1" t="s">
        <v>8</v>
      </c>
      <c r="D102" s="1">
        <v>3</v>
      </c>
      <c r="E102">
        <v>24</v>
      </c>
      <c r="F102" s="2">
        <v>16</v>
      </c>
      <c r="G102" s="2">
        <v>50</v>
      </c>
      <c r="H102">
        <f t="shared" si="313"/>
        <v>98</v>
      </c>
      <c r="I102">
        <f t="shared" si="314"/>
        <v>82</v>
      </c>
      <c r="J102" s="22">
        <f t="shared" ref="J102" si="327">SUM(E102:G102)</f>
        <v>90</v>
      </c>
      <c r="K102">
        <v>95</v>
      </c>
      <c r="L102" s="6">
        <f t="shared" si="316"/>
        <v>26.666666666666668</v>
      </c>
      <c r="M102" s="6">
        <f t="shared" si="317"/>
        <v>17.777777777777779</v>
      </c>
      <c r="N102" s="6">
        <f t="shared" si="318"/>
        <v>55.555555555555557</v>
      </c>
      <c r="O102" s="8">
        <f t="shared" si="319"/>
        <v>54.444444444444443</v>
      </c>
      <c r="P102" s="8">
        <f t="shared" si="320"/>
        <v>45.555555555555557</v>
      </c>
      <c r="Q102" s="15">
        <f t="shared" ref="Q102" si="328">1.96*SQRT((O102/100)*(P102/100)*(K102-J102)/(J102*(K102-1)))*100</f>
        <v>2.3730306683067779</v>
      </c>
      <c r="R102" s="6">
        <f t="shared" ref="R102" si="329">J102*(O102/100)^2</f>
        <v>26.677777777777774</v>
      </c>
      <c r="S102" s="6">
        <f t="shared" ref="S102" si="330">(P102/100)^2*J102</f>
        <v>18.677777777777777</v>
      </c>
      <c r="T102" s="6">
        <f t="shared" si="324"/>
        <v>44.644444444444439</v>
      </c>
      <c r="V102">
        <f t="shared" si="325"/>
        <v>1.2951400132950757</v>
      </c>
      <c r="W102" s="26">
        <f t="shared" si="326"/>
        <v>0.25510286803177779</v>
      </c>
    </row>
    <row r="103" spans="1:25">
      <c r="A103" s="40">
        <v>20</v>
      </c>
      <c r="B103" s="1" t="s">
        <v>7</v>
      </c>
      <c r="C103" s="1" t="s">
        <v>8</v>
      </c>
      <c r="D103" s="1">
        <v>3</v>
      </c>
      <c r="E103">
        <v>25</v>
      </c>
      <c r="F103" s="2">
        <v>15</v>
      </c>
      <c r="G103" s="2">
        <v>55</v>
      </c>
      <c r="H103">
        <f t="shared" si="313"/>
        <v>105</v>
      </c>
      <c r="I103">
        <f t="shared" si="314"/>
        <v>85</v>
      </c>
      <c r="J103" s="22">
        <f t="shared" ref="J103" si="331">SUM(E103:G103)</f>
        <v>95</v>
      </c>
      <c r="K103">
        <f>INT(328/(98/95))</f>
        <v>317</v>
      </c>
      <c r="L103" s="6">
        <f t="shared" si="316"/>
        <v>26.315789473684209</v>
      </c>
      <c r="M103" s="6">
        <f t="shared" si="317"/>
        <v>15.789473684210526</v>
      </c>
      <c r="N103" s="6">
        <f t="shared" si="318"/>
        <v>57.894736842105267</v>
      </c>
      <c r="O103" s="8">
        <f t="shared" si="319"/>
        <v>55.26315789473685</v>
      </c>
      <c r="P103" s="8">
        <f t="shared" si="320"/>
        <v>44.736842105263158</v>
      </c>
      <c r="Q103" s="15">
        <f t="shared" ref="Q103" si="332">1.96*SQRT((O103/100)*(P103/100)*(K103-J103)/(J103*(K103-1)))*100</f>
        <v>8.3806504325921729</v>
      </c>
      <c r="R103" s="6">
        <f t="shared" ref="R103" si="333">J103*(O103/100)^2</f>
        <v>29.01315789473685</v>
      </c>
      <c r="S103" s="6">
        <f t="shared" ref="S103" si="334">(P103/100)^2*J103</f>
        <v>19.013157894736842</v>
      </c>
      <c r="T103" s="6">
        <f t="shared" si="324"/>
        <v>46.973684210526322</v>
      </c>
      <c r="V103">
        <f t="shared" si="325"/>
        <v>2.7736192516222173</v>
      </c>
      <c r="W103" s="26">
        <f t="shared" si="326"/>
        <v>9.5829262832839421E-2</v>
      </c>
    </row>
    <row r="104" spans="1:25">
      <c r="A104" s="40">
        <v>15</v>
      </c>
      <c r="B104" s="1" t="s">
        <v>7</v>
      </c>
      <c r="C104" s="1" t="s">
        <v>8</v>
      </c>
      <c r="D104" s="1">
        <v>3</v>
      </c>
      <c r="E104" s="22">
        <v>14</v>
      </c>
      <c r="F104" s="22">
        <v>31</v>
      </c>
      <c r="G104" s="22">
        <v>50</v>
      </c>
      <c r="H104">
        <f t="shared" si="313"/>
        <v>78</v>
      </c>
      <c r="I104">
        <f t="shared" si="314"/>
        <v>112</v>
      </c>
      <c r="J104" s="22">
        <f t="shared" ref="J104" si="335">SUM(E104:G104)</f>
        <v>95</v>
      </c>
      <c r="K104">
        <f>INT(185/(90/95))</f>
        <v>195</v>
      </c>
      <c r="L104" s="6">
        <f t="shared" si="316"/>
        <v>14.736842105263156</v>
      </c>
      <c r="M104" s="6">
        <f t="shared" si="317"/>
        <v>32.631578947368425</v>
      </c>
      <c r="N104" s="6">
        <f t="shared" si="318"/>
        <v>52.631578947368418</v>
      </c>
      <c r="O104" s="8">
        <f t="shared" si="319"/>
        <v>41.05263157894737</v>
      </c>
      <c r="P104" s="8">
        <f t="shared" si="320"/>
        <v>58.947368421052623</v>
      </c>
      <c r="Q104" s="15">
        <f t="shared" ref="Q104" si="336">1.96*SQRT((O104/100)*(P104/100)*(K104-J104)/(J104*(K104-1)))*100</f>
        <v>7.102252616976557</v>
      </c>
      <c r="R104" s="6">
        <f t="shared" ref="R104" si="337">J104*(O104/100)^2</f>
        <v>16.010526315789473</v>
      </c>
      <c r="S104" s="6">
        <f t="shared" ref="S104" si="338">(P104/100)^2*J104</f>
        <v>33.01052631578947</v>
      </c>
      <c r="T104" s="6">
        <f t="shared" si="324"/>
        <v>45.978947368421053</v>
      </c>
      <c r="V104">
        <f t="shared" si="325"/>
        <v>0.72658273121871964</v>
      </c>
      <c r="W104" s="26">
        <f t="shared" si="326"/>
        <v>0.39399310589277592</v>
      </c>
    </row>
    <row r="105" spans="1:25">
      <c r="A105" s="40">
        <v>10</v>
      </c>
      <c r="B105" s="1" t="s">
        <v>7</v>
      </c>
      <c r="C105" s="1" t="s">
        <v>8</v>
      </c>
      <c r="D105" s="1">
        <v>3</v>
      </c>
      <c r="E105">
        <v>20</v>
      </c>
      <c r="F105" s="2">
        <v>16</v>
      </c>
      <c r="G105" s="2">
        <v>57</v>
      </c>
      <c r="H105">
        <f t="shared" si="313"/>
        <v>97</v>
      </c>
      <c r="I105">
        <f t="shared" si="314"/>
        <v>89</v>
      </c>
      <c r="J105" s="22">
        <f t="shared" ref="J105" si="339">SUM(E105:G105)</f>
        <v>93</v>
      </c>
      <c r="K105" s="22">
        <f>INT(281/(91/95))</f>
        <v>293</v>
      </c>
      <c r="L105" s="6">
        <f t="shared" si="316"/>
        <v>21.50537634408602</v>
      </c>
      <c r="M105" s="6">
        <f t="shared" si="317"/>
        <v>17.20430107526882</v>
      </c>
      <c r="N105" s="6">
        <f t="shared" si="318"/>
        <v>61.29032258064516</v>
      </c>
      <c r="O105" s="8">
        <f t="shared" si="319"/>
        <v>52.1505376344086</v>
      </c>
      <c r="P105" s="8">
        <f t="shared" si="320"/>
        <v>47.8494623655914</v>
      </c>
      <c r="Q105" s="15">
        <f t="shared" ref="Q105" si="340">1.96*SQRT((O105/100)*(P105/100)*(K105-J105)/(J105*(K105-1)))*100</f>
        <v>8.4024530686496242</v>
      </c>
      <c r="R105" s="6">
        <f t="shared" ref="R105" si="341">J105*(O105/100)^2</f>
        <v>25.293010752688172</v>
      </c>
      <c r="S105" s="6">
        <f t="shared" ref="S105" si="342">(P105/100)^2*J105</f>
        <v>21.293010752688176</v>
      </c>
      <c r="T105" s="6">
        <f t="shared" si="324"/>
        <v>46.413978494623656</v>
      </c>
      <c r="V105">
        <f t="shared" si="325"/>
        <v>4.8378332939681812</v>
      </c>
      <c r="W105" s="28">
        <f t="shared" si="326"/>
        <v>2.7841855606368753E-2</v>
      </c>
    </row>
    <row r="106" spans="1:25">
      <c r="A106" s="40">
        <v>5</v>
      </c>
      <c r="B106" s="1" t="s">
        <v>7</v>
      </c>
      <c r="C106" s="1" t="s">
        <v>8</v>
      </c>
      <c r="D106" s="1">
        <v>3</v>
      </c>
      <c r="E106">
        <v>16</v>
      </c>
      <c r="F106" s="2">
        <v>17</v>
      </c>
      <c r="G106" s="2">
        <v>22</v>
      </c>
      <c r="H106">
        <f t="shared" si="313"/>
        <v>54</v>
      </c>
      <c r="I106">
        <f t="shared" si="314"/>
        <v>56</v>
      </c>
      <c r="J106" s="22">
        <f t="shared" ref="J106" si="343">SUM(E106:G106)</f>
        <v>55</v>
      </c>
      <c r="K106" s="22">
        <v>55</v>
      </c>
      <c r="L106" s="6">
        <f t="shared" si="316"/>
        <v>29.09090909090909</v>
      </c>
      <c r="M106" s="6">
        <f t="shared" si="317"/>
        <v>30.909090909090907</v>
      </c>
      <c r="N106" s="6">
        <f t="shared" si="318"/>
        <v>40</v>
      </c>
      <c r="O106" s="8">
        <f t="shared" si="319"/>
        <v>49.090909090909093</v>
      </c>
      <c r="P106" s="8">
        <f t="shared" si="320"/>
        <v>50.909090909090907</v>
      </c>
      <c r="Q106" s="15">
        <f t="shared" ref="Q106" si="344">1.96*SQRT((O106/100)*(P106/100)*(K106-J106)/(J106*(K106-1)))*100</f>
        <v>0</v>
      </c>
      <c r="R106" s="6">
        <f t="shared" ref="R106" si="345">J106*(O106/100)^2</f>
        <v>13.254545454545458</v>
      </c>
      <c r="S106" s="6">
        <f t="shared" ref="S106" si="346">(P106/100)^2*J106</f>
        <v>14.25454545454545</v>
      </c>
      <c r="T106" s="6">
        <f t="shared" si="324"/>
        <v>27.490909090909092</v>
      </c>
      <c r="V106">
        <f t="shared" si="325"/>
        <v>2.1941837434562306</v>
      </c>
      <c r="W106" s="26">
        <f t="shared" si="326"/>
        <v>0.13853257768300875</v>
      </c>
    </row>
    <row r="107" spans="1:25">
      <c r="A107" s="40">
        <v>2</v>
      </c>
      <c r="B107" s="1" t="s">
        <v>7</v>
      </c>
      <c r="C107" s="1" t="s">
        <v>8</v>
      </c>
      <c r="D107" s="1">
        <v>3</v>
      </c>
      <c r="F107" s="2"/>
      <c r="G107" s="2"/>
      <c r="J107" s="22"/>
      <c r="K107" s="22"/>
      <c r="L107" s="6"/>
      <c r="M107" s="6"/>
      <c r="N107" s="6"/>
      <c r="O107" s="8"/>
      <c r="P107" s="8"/>
      <c r="Q107" s="15"/>
      <c r="R107" s="6"/>
      <c r="S107" s="6"/>
      <c r="T107" s="6"/>
      <c r="W107" s="28"/>
    </row>
    <row r="108" spans="1:25">
      <c r="A108" s="40">
        <v>0</v>
      </c>
      <c r="B108" s="1" t="s">
        <v>7</v>
      </c>
      <c r="C108" s="1" t="s">
        <v>8</v>
      </c>
      <c r="D108" s="1">
        <v>3</v>
      </c>
      <c r="E108">
        <v>41</v>
      </c>
      <c r="F108" s="2">
        <v>54</v>
      </c>
      <c r="G108" s="2">
        <v>0</v>
      </c>
      <c r="H108">
        <f>2*E108 + G108</f>
        <v>82</v>
      </c>
      <c r="I108">
        <f>2*F108+G108</f>
        <v>108</v>
      </c>
      <c r="J108" s="22">
        <f t="shared" ref="J108" si="347">SUM(E108:G108)</f>
        <v>95</v>
      </c>
      <c r="K108" s="22">
        <f>INT(303/(109/95))</f>
        <v>264</v>
      </c>
      <c r="L108" s="6">
        <f t="shared" ref="L108" si="348">100*(E108/(E108+F108+G108))</f>
        <v>43.15789473684211</v>
      </c>
      <c r="M108" s="6">
        <f t="shared" ref="M108" si="349">100*(F108/(E108+F108+G108))</f>
        <v>56.84210526315789</v>
      </c>
      <c r="N108" s="6">
        <f t="shared" ref="N108" si="350">100*(G108/(E108+F108+G108))</f>
        <v>0</v>
      </c>
      <c r="O108" s="8">
        <f t="shared" ref="O108" si="351">100*(H108/(H108+I108))</f>
        <v>43.15789473684211</v>
      </c>
      <c r="P108" s="8">
        <f t="shared" ref="P108" si="352">100*(I108/(H108+I108))</f>
        <v>56.84210526315789</v>
      </c>
      <c r="Q108" s="15">
        <f t="shared" ref="Q108" si="353">1.96*SQRT((O108/100)*(P108/100)*(K108-J108)/(J108*(K108-1)))*100</f>
        <v>7.9840812841404389</v>
      </c>
      <c r="R108" s="6">
        <f t="shared" ref="R108" si="354">J108*(O108/100)^2</f>
        <v>17.694736842105268</v>
      </c>
      <c r="S108" s="6">
        <f t="shared" ref="S108" si="355">(P108/100)^2*J108</f>
        <v>30.694736842105261</v>
      </c>
      <c r="T108" s="6">
        <f t="shared" ref="T108" si="356">(O108/100)*(P108/100)*2*J108</f>
        <v>46.610526315789485</v>
      </c>
      <c r="V108">
        <f t="shared" ref="V108" si="357">SUM((E108-R108)^2/R108,(F108-S108)^2/S108,(G108-T108)^2/T108)</f>
        <v>95</v>
      </c>
      <c r="W108" s="26">
        <f t="shared" ref="W108" si="358">_xlfn.CHISQ.DIST.RT(V108, 1)</f>
        <v>1.9038526505460331E-22</v>
      </c>
      <c r="Y108" t="s">
        <v>69</v>
      </c>
    </row>
    <row r="109" spans="1:25" s="69" customFormat="1">
      <c r="A109" s="68"/>
      <c r="B109" s="71"/>
      <c r="C109" s="71"/>
      <c r="D109" s="71"/>
      <c r="F109" s="70"/>
      <c r="G109" s="70"/>
      <c r="J109" s="73"/>
      <c r="K109" s="73"/>
      <c r="L109" s="74"/>
      <c r="M109" s="74"/>
      <c r="N109" s="74"/>
      <c r="O109" s="75"/>
      <c r="P109" s="75"/>
      <c r="Q109" s="76"/>
      <c r="R109" s="74"/>
      <c r="S109" s="74"/>
      <c r="T109" s="74"/>
      <c r="W109" s="78"/>
    </row>
    <row r="110" spans="1:25">
      <c r="A110" s="44"/>
      <c r="B110" s="1"/>
      <c r="C110" s="1"/>
      <c r="D110" s="1"/>
      <c r="F110" s="2"/>
      <c r="G110" s="2"/>
      <c r="J110" s="22"/>
      <c r="K110" s="22"/>
      <c r="L110" s="6"/>
      <c r="M110" s="6"/>
      <c r="N110" s="6"/>
      <c r="O110" s="8"/>
      <c r="P110" s="8"/>
      <c r="Q110" s="15"/>
      <c r="R110" s="6"/>
      <c r="S110" s="6"/>
      <c r="T110" s="6"/>
      <c r="W110" s="26"/>
    </row>
    <row r="111" spans="1:25">
      <c r="A111" s="44">
        <v>40</v>
      </c>
      <c r="B111" s="1" t="s">
        <v>12</v>
      </c>
      <c r="C111" s="1" t="s">
        <v>5</v>
      </c>
      <c r="D111" s="1">
        <v>3</v>
      </c>
      <c r="E111">
        <v>54</v>
      </c>
      <c r="F111" s="2">
        <v>5</v>
      </c>
      <c r="G111" s="2">
        <v>36</v>
      </c>
      <c r="H111">
        <f t="shared" ref="H111" si="359">2*E111 + G111</f>
        <v>144</v>
      </c>
      <c r="I111">
        <f t="shared" ref="I111" si="360">2*F111+G111</f>
        <v>46</v>
      </c>
      <c r="J111" s="22">
        <f t="shared" ref="J111" si="361">SUM(E111:G111)</f>
        <v>95</v>
      </c>
      <c r="K111" s="22">
        <f>INT(254/(88/95))</f>
        <v>274</v>
      </c>
      <c r="L111" s="6">
        <f t="shared" ref="L111" si="362">100*(E111/(E111+F111+G111))</f>
        <v>56.84210526315789</v>
      </c>
      <c r="M111" s="6">
        <f t="shared" ref="M111" si="363">100*(F111/(E111+F111+G111))</f>
        <v>5.2631578947368416</v>
      </c>
      <c r="N111" s="6">
        <f t="shared" ref="N111" si="364">100*(G111/(E111+F111+G111))</f>
        <v>37.894736842105267</v>
      </c>
      <c r="O111" s="8">
        <f t="shared" ref="O111" si="365">100*(H111/(H111+I111))</f>
        <v>75.789473684210535</v>
      </c>
      <c r="P111" s="8">
        <f t="shared" ref="P111" si="366">100*(I111/(H111+I111))</f>
        <v>24.210526315789473</v>
      </c>
      <c r="Q111" s="15">
        <f t="shared" ref="Q111" si="367">1.96*SQRT((O111/100)*(P111/100)*(K111-J111)/(J111*(K111-1)))*100</f>
        <v>6.9750290643469226</v>
      </c>
      <c r="R111" s="6">
        <f t="shared" ref="R111" si="368">J111*(O111/100)^2</f>
        <v>54.568421052631599</v>
      </c>
      <c r="S111" s="6">
        <f t="shared" ref="S111" si="369">(P111/100)^2*J111</f>
        <v>5.568421052631578</v>
      </c>
      <c r="T111" s="6">
        <f t="shared" ref="T111" si="370">(O111/100)*(P111/100)*2*J111</f>
        <v>34.863157894736844</v>
      </c>
      <c r="V111">
        <f t="shared" ref="V111" si="371">SUM((E111-R111)^2/R111,(F111-S111)^2/S111,(G111-T111)^2/T111)</f>
        <v>0.10101606805293017</v>
      </c>
      <c r="W111" s="26">
        <f t="shared" ref="W111" si="372">_xlfn.CHISQ.DIST.RT(V111, 1)</f>
        <v>0.75061370308846576</v>
      </c>
    </row>
    <row r="112" spans="1:25">
      <c r="A112" s="44">
        <v>35</v>
      </c>
      <c r="B112" s="1" t="s">
        <v>12</v>
      </c>
      <c r="C112" s="1" t="s">
        <v>5</v>
      </c>
      <c r="D112" s="1">
        <v>3</v>
      </c>
      <c r="E112">
        <v>55</v>
      </c>
      <c r="F112" s="2">
        <v>1</v>
      </c>
      <c r="G112" s="2">
        <v>39</v>
      </c>
      <c r="H112">
        <f t="shared" ref="H112" si="373">2*E112 + G112</f>
        <v>149</v>
      </c>
      <c r="I112">
        <f t="shared" ref="I112" si="374">2*F112+G112</f>
        <v>41</v>
      </c>
      <c r="J112" s="22">
        <f t="shared" ref="J112" si="375">SUM(E112:G112)</f>
        <v>95</v>
      </c>
      <c r="K112" s="22">
        <f>INT(161/(92/95))</f>
        <v>166</v>
      </c>
      <c r="L112" s="6">
        <f t="shared" ref="L112" si="376">100*(E112/(E112+F112+G112))</f>
        <v>57.894736842105267</v>
      </c>
      <c r="M112" s="6">
        <f t="shared" ref="M112" si="377">100*(F112/(E112+F112+G112))</f>
        <v>1.0526315789473684</v>
      </c>
      <c r="N112" s="6">
        <f t="shared" ref="N112" si="378">100*(G112/(E112+F112+G112))</f>
        <v>41.05263157894737</v>
      </c>
      <c r="O112" s="8">
        <f t="shared" ref="O112" si="379">100*(H112/(H112+I112))</f>
        <v>78.421052631578945</v>
      </c>
      <c r="P112" s="8">
        <f t="shared" ref="P112" si="380">100*(I112/(H112+I112))</f>
        <v>21.578947368421055</v>
      </c>
      <c r="Q112" s="15">
        <f t="shared" ref="Q112" si="381">1.96*SQRT((O112/100)*(P112/100)*(K112-J112)/(J112*(K112-1)))*100</f>
        <v>5.4264141006016304</v>
      </c>
      <c r="R112" s="6">
        <f t="shared" ref="R112" si="382">J112*(O112/100)^2</f>
        <v>58.423684210526311</v>
      </c>
      <c r="S112" s="6">
        <f t="shared" ref="S112" si="383">(P112/100)^2*J112</f>
        <v>4.423684210526317</v>
      </c>
      <c r="T112" s="6">
        <f t="shared" ref="T112" si="384">(O112/100)*(P112/100)*2*J112</f>
        <v>32.152631578947378</v>
      </c>
      <c r="V112">
        <f t="shared" ref="V112" si="385">SUM((E112-R112)^2/R112,(F112-S112)^2/S112,(G112-T112)^2/T112)</f>
        <v>4.3086175703507701</v>
      </c>
      <c r="W112" s="28">
        <f t="shared" ref="W112" si="386">_xlfn.CHISQ.DIST.RT(V112, 1)</f>
        <v>3.7919764760702551E-2</v>
      </c>
    </row>
    <row r="113" spans="1:25">
      <c r="A113" s="65">
        <v>30</v>
      </c>
      <c r="B113" s="1" t="s">
        <v>12</v>
      </c>
      <c r="C113" s="1" t="s">
        <v>5</v>
      </c>
      <c r="D113" s="1">
        <v>3</v>
      </c>
      <c r="E113">
        <v>53</v>
      </c>
      <c r="F113" s="2">
        <v>6</v>
      </c>
      <c r="G113" s="2">
        <v>31</v>
      </c>
      <c r="H113">
        <f t="shared" ref="H113:H118" si="387">2*E113 + G113</f>
        <v>137</v>
      </c>
      <c r="I113">
        <f t="shared" ref="I113:I118" si="388">2*F113+G113</f>
        <v>43</v>
      </c>
      <c r="J113" s="22">
        <f t="shared" ref="J113:J118" si="389">SUM(E113:G113)</f>
        <v>90</v>
      </c>
      <c r="K113" s="22">
        <f>INT(243/(91/95))</f>
        <v>253</v>
      </c>
      <c r="L113" s="6">
        <f t="shared" ref="L113:L118" si="390">100*(E113/(E113+F113+G113))</f>
        <v>58.888888888888893</v>
      </c>
      <c r="M113" s="6">
        <f t="shared" ref="M113:M118" si="391">100*(F113/(E113+F113+G113))</f>
        <v>6.666666666666667</v>
      </c>
      <c r="N113" s="6">
        <f t="shared" ref="N113:N118" si="392">100*(G113/(E113+F113+G113))</f>
        <v>34.444444444444443</v>
      </c>
      <c r="O113" s="8">
        <f t="shared" ref="O113:O118" si="393">100*(H113/(H113+I113))</f>
        <v>76.111111111111114</v>
      </c>
      <c r="P113" s="8">
        <f t="shared" ref="P113:P118" si="394">100*(I113/(H113+I113))</f>
        <v>23.888888888888889</v>
      </c>
      <c r="Q113" s="15">
        <f t="shared" ref="Q113:Q118" si="395">1.96*SQRT((O113/100)*(P113/100)*(K113-J113)/(J113*(K113-1)))*100</f>
        <v>7.0851712992405753</v>
      </c>
      <c r="R113" s="6">
        <f t="shared" ref="R113:R118" si="396">J113*(O113/100)^2</f>
        <v>52.13611111111112</v>
      </c>
      <c r="S113" s="6">
        <f t="shared" ref="S113:S118" si="397">(P113/100)^2*J113</f>
        <v>5.1361111111111111</v>
      </c>
      <c r="T113" s="6">
        <f t="shared" ref="T113:T118" si="398">(O113/100)*(P113/100)*2*J113</f>
        <v>32.727777777777781</v>
      </c>
      <c r="V113">
        <f t="shared" ref="V113:V118" si="399">SUM((E113-R113)^2/R113,(F113-S113)^2/S113,(G113-T113)^2/T113)</f>
        <v>0.25083332898703758</v>
      </c>
      <c r="W113" s="26">
        <f t="shared" ref="W113:W118" si="400">_xlfn.CHISQ.DIST.RT(V113, 1)</f>
        <v>0.61648891522009053</v>
      </c>
    </row>
    <row r="114" spans="1:25">
      <c r="A114" s="43">
        <v>26</v>
      </c>
      <c r="B114" s="1" t="s">
        <v>12</v>
      </c>
      <c r="C114" s="1" t="s">
        <v>5</v>
      </c>
      <c r="D114" s="1">
        <v>3</v>
      </c>
      <c r="E114">
        <v>30</v>
      </c>
      <c r="F114" s="2">
        <v>13</v>
      </c>
      <c r="G114" s="2">
        <v>48</v>
      </c>
      <c r="H114">
        <f t="shared" si="387"/>
        <v>108</v>
      </c>
      <c r="I114">
        <f t="shared" si="388"/>
        <v>74</v>
      </c>
      <c r="J114" s="22">
        <f t="shared" si="389"/>
        <v>91</v>
      </c>
      <c r="K114">
        <f>INT(340/(110/95))</f>
        <v>293</v>
      </c>
      <c r="L114" s="6">
        <f t="shared" si="390"/>
        <v>32.967032967032964</v>
      </c>
      <c r="M114" s="6">
        <f t="shared" si="391"/>
        <v>14.285714285714285</v>
      </c>
      <c r="N114" s="6">
        <f t="shared" si="392"/>
        <v>52.747252747252752</v>
      </c>
      <c r="O114" s="8">
        <f t="shared" si="393"/>
        <v>59.340659340659343</v>
      </c>
      <c r="P114" s="8">
        <f t="shared" si="394"/>
        <v>40.659340659340657</v>
      </c>
      <c r="Q114" s="15">
        <f t="shared" si="395"/>
        <v>8.3941356625282317</v>
      </c>
      <c r="R114" s="6">
        <f t="shared" si="396"/>
        <v>32.043956043956044</v>
      </c>
      <c r="S114" s="6">
        <f t="shared" si="397"/>
        <v>15.043956043956044</v>
      </c>
      <c r="T114" s="6">
        <f t="shared" si="398"/>
        <v>43.912087912087912</v>
      </c>
      <c r="V114">
        <f t="shared" si="399"/>
        <v>0.78863548232917591</v>
      </c>
      <c r="W114" s="26">
        <f t="shared" si="400"/>
        <v>0.37451304481382547</v>
      </c>
    </row>
    <row r="115" spans="1:25">
      <c r="A115" s="10">
        <v>20</v>
      </c>
      <c r="B115" s="1" t="s">
        <v>12</v>
      </c>
      <c r="C115" s="1" t="s">
        <v>5</v>
      </c>
      <c r="D115" s="1">
        <v>3</v>
      </c>
      <c r="E115">
        <v>46</v>
      </c>
      <c r="F115" s="2">
        <v>10</v>
      </c>
      <c r="G115" s="2">
        <v>38</v>
      </c>
      <c r="H115">
        <f t="shared" si="387"/>
        <v>130</v>
      </c>
      <c r="I115">
        <f t="shared" si="388"/>
        <v>58</v>
      </c>
      <c r="J115" s="22">
        <f t="shared" si="389"/>
        <v>94</v>
      </c>
      <c r="K115">
        <f>INT(231/(110/95))</f>
        <v>199</v>
      </c>
      <c r="L115" s="6">
        <f t="shared" si="390"/>
        <v>48.936170212765958</v>
      </c>
      <c r="M115" s="6">
        <f t="shared" si="391"/>
        <v>10.638297872340425</v>
      </c>
      <c r="N115" s="6">
        <f t="shared" si="392"/>
        <v>40.425531914893611</v>
      </c>
      <c r="O115" s="8">
        <f t="shared" si="393"/>
        <v>69.148936170212778</v>
      </c>
      <c r="P115" s="8">
        <f t="shared" si="394"/>
        <v>30.851063829787233</v>
      </c>
      <c r="Q115" s="15">
        <f t="shared" si="395"/>
        <v>6.7995789795830293</v>
      </c>
      <c r="R115" s="6">
        <f t="shared" si="396"/>
        <v>44.94680851063832</v>
      </c>
      <c r="S115" s="6">
        <f t="shared" si="397"/>
        <v>8.9468085106382969</v>
      </c>
      <c r="T115" s="6">
        <f t="shared" si="398"/>
        <v>40.10638297872341</v>
      </c>
      <c r="V115">
        <f t="shared" si="399"/>
        <v>0.25928388998726487</v>
      </c>
      <c r="W115" s="26">
        <f t="shared" si="400"/>
        <v>0.610612559255859</v>
      </c>
    </row>
    <row r="116" spans="1:25">
      <c r="A116" s="10">
        <v>15</v>
      </c>
      <c r="B116" s="1" t="s">
        <v>12</v>
      </c>
      <c r="C116" s="1" t="s">
        <v>5</v>
      </c>
      <c r="D116" s="1">
        <v>3</v>
      </c>
      <c r="E116">
        <v>56</v>
      </c>
      <c r="F116" s="2">
        <v>7</v>
      </c>
      <c r="G116" s="2">
        <v>32</v>
      </c>
      <c r="H116">
        <f t="shared" si="387"/>
        <v>144</v>
      </c>
      <c r="I116">
        <f t="shared" si="388"/>
        <v>46</v>
      </c>
      <c r="J116" s="22">
        <f t="shared" si="389"/>
        <v>95</v>
      </c>
      <c r="K116">
        <f>INT(175/(96/95))</f>
        <v>173</v>
      </c>
      <c r="L116" s="6">
        <f t="shared" si="390"/>
        <v>58.947368421052623</v>
      </c>
      <c r="M116" s="6">
        <f t="shared" si="391"/>
        <v>7.3684210526315779</v>
      </c>
      <c r="N116" s="6">
        <f t="shared" si="392"/>
        <v>33.684210526315788</v>
      </c>
      <c r="O116" s="8">
        <f t="shared" si="393"/>
        <v>75.789473684210535</v>
      </c>
      <c r="P116" s="8">
        <f t="shared" si="394"/>
        <v>24.210526315789473</v>
      </c>
      <c r="Q116" s="15">
        <f t="shared" si="395"/>
        <v>5.8007467788620453</v>
      </c>
      <c r="R116" s="6">
        <f t="shared" si="396"/>
        <v>54.568421052631599</v>
      </c>
      <c r="S116" s="6">
        <f t="shared" si="397"/>
        <v>5.568421052631578</v>
      </c>
      <c r="T116" s="6">
        <f t="shared" si="398"/>
        <v>34.863157894736844</v>
      </c>
      <c r="V116">
        <f t="shared" si="399"/>
        <v>0.64073840696398954</v>
      </c>
      <c r="W116" s="26">
        <f t="shared" si="400"/>
        <v>0.42344353575799198</v>
      </c>
    </row>
    <row r="117" spans="1:25">
      <c r="A117" s="44">
        <v>10</v>
      </c>
      <c r="B117" s="1" t="s">
        <v>12</v>
      </c>
      <c r="C117" s="1" t="s">
        <v>5</v>
      </c>
      <c r="D117" s="1">
        <v>3</v>
      </c>
      <c r="E117">
        <v>47</v>
      </c>
      <c r="F117" s="2">
        <v>15</v>
      </c>
      <c r="G117" s="2">
        <v>33</v>
      </c>
      <c r="H117">
        <f t="shared" si="387"/>
        <v>127</v>
      </c>
      <c r="I117">
        <f t="shared" si="388"/>
        <v>63</v>
      </c>
      <c r="J117" s="22">
        <f t="shared" si="389"/>
        <v>95</v>
      </c>
      <c r="K117" s="22">
        <f>INT(232/(101/95))</f>
        <v>218</v>
      </c>
      <c r="L117" s="6">
        <f t="shared" si="390"/>
        <v>49.473684210526315</v>
      </c>
      <c r="M117" s="6">
        <f t="shared" si="391"/>
        <v>15.789473684210526</v>
      </c>
      <c r="N117" s="6">
        <f t="shared" si="392"/>
        <v>34.736842105263158</v>
      </c>
      <c r="O117" s="8">
        <f t="shared" si="393"/>
        <v>66.84210526315789</v>
      </c>
      <c r="P117" s="8">
        <f t="shared" si="394"/>
        <v>33.157894736842103</v>
      </c>
      <c r="Q117" s="15">
        <f t="shared" si="395"/>
        <v>7.127471538567387</v>
      </c>
      <c r="R117" s="6">
        <f t="shared" si="396"/>
        <v>42.444736842105257</v>
      </c>
      <c r="S117" s="6">
        <f t="shared" si="397"/>
        <v>10.444736842105261</v>
      </c>
      <c r="T117" s="6">
        <f t="shared" si="398"/>
        <v>42.110526315789471</v>
      </c>
      <c r="V117">
        <f t="shared" si="399"/>
        <v>4.4466116369874493</v>
      </c>
      <c r="W117" s="28">
        <f t="shared" si="400"/>
        <v>3.4970567849683235E-2</v>
      </c>
    </row>
    <row r="118" spans="1:25">
      <c r="A118" s="44">
        <v>5</v>
      </c>
      <c r="B118" s="1" t="s">
        <v>12</v>
      </c>
      <c r="C118" s="1" t="s">
        <v>5</v>
      </c>
      <c r="D118" s="1">
        <v>3</v>
      </c>
      <c r="E118">
        <v>27</v>
      </c>
      <c r="F118" s="2">
        <v>29</v>
      </c>
      <c r="G118" s="2">
        <v>39</v>
      </c>
      <c r="H118">
        <f t="shared" si="387"/>
        <v>93</v>
      </c>
      <c r="I118">
        <f t="shared" si="388"/>
        <v>97</v>
      </c>
      <c r="J118" s="22">
        <f t="shared" si="389"/>
        <v>95</v>
      </c>
      <c r="K118" s="22">
        <v>120</v>
      </c>
      <c r="L118" s="6">
        <f t="shared" si="390"/>
        <v>28.421052631578945</v>
      </c>
      <c r="M118" s="6">
        <f t="shared" si="391"/>
        <v>30.526315789473685</v>
      </c>
      <c r="N118" s="6">
        <f t="shared" si="392"/>
        <v>41.05263157894737</v>
      </c>
      <c r="O118" s="8">
        <f t="shared" si="393"/>
        <v>48.947368421052637</v>
      </c>
      <c r="P118" s="8">
        <f t="shared" si="394"/>
        <v>51.05263157894737</v>
      </c>
      <c r="Q118" s="15">
        <f t="shared" si="395"/>
        <v>4.6074913951081875</v>
      </c>
      <c r="R118" s="6">
        <f t="shared" si="396"/>
        <v>22.76052631578948</v>
      </c>
      <c r="S118" s="6">
        <f t="shared" si="397"/>
        <v>24.760526315789477</v>
      </c>
      <c r="T118" s="6">
        <f t="shared" si="398"/>
        <v>47.478947368421068</v>
      </c>
      <c r="V118">
        <f t="shared" si="399"/>
        <v>3.0297397193932492</v>
      </c>
      <c r="W118" s="26">
        <f t="shared" si="400"/>
        <v>8.1751129829439675E-2</v>
      </c>
    </row>
    <row r="119" spans="1:25">
      <c r="A119" s="44">
        <v>2</v>
      </c>
      <c r="B119" s="1" t="s">
        <v>12</v>
      </c>
      <c r="C119" s="1" t="s">
        <v>5</v>
      </c>
      <c r="D119" s="1">
        <v>3</v>
      </c>
      <c r="F119" s="2"/>
      <c r="G119" s="2"/>
      <c r="J119" s="22"/>
      <c r="K119" s="22"/>
      <c r="L119" s="6"/>
      <c r="M119" s="6"/>
      <c r="N119" s="6"/>
      <c r="O119" s="8"/>
      <c r="P119" s="8"/>
      <c r="Q119" s="15"/>
      <c r="R119" s="6"/>
      <c r="S119" s="6"/>
      <c r="T119" s="6"/>
      <c r="W119" s="28"/>
    </row>
    <row r="120" spans="1:25">
      <c r="A120" s="10">
        <v>0</v>
      </c>
      <c r="B120" s="1" t="s">
        <v>12</v>
      </c>
      <c r="C120" s="1" t="s">
        <v>5</v>
      </c>
      <c r="D120" s="1">
        <v>3</v>
      </c>
      <c r="E120">
        <v>67</v>
      </c>
      <c r="F120" s="2">
        <v>28</v>
      </c>
      <c r="G120" s="2">
        <v>0</v>
      </c>
      <c r="H120">
        <f>2*E120 + G120</f>
        <v>134</v>
      </c>
      <c r="I120">
        <f t="shared" ref="I120" si="401">2*F120+G120</f>
        <v>56</v>
      </c>
      <c r="J120" s="22">
        <f t="shared" ref="J120" si="402">SUM(E120:G120)</f>
        <v>95</v>
      </c>
      <c r="K120" s="22">
        <v>110</v>
      </c>
      <c r="L120" s="6">
        <f t="shared" ref="L120" si="403">100*(E120/(E120+F120+G120))</f>
        <v>70.526315789473685</v>
      </c>
      <c r="M120" s="6">
        <f t="shared" ref="M120" si="404">100*(F120/(E120+F120+G120))</f>
        <v>29.473684210526311</v>
      </c>
      <c r="N120" s="6">
        <f t="shared" ref="N120" si="405">100*(G120/(E120+F120+G120))</f>
        <v>0</v>
      </c>
      <c r="O120" s="8">
        <f t="shared" ref="O120" si="406">100*(H120/(H120+I120))</f>
        <v>70.526315789473685</v>
      </c>
      <c r="P120" s="8">
        <f t="shared" ref="P120" si="407">100*(I120/(H120+I120))</f>
        <v>29.473684210526311</v>
      </c>
      <c r="Q120" s="15">
        <f t="shared" ref="Q120" si="408">1.96*SQRT((O120/100)*(P120/100)*(K120-J120)/(J120*(K120-1)))*100</f>
        <v>3.4011004671064207</v>
      </c>
      <c r="R120" s="6">
        <f>K120*(O120/100)^2</f>
        <v>54.713573407202212</v>
      </c>
      <c r="S120" s="6">
        <f>(P120/100)^2*K120</f>
        <v>9.5556786703601091</v>
      </c>
      <c r="T120" s="6">
        <f>(O120/100)*(P120/100)*2*K120</f>
        <v>45.730747922437665</v>
      </c>
      <c r="V120">
        <f t="shared" ref="V120" si="409">SUM((E120-R120)^2/R120,(F120-S120)^2/S120,(G120-T120)^2/T120)</f>
        <v>84.090909090909093</v>
      </c>
      <c r="W120" s="7">
        <f t="shared" ref="W120" si="410">_xlfn.CHISQ.DIST.RT(V120, 1)</f>
        <v>4.7253859134270232E-20</v>
      </c>
      <c r="Y120" t="s">
        <v>69</v>
      </c>
    </row>
    <row r="121" spans="1:25" s="69" customFormat="1">
      <c r="A121" s="68"/>
      <c r="B121" s="71"/>
      <c r="C121" s="71"/>
      <c r="D121" s="71"/>
      <c r="F121" s="70"/>
      <c r="G121" s="70"/>
      <c r="J121" s="73"/>
      <c r="K121" s="73"/>
      <c r="L121" s="74"/>
      <c r="M121" s="74"/>
      <c r="N121" s="74"/>
      <c r="O121" s="75"/>
      <c r="P121" s="75"/>
      <c r="Q121" s="76"/>
      <c r="R121" s="74"/>
      <c r="S121" s="74"/>
      <c r="T121" s="74"/>
      <c r="W121" s="77"/>
    </row>
    <row r="122" spans="1:25">
      <c r="A122" s="41">
        <v>40</v>
      </c>
      <c r="B122" s="1" t="s">
        <v>12</v>
      </c>
      <c r="C122" s="1" t="s">
        <v>6</v>
      </c>
      <c r="D122" s="1">
        <v>3</v>
      </c>
      <c r="E122">
        <v>30</v>
      </c>
      <c r="F122" s="2">
        <v>17</v>
      </c>
      <c r="G122" s="2">
        <v>45</v>
      </c>
      <c r="H122">
        <f t="shared" ref="H122" si="411">2*E122 + G122</f>
        <v>105</v>
      </c>
      <c r="I122">
        <f t="shared" ref="I122" si="412">2*F122+G122</f>
        <v>79</v>
      </c>
      <c r="J122" s="22">
        <f t="shared" ref="J122" si="413">SUM(E122:G122)</f>
        <v>92</v>
      </c>
      <c r="K122" s="22">
        <f>INT(542/(105/95))</f>
        <v>490</v>
      </c>
      <c r="L122" s="6">
        <f t="shared" ref="L122" si="414">100*(E122/(E122+F122+G122))</f>
        <v>32.608695652173914</v>
      </c>
      <c r="M122" s="6">
        <f t="shared" ref="M122" si="415">100*(F122/(E122+F122+G122))</f>
        <v>18.478260869565215</v>
      </c>
      <c r="N122" s="6">
        <f t="shared" ref="N122" si="416">100*(G122/(E122+F122+G122))</f>
        <v>48.913043478260867</v>
      </c>
      <c r="O122" s="8">
        <f t="shared" ref="O122" si="417">100*(H122/(H122+I122))</f>
        <v>57.065217391304344</v>
      </c>
      <c r="P122" s="8">
        <f t="shared" ref="P122" si="418">100*(I122/(H122+I122))</f>
        <v>42.934782608695656</v>
      </c>
      <c r="Q122" s="15">
        <f t="shared" ref="Q122" si="419">1.96*SQRT((O122/100)*(P122/100)*(K122-J122)/(J122*(K122-1)))*100</f>
        <v>9.1251421033217657</v>
      </c>
      <c r="R122" s="6">
        <f t="shared" ref="R122" si="420">J122*(O122/100)^2</f>
        <v>29.959239130434778</v>
      </c>
      <c r="S122" s="6">
        <f t="shared" ref="S122" si="421">(P122/100)^2*J122</f>
        <v>16.959239130434785</v>
      </c>
      <c r="T122" s="6">
        <f t="shared" ref="T122" si="422">(O122/100)*(P122/100)*2*J122</f>
        <v>45.08152173913043</v>
      </c>
      <c r="V122">
        <f t="shared" ref="V122" si="423">SUM((E122-R122)^2/R122,(F122-S122)^2/S122,(G122-T122)^2/T122)</f>
        <v>3.0084137484506822E-4</v>
      </c>
      <c r="W122" s="26">
        <f t="shared" ref="W122" si="424">_xlfn.CHISQ.DIST.RT(V122, 1)</f>
        <v>0.98616156211669259</v>
      </c>
    </row>
    <row r="123" spans="1:25">
      <c r="A123" s="41">
        <v>35</v>
      </c>
      <c r="B123" s="1" t="s">
        <v>12</v>
      </c>
      <c r="C123" s="1" t="s">
        <v>6</v>
      </c>
      <c r="D123" s="1">
        <v>3</v>
      </c>
      <c r="E123">
        <v>29</v>
      </c>
      <c r="F123" s="2">
        <v>29</v>
      </c>
      <c r="G123" s="2">
        <v>35</v>
      </c>
      <c r="H123">
        <f t="shared" ref="H123" si="425">2*E123 + G123</f>
        <v>93</v>
      </c>
      <c r="I123">
        <f t="shared" ref="I123" si="426">2*F123+G123</f>
        <v>93</v>
      </c>
      <c r="J123" s="22">
        <f t="shared" ref="J123" si="427">SUM(E123:G123)</f>
        <v>93</v>
      </c>
      <c r="K123" s="22">
        <f>INT(261/((261-142)/95))</f>
        <v>208</v>
      </c>
      <c r="L123" s="6">
        <f t="shared" ref="L123" si="428">100*(E123/(E123+F123+G123))</f>
        <v>31.182795698924732</v>
      </c>
      <c r="M123" s="6">
        <f t="shared" ref="M123" si="429">100*(F123/(E123+F123+G123))</f>
        <v>31.182795698924732</v>
      </c>
      <c r="N123" s="6">
        <f t="shared" ref="N123" si="430">100*(G123/(E123+F123+G123))</f>
        <v>37.634408602150536</v>
      </c>
      <c r="O123" s="8">
        <f t="shared" ref="O123" si="431">100*(H123/(H123+I123))</f>
        <v>50</v>
      </c>
      <c r="P123" s="8">
        <f t="shared" ref="P123" si="432">100*(I123/(H123+I123))</f>
        <v>50</v>
      </c>
      <c r="Q123" s="15">
        <f t="shared" ref="Q123" si="433">1.96*SQRT((O123/100)*(P123/100)*(K123-J123)/(J123*(K123-1)))*100</f>
        <v>7.5744019640827487</v>
      </c>
      <c r="R123" s="6">
        <f t="shared" ref="R123" si="434">J123*(O123/100)^2</f>
        <v>23.25</v>
      </c>
      <c r="S123" s="6">
        <f t="shared" ref="S123" si="435">(P123/100)^2*J123</f>
        <v>23.25</v>
      </c>
      <c r="T123" s="6">
        <f t="shared" ref="T123" si="436">(O123/100)*(P123/100)*2*J123</f>
        <v>46.5</v>
      </c>
      <c r="V123">
        <f t="shared" ref="V123" si="437">SUM((E123-R123)^2/R123,(F123-S123)^2/S123,(G123-T123)^2/T123)</f>
        <v>5.688172043010753</v>
      </c>
      <c r="W123" s="28">
        <f t="shared" ref="W123" si="438">_xlfn.CHISQ.DIST.RT(V123, 1)</f>
        <v>1.7079636782974809E-2</v>
      </c>
    </row>
    <row r="124" spans="1:25">
      <c r="A124" s="41">
        <v>30</v>
      </c>
      <c r="B124" s="1" t="s">
        <v>12</v>
      </c>
      <c r="C124" s="1" t="s">
        <v>6</v>
      </c>
      <c r="D124" s="1">
        <v>3</v>
      </c>
      <c r="E124">
        <v>14</v>
      </c>
      <c r="F124" s="2">
        <v>24</v>
      </c>
      <c r="G124" s="2">
        <v>57</v>
      </c>
      <c r="H124">
        <f t="shared" ref="H124:H129" si="439">2*E124 + G124</f>
        <v>85</v>
      </c>
      <c r="I124">
        <f t="shared" ref="I124:I129" si="440">2*F124+G124</f>
        <v>105</v>
      </c>
      <c r="J124" s="22">
        <f t="shared" ref="J124:J129" si="441">SUM(E124:G124)</f>
        <v>95</v>
      </c>
      <c r="K124">
        <f>INT(270/(102/95))</f>
        <v>251</v>
      </c>
      <c r="L124" s="6">
        <f t="shared" ref="L124:L129" si="442">100*(E124/(E124+F124+G124))</f>
        <v>14.736842105263156</v>
      </c>
      <c r="M124" s="6">
        <f t="shared" ref="M124:M129" si="443">100*(F124/(E124+F124+G124))</f>
        <v>25.263157894736842</v>
      </c>
      <c r="N124" s="6">
        <f t="shared" ref="N124:N129" si="444">100*(G124/(E124+F124+G124))</f>
        <v>60</v>
      </c>
      <c r="O124" s="8">
        <f t="shared" ref="O124:O129" si="445">100*(H124/(H124+I124))</f>
        <v>44.736842105263158</v>
      </c>
      <c r="P124" s="8">
        <f t="shared" ref="P124:P129" si="446">100*(I124/(H124+I124))</f>
        <v>55.26315789473685</v>
      </c>
      <c r="Q124" s="15">
        <f t="shared" ref="Q124:Q129" si="447">1.96*SQRT((O124/100)*(P124/100)*(K124-J124)/(J124*(K124-1)))*100</f>
        <v>7.8983627352173151</v>
      </c>
      <c r="R124" s="6">
        <f t="shared" ref="R124:R129" si="448">J124*(O124/100)^2</f>
        <v>19.013157894736842</v>
      </c>
      <c r="S124" s="6">
        <f t="shared" ref="S124:S129" si="449">(P124/100)^2*J124</f>
        <v>29.01315789473685</v>
      </c>
      <c r="T124" s="6">
        <f t="shared" ref="T124:T129" si="450">(O124/100)*(P124/100)*2*J124</f>
        <v>46.973684210526322</v>
      </c>
      <c r="V124">
        <f t="shared" ref="V124:V129" si="451">SUM((E124-R124)^2/R124,(F124-S124)^2/S124,(G124-T124)^2/T124)</f>
        <v>4.3280982981427858</v>
      </c>
      <c r="W124" s="7">
        <f t="shared" ref="W124:W129" si="452">_xlfn.CHISQ.DIST.RT(V124, 1)</f>
        <v>3.7488107348654098E-2</v>
      </c>
    </row>
    <row r="125" spans="1:25">
      <c r="A125" s="41">
        <v>25</v>
      </c>
      <c r="B125" s="1" t="s">
        <v>12</v>
      </c>
      <c r="C125" s="1" t="s">
        <v>6</v>
      </c>
      <c r="D125" s="1">
        <v>3</v>
      </c>
      <c r="E125">
        <v>12</v>
      </c>
      <c r="F125" s="2">
        <v>31</v>
      </c>
      <c r="G125" s="2">
        <v>51</v>
      </c>
      <c r="H125">
        <f t="shared" si="439"/>
        <v>75</v>
      </c>
      <c r="I125">
        <f t="shared" si="440"/>
        <v>113</v>
      </c>
      <c r="J125" s="22">
        <f t="shared" si="441"/>
        <v>94</v>
      </c>
      <c r="K125">
        <v>105</v>
      </c>
      <c r="L125" s="6">
        <f t="shared" si="442"/>
        <v>12.76595744680851</v>
      </c>
      <c r="M125" s="6">
        <f t="shared" si="443"/>
        <v>32.978723404255319</v>
      </c>
      <c r="N125" s="6">
        <f t="shared" si="444"/>
        <v>54.255319148936167</v>
      </c>
      <c r="O125" s="8">
        <f t="shared" si="445"/>
        <v>39.893617021276597</v>
      </c>
      <c r="P125" s="8">
        <f t="shared" si="446"/>
        <v>60.106382978723403</v>
      </c>
      <c r="Q125" s="15">
        <f t="shared" si="447"/>
        <v>3.2194658420018647</v>
      </c>
      <c r="R125" s="6">
        <f t="shared" si="448"/>
        <v>14.960106382978722</v>
      </c>
      <c r="S125" s="6">
        <f t="shared" si="449"/>
        <v>33.960106382978722</v>
      </c>
      <c r="T125" s="6">
        <f t="shared" si="450"/>
        <v>45.079787234042556</v>
      </c>
      <c r="V125">
        <f t="shared" si="451"/>
        <v>1.6212081133996386</v>
      </c>
      <c r="W125" s="7">
        <f t="shared" si="452"/>
        <v>0.20292341567088118</v>
      </c>
    </row>
    <row r="126" spans="1:25">
      <c r="A126" s="41">
        <v>20</v>
      </c>
      <c r="B126" s="1" t="s">
        <v>12</v>
      </c>
      <c r="C126" s="1" t="s">
        <v>6</v>
      </c>
      <c r="D126" s="1">
        <v>3</v>
      </c>
      <c r="E126">
        <v>22</v>
      </c>
      <c r="F126" s="2">
        <v>41</v>
      </c>
      <c r="G126" s="2">
        <v>43</v>
      </c>
      <c r="H126">
        <f t="shared" si="439"/>
        <v>87</v>
      </c>
      <c r="I126">
        <f t="shared" si="440"/>
        <v>125</v>
      </c>
      <c r="J126" s="22">
        <f t="shared" si="441"/>
        <v>106</v>
      </c>
      <c r="K126">
        <f>INT(332/(96/95))</f>
        <v>328</v>
      </c>
      <c r="L126" s="6">
        <f t="shared" si="442"/>
        <v>20.754716981132077</v>
      </c>
      <c r="M126" s="6">
        <f t="shared" si="443"/>
        <v>38.679245283018872</v>
      </c>
      <c r="N126" s="6">
        <f t="shared" si="444"/>
        <v>40.566037735849058</v>
      </c>
      <c r="O126" s="8">
        <f t="shared" si="445"/>
        <v>41.037735849056602</v>
      </c>
      <c r="P126" s="8">
        <f t="shared" si="446"/>
        <v>58.962264150943398</v>
      </c>
      <c r="Q126" s="15">
        <f t="shared" si="447"/>
        <v>7.7158632422488242</v>
      </c>
      <c r="R126" s="6">
        <f t="shared" si="448"/>
        <v>17.851415094339618</v>
      </c>
      <c r="S126" s="6">
        <f t="shared" si="449"/>
        <v>36.851415094339629</v>
      </c>
      <c r="T126" s="6">
        <f t="shared" si="450"/>
        <v>51.297169811320757</v>
      </c>
      <c r="V126">
        <f t="shared" si="451"/>
        <v>2.7731860885189601</v>
      </c>
      <c r="W126" s="7">
        <f t="shared" si="452"/>
        <v>9.5855193776494887E-2</v>
      </c>
    </row>
    <row r="127" spans="1:25">
      <c r="A127" s="41">
        <v>15</v>
      </c>
      <c r="B127" s="1" t="s">
        <v>12</v>
      </c>
      <c r="C127" s="1" t="s">
        <v>6</v>
      </c>
      <c r="D127" s="1">
        <v>3</v>
      </c>
      <c r="E127">
        <v>8</v>
      </c>
      <c r="F127" s="2">
        <v>13</v>
      </c>
      <c r="G127" s="2">
        <v>19</v>
      </c>
      <c r="H127">
        <f t="shared" si="439"/>
        <v>35</v>
      </c>
      <c r="I127">
        <f t="shared" si="440"/>
        <v>45</v>
      </c>
      <c r="J127" s="22">
        <f t="shared" si="441"/>
        <v>40</v>
      </c>
      <c r="K127">
        <v>43</v>
      </c>
      <c r="L127" s="6">
        <f t="shared" si="442"/>
        <v>20</v>
      </c>
      <c r="M127" s="6">
        <f t="shared" si="443"/>
        <v>32.5</v>
      </c>
      <c r="N127" s="6">
        <f t="shared" si="444"/>
        <v>47.5</v>
      </c>
      <c r="O127" s="8">
        <f t="shared" si="445"/>
        <v>43.75</v>
      </c>
      <c r="P127" s="8">
        <f t="shared" si="446"/>
        <v>56.25</v>
      </c>
      <c r="Q127" s="15">
        <f t="shared" si="447"/>
        <v>4.1087749086558638</v>
      </c>
      <c r="R127" s="6">
        <f t="shared" si="448"/>
        <v>7.65625</v>
      </c>
      <c r="S127" s="6">
        <f t="shared" si="449"/>
        <v>12.65625</v>
      </c>
      <c r="T127" s="6">
        <f t="shared" si="450"/>
        <v>19.6875</v>
      </c>
      <c r="V127">
        <f t="shared" si="451"/>
        <v>4.8778029730410684E-2</v>
      </c>
      <c r="W127" s="7">
        <f t="shared" si="452"/>
        <v>0.82520340015701954</v>
      </c>
    </row>
    <row r="128" spans="1:25">
      <c r="A128" s="41">
        <v>10</v>
      </c>
      <c r="B128" s="1" t="s">
        <v>12</v>
      </c>
      <c r="C128" s="1" t="s">
        <v>6</v>
      </c>
      <c r="D128" s="1">
        <v>3</v>
      </c>
      <c r="E128">
        <v>23</v>
      </c>
      <c r="F128" s="2">
        <v>17</v>
      </c>
      <c r="G128" s="2">
        <v>53</v>
      </c>
      <c r="H128">
        <f t="shared" si="439"/>
        <v>99</v>
      </c>
      <c r="I128">
        <f t="shared" si="440"/>
        <v>87</v>
      </c>
      <c r="J128" s="22">
        <f t="shared" si="441"/>
        <v>93</v>
      </c>
      <c r="K128" s="22">
        <f>INT(230/(98/95))</f>
        <v>222</v>
      </c>
      <c r="L128" s="6">
        <f t="shared" si="442"/>
        <v>24.731182795698924</v>
      </c>
      <c r="M128" s="6">
        <f t="shared" si="443"/>
        <v>18.27956989247312</v>
      </c>
      <c r="N128" s="6">
        <f t="shared" si="444"/>
        <v>56.98924731182796</v>
      </c>
      <c r="O128" s="8">
        <f t="shared" si="445"/>
        <v>53.225806451612897</v>
      </c>
      <c r="P128" s="8">
        <f t="shared" si="446"/>
        <v>46.774193548387096</v>
      </c>
      <c r="Q128" s="15">
        <f t="shared" si="447"/>
        <v>7.7477856097045219</v>
      </c>
      <c r="R128" s="6">
        <f t="shared" si="448"/>
        <v>26.346774193548384</v>
      </c>
      <c r="S128" s="6">
        <f t="shared" si="449"/>
        <v>20.346774193548384</v>
      </c>
      <c r="T128" s="6">
        <f t="shared" si="450"/>
        <v>46.306451612903224</v>
      </c>
      <c r="V128">
        <f t="shared" si="451"/>
        <v>1.943178770008301</v>
      </c>
      <c r="W128" s="7">
        <f t="shared" si="452"/>
        <v>0.16332380350813566</v>
      </c>
    </row>
    <row r="129" spans="1:25">
      <c r="A129" s="41">
        <v>5</v>
      </c>
      <c r="B129" s="1" t="s">
        <v>12</v>
      </c>
      <c r="C129" s="1" t="s">
        <v>6</v>
      </c>
      <c r="D129" s="1">
        <v>3</v>
      </c>
      <c r="E129">
        <v>10</v>
      </c>
      <c r="F129" s="2">
        <v>8</v>
      </c>
      <c r="G129" s="2">
        <v>11</v>
      </c>
      <c r="H129">
        <f t="shared" si="439"/>
        <v>31</v>
      </c>
      <c r="I129">
        <f t="shared" si="440"/>
        <v>27</v>
      </c>
      <c r="J129" s="22">
        <f t="shared" si="441"/>
        <v>29</v>
      </c>
      <c r="K129" s="22">
        <v>34</v>
      </c>
      <c r="L129" s="6">
        <f t="shared" si="442"/>
        <v>34.482758620689658</v>
      </c>
      <c r="M129" s="6">
        <f t="shared" si="443"/>
        <v>27.586206896551722</v>
      </c>
      <c r="N129" s="6">
        <f t="shared" si="444"/>
        <v>37.931034482758619</v>
      </c>
      <c r="O129" s="8">
        <f t="shared" si="445"/>
        <v>53.448275862068961</v>
      </c>
      <c r="P129" s="8">
        <f t="shared" si="446"/>
        <v>46.551724137931032</v>
      </c>
      <c r="Q129" s="15">
        <f t="shared" si="447"/>
        <v>7.0667518304740007</v>
      </c>
      <c r="R129" s="6">
        <f t="shared" si="448"/>
        <v>8.2844827586206886</v>
      </c>
      <c r="S129" s="6">
        <f t="shared" si="449"/>
        <v>6.2844827586206895</v>
      </c>
      <c r="T129" s="6">
        <f t="shared" si="450"/>
        <v>14.431034482758619</v>
      </c>
      <c r="V129">
        <f t="shared" si="451"/>
        <v>1.6392803563960152</v>
      </c>
      <c r="W129" s="7">
        <f t="shared" si="452"/>
        <v>0.20042423469064619</v>
      </c>
    </row>
    <row r="130" spans="1:25">
      <c r="A130" s="41">
        <v>2</v>
      </c>
      <c r="B130" s="1" t="s">
        <v>12</v>
      </c>
      <c r="C130" s="1" t="s">
        <v>6</v>
      </c>
      <c r="D130" s="1">
        <v>3</v>
      </c>
      <c r="F130" s="2"/>
      <c r="G130" s="2"/>
      <c r="J130" s="22"/>
      <c r="K130" s="22"/>
      <c r="L130" s="6"/>
      <c r="M130" s="6"/>
      <c r="N130" s="6"/>
      <c r="O130" s="8"/>
      <c r="P130" s="8"/>
      <c r="Q130" s="15"/>
      <c r="R130" s="6"/>
      <c r="S130" s="6"/>
      <c r="T130" s="6"/>
      <c r="W130" s="7"/>
    </row>
    <row r="131" spans="1:25">
      <c r="A131" s="41">
        <v>0</v>
      </c>
      <c r="B131" s="1" t="s">
        <v>12</v>
      </c>
      <c r="C131" s="1" t="s">
        <v>6</v>
      </c>
      <c r="D131" s="1">
        <v>3</v>
      </c>
      <c r="E131">
        <v>53</v>
      </c>
      <c r="F131" s="2">
        <v>40</v>
      </c>
      <c r="G131" s="29">
        <v>2</v>
      </c>
      <c r="H131">
        <f>2*E131 + G131</f>
        <v>108</v>
      </c>
      <c r="I131">
        <f t="shared" ref="I131" si="453">2*F131+G131</f>
        <v>82</v>
      </c>
      <c r="J131" s="22">
        <f t="shared" ref="J131" si="454">SUM(E131:G131)</f>
        <v>95</v>
      </c>
      <c r="K131" s="22">
        <f>INT(191/(114/95))</f>
        <v>159</v>
      </c>
      <c r="L131" s="6">
        <f t="shared" ref="L131" si="455">100*(E131/(E131+F131+G131))</f>
        <v>55.78947368421052</v>
      </c>
      <c r="M131" s="6">
        <f t="shared" ref="M131" si="456">100*(F131/(E131+F131+G131))</f>
        <v>42.105263157894733</v>
      </c>
      <c r="N131" s="6">
        <f t="shared" ref="N131" si="457">100*(G131/(E131+F131+G131))</f>
        <v>2.1052631578947367</v>
      </c>
      <c r="O131" s="8">
        <f t="shared" ref="O131" si="458">100*(H131/(H131+I131))</f>
        <v>56.84210526315789</v>
      </c>
      <c r="P131" s="8">
        <f t="shared" ref="P131" si="459">100*(I131/(H131+I131))</f>
        <v>43.15789473684211</v>
      </c>
      <c r="Q131" s="15">
        <f t="shared" ref="Q131" si="460">1.96*SQRT((O131/100)*(P131/100)*(K131-J131)/(J131*(K131-1)))*100</f>
        <v>6.3390023855456707</v>
      </c>
      <c r="R131" s="6">
        <f>K131*(O131/100)^2</f>
        <v>51.373296398891959</v>
      </c>
      <c r="S131" s="6">
        <f>(P131/100)^2*K131</f>
        <v>29.615401662049869</v>
      </c>
      <c r="T131" s="6">
        <f>(O131/100)*(P131/100)*2*K131</f>
        <v>78.011301939058185</v>
      </c>
      <c r="V131">
        <f t="shared" ref="V131" si="461">SUM((E131-R131)^2/R131,(F131-S131)^2/S131,(G131-T131)^2/T131)</f>
        <v>77.755429713091289</v>
      </c>
      <c r="W131" s="7">
        <f t="shared" ref="W131" si="462">_xlfn.CHISQ.DIST.RT(V131, 1)</f>
        <v>1.1662224669352929E-18</v>
      </c>
      <c r="Y131" s="43" t="s">
        <v>71</v>
      </c>
    </row>
    <row r="132" spans="1:25" s="69" customFormat="1">
      <c r="A132" s="68"/>
    </row>
    <row r="133" spans="1:25">
      <c r="A133" s="42">
        <v>40</v>
      </c>
      <c r="B133" s="1" t="s">
        <v>12</v>
      </c>
      <c r="C133" s="1" t="s">
        <v>8</v>
      </c>
      <c r="D133" s="1">
        <v>3</v>
      </c>
      <c r="E133">
        <v>26</v>
      </c>
      <c r="F133" s="2">
        <v>26</v>
      </c>
      <c r="G133" s="2">
        <v>39</v>
      </c>
      <c r="H133">
        <f t="shared" ref="H133" si="463">2*E133 + G133</f>
        <v>91</v>
      </c>
      <c r="I133">
        <f t="shared" ref="I133" si="464">2*F133+G133</f>
        <v>91</v>
      </c>
      <c r="J133" s="22">
        <f t="shared" ref="J133" si="465">SUM(E133:G133)</f>
        <v>91</v>
      </c>
      <c r="K133" s="36">
        <f>INT(450/(100/95))</f>
        <v>427</v>
      </c>
      <c r="L133" s="6">
        <f t="shared" ref="L133:L134" si="466">100*(E133/(E133+F133+G133))</f>
        <v>28.571428571428569</v>
      </c>
      <c r="M133" s="6">
        <f t="shared" ref="M133" si="467">100*(F133/(E133+F133+G133))</f>
        <v>28.571428571428569</v>
      </c>
      <c r="N133" s="6">
        <f t="shared" ref="N133" si="468">100*(G133/(E133+F133+G133))</f>
        <v>42.857142857142854</v>
      </c>
      <c r="O133" s="8">
        <f t="shared" ref="O133" si="469">100*(H133/(H133+I133))</f>
        <v>50</v>
      </c>
      <c r="P133" s="8">
        <f t="shared" ref="P133" si="470">100*(I133/(H133+I133))</f>
        <v>50</v>
      </c>
      <c r="Q133" s="15">
        <f t="shared" ref="Q133" si="471">1.96*SQRT((O133/100)*(P133/100)*(K133-J133)/(J133*(K133-1)))*100</f>
        <v>9.1236836566682626</v>
      </c>
      <c r="R133" s="6">
        <f t="shared" ref="R133" si="472">J133*(O133/100)^2</f>
        <v>22.75</v>
      </c>
      <c r="S133" s="6">
        <f t="shared" ref="S133" si="473">(P133/100)^2*J133</f>
        <v>22.75</v>
      </c>
      <c r="T133" s="6">
        <f t="shared" ref="T133" si="474">(O133/100)*(P133/100)*2*J133</f>
        <v>45.5</v>
      </c>
      <c r="V133">
        <f t="shared" ref="V133" si="475">SUM((E133-R133)^2/R133,(F133-S133)^2/S133,(G133-T133)^2/T133)</f>
        <v>1.8571428571428572</v>
      </c>
      <c r="W133" s="7">
        <f t="shared" ref="W133" si="476">_xlfn.CHISQ.DIST.RT(V133, 1)</f>
        <v>0.17295491798842066</v>
      </c>
    </row>
    <row r="134" spans="1:25">
      <c r="A134" s="42">
        <v>35</v>
      </c>
      <c r="B134" s="1" t="s">
        <v>12</v>
      </c>
      <c r="C134" s="1" t="s">
        <v>8</v>
      </c>
      <c r="D134" s="1">
        <v>3</v>
      </c>
      <c r="E134">
        <v>21</v>
      </c>
      <c r="F134" s="2">
        <v>27</v>
      </c>
      <c r="G134" s="2">
        <v>37</v>
      </c>
      <c r="H134">
        <f t="shared" ref="H134" si="477">2*E134 + G134</f>
        <v>79</v>
      </c>
      <c r="I134">
        <f t="shared" ref="I134" si="478">2*F134+G134</f>
        <v>91</v>
      </c>
      <c r="J134" s="22">
        <f t="shared" ref="J134" si="479">SUM(E134:G134)</f>
        <v>85</v>
      </c>
      <c r="K134">
        <v>87</v>
      </c>
      <c r="L134" s="6">
        <f t="shared" si="466"/>
        <v>24.705882352941178</v>
      </c>
      <c r="M134" s="6">
        <f t="shared" ref="M134" si="480">100*(F134/(E134+F134+G134))</f>
        <v>31.764705882352938</v>
      </c>
      <c r="N134" s="6">
        <f t="shared" ref="N134" si="481">100*(G134/(E134+F134+G134))</f>
        <v>43.529411764705884</v>
      </c>
      <c r="O134" s="8">
        <f t="shared" ref="O134" si="482">100*(H134/(H134+I134))</f>
        <v>46.470588235294116</v>
      </c>
      <c r="P134" s="8">
        <f t="shared" ref="P134" si="483">100*(I134/(H134+I134))</f>
        <v>53.529411764705884</v>
      </c>
      <c r="Q134" s="15">
        <f t="shared" ref="Q134" si="484">1.96*SQRT((O134/100)*(P134/100)*(K134-J134)/(J134*(K134-1)))*100</f>
        <v>1.6169541344216929</v>
      </c>
      <c r="R134" s="6">
        <f t="shared" ref="R134" si="485">J134*(O134/100)^2</f>
        <v>18.355882352941173</v>
      </c>
      <c r="S134" s="6">
        <f t="shared" ref="S134" si="486">(P134/100)^2*J134</f>
        <v>24.355882352941176</v>
      </c>
      <c r="T134" s="6">
        <f t="shared" ref="T134" si="487">(O134/100)*(P134/100)*2*J134</f>
        <v>42.288235294117641</v>
      </c>
      <c r="V134">
        <f t="shared" ref="V134" si="488">SUM((E134-R134)^2/R134,(F134-S134)^2/S134,(G134-T134)^2/T134)</f>
        <v>1.3292336956039059</v>
      </c>
      <c r="W134" s="7">
        <f t="shared" ref="W134" si="489">_xlfn.CHISQ.DIST.RT(V134, 1)</f>
        <v>0.24894158987801968</v>
      </c>
    </row>
    <row r="135" spans="1:25">
      <c r="A135" s="42">
        <v>30</v>
      </c>
      <c r="B135" s="1" t="s">
        <v>12</v>
      </c>
      <c r="C135" s="1" t="s">
        <v>8</v>
      </c>
      <c r="D135" s="1">
        <v>3</v>
      </c>
      <c r="E135">
        <v>13</v>
      </c>
      <c r="F135" s="2">
        <v>37</v>
      </c>
      <c r="G135" s="2">
        <v>41</v>
      </c>
      <c r="H135">
        <f t="shared" ref="H135:H140" si="490">2*E135 + G135</f>
        <v>67</v>
      </c>
      <c r="I135">
        <f t="shared" ref="I135:I140" si="491">2*F135+G135</f>
        <v>115</v>
      </c>
      <c r="J135" s="22">
        <f t="shared" ref="J135:J140" si="492">SUM(E135:G135)</f>
        <v>91</v>
      </c>
      <c r="K135">
        <f>INT(342/(98/95))</f>
        <v>331</v>
      </c>
      <c r="L135" s="6">
        <f t="shared" ref="L135:L140" si="493">100*(E135/(E135+F135+G135))</f>
        <v>14.285714285714285</v>
      </c>
      <c r="M135" s="6">
        <f t="shared" ref="M135:M140" si="494">100*(F135/(E135+F135+G135))</f>
        <v>40.659340659340657</v>
      </c>
      <c r="N135" s="6">
        <f t="shared" ref="N135:N140" si="495">100*(G135/(E135+F135+G135))</f>
        <v>45.054945054945058</v>
      </c>
      <c r="O135" s="8">
        <f t="shared" ref="O135:O140" si="496">100*(H135/(H135+I135))</f>
        <v>36.813186813186817</v>
      </c>
      <c r="P135" s="8">
        <f t="shared" ref="P135:P140" si="497">100*(I135/(H135+I135))</f>
        <v>63.186813186813183</v>
      </c>
      <c r="Q135" s="15">
        <f t="shared" ref="Q135:Q140" si="498">1.96*SQRT((O135/100)*(P135/100)*(K135-J135)/(J135*(K135-1)))*100</f>
        <v>8.4508221053712251</v>
      </c>
      <c r="R135" s="6">
        <f t="shared" ref="R135:R140" si="499">J135*(O135/100)^2</f>
        <v>12.332417582417584</v>
      </c>
      <c r="S135" s="6">
        <f t="shared" ref="S135:S140" si="500">(P135/100)^2*J135</f>
        <v>36.332417582417577</v>
      </c>
      <c r="T135" s="6">
        <f t="shared" ref="T135:T140" si="501">(O135/100)*(P135/100)*2*J135</f>
        <v>42.335164835164839</v>
      </c>
      <c r="V135">
        <f t="shared" ref="V135:V140" si="502">SUM((E135-R135)^2/R135,(F135-S135)^2/S135,(G135-T135)^2/T135)</f>
        <v>9.0512519365759325E-2</v>
      </c>
      <c r="W135" s="7">
        <f t="shared" ref="W135:W140" si="503">_xlfn.CHISQ.DIST.RT(V135, 1)</f>
        <v>0.76352660177825005</v>
      </c>
    </row>
    <row r="136" spans="1:25">
      <c r="A136" s="66">
        <v>26</v>
      </c>
      <c r="B136" s="1" t="s">
        <v>12</v>
      </c>
      <c r="C136" s="1" t="s">
        <v>8</v>
      </c>
      <c r="D136" s="1">
        <v>3</v>
      </c>
      <c r="E136">
        <v>28</v>
      </c>
      <c r="F136" s="2">
        <v>16</v>
      </c>
      <c r="G136" s="2">
        <v>44</v>
      </c>
      <c r="H136">
        <f t="shared" si="490"/>
        <v>100</v>
      </c>
      <c r="I136">
        <f t="shared" si="491"/>
        <v>76</v>
      </c>
      <c r="J136" s="22">
        <f t="shared" si="492"/>
        <v>88</v>
      </c>
      <c r="K136">
        <v>115</v>
      </c>
      <c r="L136" s="6">
        <f t="shared" si="493"/>
        <v>31.818181818181817</v>
      </c>
      <c r="M136" s="6">
        <f t="shared" si="494"/>
        <v>18.181818181818183</v>
      </c>
      <c r="N136" s="6">
        <f t="shared" si="495"/>
        <v>50</v>
      </c>
      <c r="O136" s="8">
        <f t="shared" si="496"/>
        <v>56.81818181818182</v>
      </c>
      <c r="P136" s="8">
        <f t="shared" si="497"/>
        <v>43.18181818181818</v>
      </c>
      <c r="Q136" s="15">
        <f t="shared" si="498"/>
        <v>5.0366099605603694</v>
      </c>
      <c r="R136" s="6">
        <f t="shared" si="499"/>
        <v>28.409090909090917</v>
      </c>
      <c r="S136" s="6">
        <f t="shared" si="500"/>
        <v>16.40909090909091</v>
      </c>
      <c r="T136" s="6">
        <f t="shared" si="501"/>
        <v>43.181818181818187</v>
      </c>
      <c r="V136">
        <f t="shared" si="502"/>
        <v>3.1592243767313101E-2</v>
      </c>
      <c r="W136" s="7">
        <f t="shared" si="503"/>
        <v>0.85892554347808758</v>
      </c>
    </row>
    <row r="137" spans="1:25">
      <c r="A137" s="42">
        <v>20</v>
      </c>
      <c r="B137" s="1" t="s">
        <v>12</v>
      </c>
      <c r="C137" s="1" t="s">
        <v>8</v>
      </c>
      <c r="D137" s="1">
        <v>3</v>
      </c>
      <c r="E137">
        <v>41</v>
      </c>
      <c r="F137" s="2">
        <v>13</v>
      </c>
      <c r="G137" s="2">
        <v>40</v>
      </c>
      <c r="H137">
        <f t="shared" si="490"/>
        <v>122</v>
      </c>
      <c r="I137">
        <f t="shared" si="491"/>
        <v>66</v>
      </c>
      <c r="J137" s="22">
        <f t="shared" si="492"/>
        <v>94</v>
      </c>
      <c r="K137">
        <f>INT(316/(84/95))</f>
        <v>357</v>
      </c>
      <c r="L137" s="6">
        <f t="shared" si="493"/>
        <v>43.61702127659575</v>
      </c>
      <c r="M137" s="6">
        <f t="shared" si="494"/>
        <v>13.829787234042554</v>
      </c>
      <c r="N137" s="6">
        <f t="shared" si="495"/>
        <v>42.553191489361701</v>
      </c>
      <c r="O137" s="8">
        <f t="shared" si="496"/>
        <v>64.893617021276597</v>
      </c>
      <c r="P137" s="8">
        <f t="shared" si="497"/>
        <v>35.106382978723403</v>
      </c>
      <c r="Q137" s="15">
        <f t="shared" si="498"/>
        <v>8.2935230049097228</v>
      </c>
      <c r="R137" s="6">
        <f t="shared" si="499"/>
        <v>39.585106382978722</v>
      </c>
      <c r="S137" s="6">
        <f t="shared" si="500"/>
        <v>11.585106382978724</v>
      </c>
      <c r="T137" s="6">
        <f t="shared" si="501"/>
        <v>42.829787234042556</v>
      </c>
      <c r="V137">
        <f t="shared" si="502"/>
        <v>0.41033974644196747</v>
      </c>
      <c r="W137" s="7">
        <f t="shared" si="503"/>
        <v>0.52179711385094674</v>
      </c>
    </row>
    <row r="138" spans="1:25">
      <c r="A138" s="42">
        <v>15</v>
      </c>
      <c r="B138" s="1" t="s">
        <v>12</v>
      </c>
      <c r="C138" s="1" t="s">
        <v>8</v>
      </c>
      <c r="D138" s="1">
        <v>3</v>
      </c>
      <c r="E138">
        <v>33</v>
      </c>
      <c r="F138" s="22">
        <v>14</v>
      </c>
      <c r="G138" s="22">
        <v>47</v>
      </c>
      <c r="H138">
        <f t="shared" si="490"/>
        <v>113</v>
      </c>
      <c r="I138">
        <f t="shared" si="491"/>
        <v>75</v>
      </c>
      <c r="J138" s="22">
        <f t="shared" si="492"/>
        <v>94</v>
      </c>
      <c r="K138">
        <f>INT(140/((140-22)/95))</f>
        <v>112</v>
      </c>
      <c r="L138" s="6">
        <f t="shared" si="493"/>
        <v>35.106382978723403</v>
      </c>
      <c r="M138" s="6">
        <f t="shared" si="494"/>
        <v>14.893617021276595</v>
      </c>
      <c r="N138" s="6">
        <f t="shared" si="495"/>
        <v>50</v>
      </c>
      <c r="O138" s="8">
        <f t="shared" si="496"/>
        <v>60.106382978723403</v>
      </c>
      <c r="P138" s="8">
        <f t="shared" si="497"/>
        <v>39.893617021276597</v>
      </c>
      <c r="Q138" s="15">
        <f t="shared" si="498"/>
        <v>3.9863819882766118</v>
      </c>
      <c r="R138" s="6">
        <f t="shared" si="499"/>
        <v>33.960106382978722</v>
      </c>
      <c r="S138" s="6">
        <f t="shared" si="500"/>
        <v>14.960106382978722</v>
      </c>
      <c r="T138" s="6">
        <f t="shared" si="501"/>
        <v>45.079787234042556</v>
      </c>
      <c r="V138">
        <f t="shared" si="502"/>
        <v>0.17055436691292236</v>
      </c>
      <c r="W138" s="7">
        <f t="shared" si="503"/>
        <v>0.67961959354616641</v>
      </c>
    </row>
    <row r="139" spans="1:25">
      <c r="A139" s="42">
        <v>10</v>
      </c>
      <c r="B139" s="1" t="s">
        <v>12</v>
      </c>
      <c r="C139" s="1" t="s">
        <v>8</v>
      </c>
      <c r="D139" s="1">
        <v>3</v>
      </c>
      <c r="E139">
        <v>20</v>
      </c>
      <c r="F139" s="2">
        <v>23</v>
      </c>
      <c r="G139" s="2">
        <v>52</v>
      </c>
      <c r="H139">
        <f t="shared" si="490"/>
        <v>92</v>
      </c>
      <c r="I139">
        <f t="shared" si="491"/>
        <v>98</v>
      </c>
      <c r="J139" s="22">
        <f t="shared" si="492"/>
        <v>95</v>
      </c>
      <c r="K139">
        <f>INT(272/(107/95))</f>
        <v>241</v>
      </c>
      <c r="L139" s="6">
        <f t="shared" si="493"/>
        <v>21.052631578947366</v>
      </c>
      <c r="M139" s="6">
        <f t="shared" si="494"/>
        <v>24.210526315789473</v>
      </c>
      <c r="N139" s="6">
        <f t="shared" si="495"/>
        <v>54.736842105263165</v>
      </c>
      <c r="O139" s="8">
        <f t="shared" si="496"/>
        <v>48.421052631578945</v>
      </c>
      <c r="P139" s="8">
        <f t="shared" si="497"/>
        <v>51.578947368421055</v>
      </c>
      <c r="Q139" s="15">
        <f t="shared" si="498"/>
        <v>7.838237640282113</v>
      </c>
      <c r="R139" s="6">
        <f t="shared" si="499"/>
        <v>22.273684210526312</v>
      </c>
      <c r="S139" s="6">
        <f t="shared" si="500"/>
        <v>25.273684210526319</v>
      </c>
      <c r="T139" s="6">
        <f t="shared" si="501"/>
        <v>47.452631578947368</v>
      </c>
      <c r="V139">
        <f t="shared" si="502"/>
        <v>0.87241532159331836</v>
      </c>
      <c r="W139" s="7">
        <f t="shared" si="503"/>
        <v>0.35028751229369259</v>
      </c>
    </row>
    <row r="140" spans="1:25">
      <c r="A140" s="42">
        <v>5</v>
      </c>
      <c r="B140" s="1" t="s">
        <v>12</v>
      </c>
      <c r="C140" s="1" t="s">
        <v>8</v>
      </c>
      <c r="D140" s="1">
        <v>3</v>
      </c>
      <c r="E140">
        <v>12</v>
      </c>
      <c r="F140" s="2">
        <v>25</v>
      </c>
      <c r="G140" s="2">
        <v>30</v>
      </c>
      <c r="H140">
        <f t="shared" si="490"/>
        <v>54</v>
      </c>
      <c r="I140">
        <f t="shared" si="491"/>
        <v>80</v>
      </c>
      <c r="J140" s="22">
        <f t="shared" si="492"/>
        <v>67</v>
      </c>
      <c r="K140">
        <v>71</v>
      </c>
      <c r="L140" s="6">
        <f t="shared" si="493"/>
        <v>17.910447761194028</v>
      </c>
      <c r="M140" s="6">
        <f t="shared" si="494"/>
        <v>37.313432835820898</v>
      </c>
      <c r="N140" s="6">
        <f t="shared" si="495"/>
        <v>44.776119402985074</v>
      </c>
      <c r="O140" s="8">
        <f t="shared" si="496"/>
        <v>40.298507462686565</v>
      </c>
      <c r="P140" s="8">
        <f t="shared" si="497"/>
        <v>59.701492537313428</v>
      </c>
      <c r="Q140" s="15">
        <f t="shared" si="498"/>
        <v>2.8076096128579699</v>
      </c>
      <c r="R140" s="6">
        <f t="shared" si="499"/>
        <v>10.880597014925373</v>
      </c>
      <c r="S140" s="6">
        <f t="shared" si="500"/>
        <v>23.880597014925371</v>
      </c>
      <c r="T140" s="6">
        <f t="shared" si="501"/>
        <v>32.238805970149251</v>
      </c>
      <c r="V140">
        <f t="shared" si="502"/>
        <v>0.32310956790123446</v>
      </c>
      <c r="W140" s="7">
        <f t="shared" si="503"/>
        <v>0.56974487392948436</v>
      </c>
    </row>
    <row r="141" spans="1:25">
      <c r="A141" s="42">
        <v>2</v>
      </c>
      <c r="B141" s="1" t="s">
        <v>12</v>
      </c>
      <c r="C141" s="1" t="s">
        <v>8</v>
      </c>
      <c r="D141" s="1">
        <v>3</v>
      </c>
      <c r="F141" s="2"/>
      <c r="G141" s="2"/>
      <c r="J141" s="22"/>
      <c r="L141" s="6"/>
      <c r="M141" s="6"/>
      <c r="N141" s="6"/>
      <c r="O141" s="8"/>
      <c r="P141" s="8"/>
      <c r="Q141" s="15"/>
      <c r="R141" s="6"/>
      <c r="S141" s="6"/>
      <c r="T141" s="6"/>
      <c r="W141" s="7"/>
    </row>
    <row r="142" spans="1:25">
      <c r="A142" s="42">
        <v>0</v>
      </c>
      <c r="B142" s="1" t="s">
        <v>12</v>
      </c>
      <c r="C142" s="1" t="s">
        <v>8</v>
      </c>
      <c r="D142" s="1">
        <v>3</v>
      </c>
      <c r="E142">
        <v>57</v>
      </c>
      <c r="F142" s="2">
        <v>38</v>
      </c>
      <c r="G142" s="2">
        <v>0</v>
      </c>
      <c r="H142">
        <f>2*E142 + G142</f>
        <v>114</v>
      </c>
      <c r="I142">
        <f t="shared" ref="I142" si="504">2*F142+G142</f>
        <v>76</v>
      </c>
      <c r="J142" s="22">
        <f t="shared" ref="J142" si="505">SUM(E142:G142)</f>
        <v>95</v>
      </c>
      <c r="K142" s="22">
        <f>INT(189/(116/95))</f>
        <v>154</v>
      </c>
      <c r="L142" s="6">
        <f t="shared" ref="L142" si="506">100*(E142/(E142+F142+G142))</f>
        <v>60</v>
      </c>
      <c r="M142" s="6">
        <f t="shared" ref="M142" si="507">100*(F142/(E142+F142+G142))</f>
        <v>40</v>
      </c>
      <c r="N142" s="6">
        <f t="shared" ref="N142" si="508">100*(G142/(E142+F142+G142))</f>
        <v>0</v>
      </c>
      <c r="O142" s="8">
        <f t="shared" ref="O142" si="509">100*(H142/(H142+I142))</f>
        <v>60</v>
      </c>
      <c r="P142" s="8">
        <f t="shared" ref="P142" si="510">100*(I142/(H142+I142))</f>
        <v>40</v>
      </c>
      <c r="Q142" s="15">
        <f t="shared" ref="Q142" si="511">1.96*SQRT((O142/100)*(P142/100)*(K142-J142)/(J142*(K142-1)))*100</f>
        <v>6.1175873617790675</v>
      </c>
      <c r="R142" s="6">
        <f>K142*(O142/100)^2</f>
        <v>55.44</v>
      </c>
      <c r="S142" s="6">
        <f>(P142/100)^2*K142</f>
        <v>24.640000000000004</v>
      </c>
      <c r="T142" s="6">
        <f>(O142/100)*(P142/100)*2*K142</f>
        <v>73.92</v>
      </c>
      <c r="V142">
        <f t="shared" ref="V142" si="512">SUM((E142-R142)^2/R142,(F142-S142)^2/S142,(G142-T142)^2/T142)</f>
        <v>81.20779220779221</v>
      </c>
      <c r="W142" s="7">
        <f t="shared" ref="W142" si="513">_xlfn.CHISQ.DIST.RT(V142, 1)</f>
        <v>2.0318922593389197E-19</v>
      </c>
      <c r="Y142" t="s">
        <v>69</v>
      </c>
    </row>
    <row r="143" spans="1:25">
      <c r="A143" s="44"/>
      <c r="B143" s="1"/>
      <c r="C143" s="1"/>
      <c r="D143" s="1"/>
      <c r="F143" s="1"/>
      <c r="G143" s="1"/>
      <c r="J143" s="22"/>
      <c r="K143" s="22"/>
      <c r="L143" s="6"/>
      <c r="M143" s="6"/>
      <c r="N143" s="6"/>
      <c r="O143" s="8"/>
      <c r="P143" s="8"/>
      <c r="Q143" s="15"/>
      <c r="R143" s="6"/>
      <c r="S143" s="6"/>
      <c r="T143" s="6"/>
      <c r="W143" s="7"/>
    </row>
    <row r="144" spans="1:25">
      <c r="A144" s="44"/>
      <c r="B144" s="1"/>
      <c r="C144" s="1"/>
      <c r="D144" s="1"/>
      <c r="F144" s="1"/>
      <c r="G144" s="1"/>
      <c r="J144" s="22"/>
      <c r="K144" s="22"/>
      <c r="L144" s="6"/>
      <c r="M144" s="6"/>
      <c r="N144" s="6"/>
      <c r="O144" s="8"/>
      <c r="P144" s="8"/>
      <c r="Q144" s="15"/>
      <c r="R144" s="6"/>
      <c r="S144" s="6"/>
      <c r="T144" s="6"/>
      <c r="W144" s="7"/>
    </row>
    <row r="145" spans="1:25">
      <c r="A145" s="44"/>
      <c r="B145" s="1"/>
      <c r="C145" s="1"/>
      <c r="D145" s="1"/>
      <c r="F145" s="1"/>
      <c r="G145" s="1"/>
      <c r="J145" s="22"/>
      <c r="K145" s="22"/>
      <c r="L145" s="6"/>
      <c r="M145" s="6"/>
      <c r="N145" s="6"/>
      <c r="O145" s="8"/>
      <c r="P145" s="8"/>
      <c r="Q145" s="15"/>
      <c r="R145" s="6"/>
      <c r="S145" s="6"/>
      <c r="T145" s="6"/>
      <c r="W145" s="7"/>
    </row>
    <row r="146" spans="1:25" ht="16">
      <c r="E146" s="5"/>
      <c r="F146" s="5"/>
      <c r="G146" s="5" t="s">
        <v>21</v>
      </c>
      <c r="H146" s="5"/>
      <c r="I146" s="5"/>
      <c r="J146" s="5"/>
      <c r="K146" s="5"/>
      <c r="L146" s="3"/>
      <c r="M146" s="3" t="s">
        <v>18</v>
      </c>
      <c r="N146" s="3"/>
      <c r="O146" s="4" t="s">
        <v>19</v>
      </c>
      <c r="P146" s="4"/>
      <c r="Q146" t="s">
        <v>25</v>
      </c>
      <c r="R146" s="12" t="s">
        <v>20</v>
      </c>
      <c r="S146" s="12"/>
      <c r="T146" s="12"/>
      <c r="V146" s="14" t="s">
        <v>22</v>
      </c>
      <c r="W146" s="14" t="s">
        <v>23</v>
      </c>
      <c r="Y146" t="s">
        <v>32</v>
      </c>
    </row>
    <row r="147" spans="1:25">
      <c r="A147" s="11" t="s">
        <v>24</v>
      </c>
      <c r="B147" s="1" t="s">
        <v>2</v>
      </c>
      <c r="C147" s="1" t="s">
        <v>3</v>
      </c>
      <c r="D147" s="1" t="s">
        <v>4</v>
      </c>
      <c r="E147" s="1" t="s">
        <v>0</v>
      </c>
      <c r="F147" s="1" t="s">
        <v>1</v>
      </c>
      <c r="G147" s="1" t="s">
        <v>9</v>
      </c>
      <c r="H147" s="1" t="s">
        <v>10</v>
      </c>
      <c r="I147" s="1" t="s">
        <v>11</v>
      </c>
      <c r="J147" s="1" t="s">
        <v>30</v>
      </c>
      <c r="K147" s="1" t="s">
        <v>31</v>
      </c>
      <c r="L147" s="1" t="s">
        <v>13</v>
      </c>
      <c r="M147" s="1" t="s">
        <v>14</v>
      </c>
      <c r="N147" s="1" t="s">
        <v>15</v>
      </c>
      <c r="O147" s="1" t="s">
        <v>16</v>
      </c>
      <c r="P147" s="1" t="s">
        <v>17</v>
      </c>
      <c r="Q147" s="11" t="s">
        <v>26</v>
      </c>
      <c r="R147" s="1" t="s">
        <v>0</v>
      </c>
      <c r="S147" s="1" t="s">
        <v>1</v>
      </c>
      <c r="T147" s="1" t="s">
        <v>9</v>
      </c>
      <c r="V147" s="44"/>
      <c r="W147" s="44"/>
    </row>
    <row r="148" spans="1:25">
      <c r="A148" s="1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1"/>
      <c r="R148" s="1"/>
      <c r="S148" s="1"/>
      <c r="T148" s="1"/>
      <c r="V148" s="44"/>
      <c r="W148" s="44"/>
    </row>
    <row r="149" spans="1:25">
      <c r="A149" s="63">
        <v>40</v>
      </c>
      <c r="B149" s="1" t="s">
        <v>7</v>
      </c>
      <c r="C149" s="1" t="s">
        <v>5</v>
      </c>
      <c r="D149" s="1">
        <v>2</v>
      </c>
      <c r="E149" s="2">
        <v>69</v>
      </c>
      <c r="F149" s="2">
        <v>2</v>
      </c>
      <c r="G149" s="2">
        <v>19</v>
      </c>
      <c r="H149" s="22">
        <f t="shared" ref="H149" si="514">2*E149 + G149</f>
        <v>157</v>
      </c>
      <c r="I149" s="22">
        <f t="shared" ref="I149" si="515">2*F149+G149</f>
        <v>23</v>
      </c>
      <c r="J149" s="22">
        <f t="shared" ref="J149" si="516">SUM(E149:G149)</f>
        <v>90</v>
      </c>
      <c r="K149" s="2">
        <f>INT(260/(85/95))</f>
        <v>290</v>
      </c>
      <c r="L149" s="25">
        <f t="shared" ref="L149" si="517">100*(E149/(E149+F149+G149))</f>
        <v>76.666666666666671</v>
      </c>
      <c r="M149" s="25">
        <f t="shared" ref="M149" si="518">100*(F149/(E149+F149+G149))</f>
        <v>2.2222222222222223</v>
      </c>
      <c r="N149" s="25">
        <f t="shared" ref="N149" si="519">100*(G149/(E149+F149+G149))</f>
        <v>21.111111111111111</v>
      </c>
      <c r="O149" s="8">
        <f t="shared" ref="O149" si="520">100*(H149/(H149+I149))</f>
        <v>87.222222222222229</v>
      </c>
      <c r="P149" s="8">
        <f t="shared" ref="P149" si="521">100*(I149/(H149+I149))</f>
        <v>12.777777777777777</v>
      </c>
      <c r="Q149" s="15">
        <f t="shared" ref="Q149" si="522">1.96*SQRT((O149/100)*(P149/100)*(K149-J149)/(J149*(K149-1)))*100</f>
        <v>5.7377567453577596</v>
      </c>
      <c r="R149" s="25">
        <f t="shared" ref="R149" si="523">J149*(O149/100)^2</f>
        <v>68.469444444444449</v>
      </c>
      <c r="S149" s="25">
        <f t="shared" ref="S149" si="524">(P149/100)^2*J149</f>
        <v>1.4694444444444441</v>
      </c>
      <c r="T149" s="25">
        <f t="shared" ref="T149" si="525">(O149/100)*(P149/100)*2*J149</f>
        <v>20.06111111111111</v>
      </c>
      <c r="V149">
        <f t="shared" ref="V149" si="526">SUM((E149-R149)^2/R149,(F149-S149)^2/S149,(G149-T149)^2/T149)</f>
        <v>0.2517991542657782</v>
      </c>
      <c r="W149" s="7">
        <f t="shared" ref="W149" si="527">_xlfn.CHISQ.DIST.RT(V149, 1)</f>
        <v>0.61581107713654137</v>
      </c>
    </row>
    <row r="150" spans="1:25">
      <c r="A150" s="63">
        <v>35</v>
      </c>
      <c r="B150" s="1" t="s">
        <v>7</v>
      </c>
      <c r="C150" s="1" t="s">
        <v>5</v>
      </c>
      <c r="D150" s="1">
        <v>2</v>
      </c>
      <c r="E150" s="2">
        <v>65</v>
      </c>
      <c r="F150" s="2">
        <v>1</v>
      </c>
      <c r="G150" s="2">
        <v>29</v>
      </c>
      <c r="H150" s="22">
        <f t="shared" ref="H150" si="528">2*E150 + G150</f>
        <v>159</v>
      </c>
      <c r="I150" s="22">
        <f t="shared" ref="I150" si="529">2*F150+G150</f>
        <v>31</v>
      </c>
      <c r="J150" s="22">
        <f t="shared" ref="J150" si="530">SUM(E150:G150)</f>
        <v>95</v>
      </c>
      <c r="K150" s="2">
        <f>INT(199/(114/95))</f>
        <v>165</v>
      </c>
      <c r="L150" s="25">
        <f t="shared" ref="L150" si="531">100*(E150/(E150+F150+G150))</f>
        <v>68.421052631578945</v>
      </c>
      <c r="M150" s="25">
        <f t="shared" ref="M150" si="532">100*(F150/(E150+F150+G150))</f>
        <v>1.0526315789473684</v>
      </c>
      <c r="N150" s="25">
        <f t="shared" ref="N150" si="533">100*(G150/(E150+F150+G150))</f>
        <v>30.526315789473685</v>
      </c>
      <c r="O150" s="8">
        <f t="shared" ref="O150" si="534">100*(H150/(H150+I150))</f>
        <v>83.684210526315795</v>
      </c>
      <c r="P150" s="8">
        <f t="shared" ref="P150" si="535">100*(I150/(H150+I150))</f>
        <v>16.315789473684212</v>
      </c>
      <c r="Q150" s="15">
        <f t="shared" ref="Q150" si="536">1.96*SQRT((O150/100)*(P150/100)*(K150-J150)/(J150*(K150-1)))*100</f>
        <v>4.8545298159789363</v>
      </c>
      <c r="R150" s="25">
        <f t="shared" ref="R150" si="537">J150*(O150/100)^2</f>
        <v>66.528947368421058</v>
      </c>
      <c r="S150" s="25">
        <f t="shared" ref="S150" si="538">(P150/100)^2*J150</f>
        <v>2.5289473684210528</v>
      </c>
      <c r="T150" s="25">
        <f t="shared" ref="T150" si="539">(O150/100)*(P150/100)*2*J150</f>
        <v>25.942105263157899</v>
      </c>
      <c r="V150">
        <f t="shared" ref="V150" si="540">SUM((E150-R150)^2/R150,(F150-S150)^2/S150,(G150-T150)^2/T150)</f>
        <v>1.3199522898520724</v>
      </c>
      <c r="W150" s="7">
        <f t="shared" ref="W150" si="541">_xlfn.CHISQ.DIST.RT(V150, 1)</f>
        <v>0.25060061334390971</v>
      </c>
    </row>
    <row r="151" spans="1:25">
      <c r="A151" s="63">
        <v>30</v>
      </c>
      <c r="B151" s="1" t="s">
        <v>7</v>
      </c>
      <c r="C151" s="1" t="s">
        <v>5</v>
      </c>
      <c r="D151" s="1">
        <v>2</v>
      </c>
      <c r="E151" s="2">
        <v>55</v>
      </c>
      <c r="F151" s="2">
        <v>1</v>
      </c>
      <c r="G151" s="2">
        <v>28</v>
      </c>
      <c r="H151" s="22">
        <f t="shared" ref="H151:H156" si="542">2*E151 + G151</f>
        <v>138</v>
      </c>
      <c r="I151" s="22">
        <f t="shared" ref="I151:I156" si="543">2*F151+G151</f>
        <v>30</v>
      </c>
      <c r="J151" s="22">
        <f t="shared" ref="J151:J156" si="544">SUM(E151:G151)</f>
        <v>84</v>
      </c>
      <c r="K151" s="2">
        <v>252</v>
      </c>
      <c r="L151" s="25">
        <f t="shared" ref="L151:L156" si="545">100*(E151/(E151+F151+G151))</f>
        <v>65.476190476190482</v>
      </c>
      <c r="M151" s="25">
        <f t="shared" ref="M151:M156" si="546">100*(F151/(E151+F151+G151))</f>
        <v>1.1904761904761905</v>
      </c>
      <c r="N151" s="25">
        <f t="shared" ref="N151:N156" si="547">100*(G151/(E151+F151+G151))</f>
        <v>33.333333333333329</v>
      </c>
      <c r="O151" s="8">
        <f t="shared" ref="O151" si="548">100*(H151/(H151+I151))</f>
        <v>82.142857142857139</v>
      </c>
      <c r="P151" s="8">
        <f t="shared" ref="P151" si="549">100*(I151/(H151+I151))</f>
        <v>17.857142857142858</v>
      </c>
      <c r="Q151" s="15">
        <f t="shared" ref="Q151" si="550">1.96*SQRT((O151/100)*(P151/100)*(K151-J151)/(J151*(K151-1)))*100</f>
        <v>6.7007759555423512</v>
      </c>
      <c r="R151" s="25">
        <f t="shared" ref="R151" si="551">J151*(O151/100)^2</f>
        <v>56.678571428571423</v>
      </c>
      <c r="S151" s="25">
        <f t="shared" ref="S151" si="552">(P151/100)^2*J151</f>
        <v>2.6785714285714288</v>
      </c>
      <c r="T151" s="25">
        <f t="shared" ref="T151" si="553">(O151/100)*(P151/100)*2*J151</f>
        <v>24.642857142857146</v>
      </c>
      <c r="V151">
        <f t="shared" ref="V151:V156" si="554">SUM((E151-R151)^2/R151,(F151-S151)^2/S151,(G151-T151)^2/T151)</f>
        <v>1.5589666036546934</v>
      </c>
      <c r="W151" s="7">
        <f t="shared" ref="W151:W156" si="555">_xlfn.CHISQ.DIST.RT(V151, 1)</f>
        <v>0.21181659352199553</v>
      </c>
    </row>
    <row r="152" spans="1:25">
      <c r="A152" s="63">
        <v>25</v>
      </c>
      <c r="B152" s="1" t="s">
        <v>7</v>
      </c>
      <c r="C152" s="1" t="s">
        <v>5</v>
      </c>
      <c r="D152" s="1">
        <v>2</v>
      </c>
      <c r="E152" s="2">
        <v>60</v>
      </c>
      <c r="F152" s="2">
        <v>4</v>
      </c>
      <c r="G152" s="2">
        <v>28</v>
      </c>
      <c r="H152" s="22">
        <f t="shared" si="542"/>
        <v>148</v>
      </c>
      <c r="I152" s="22">
        <f t="shared" si="543"/>
        <v>36</v>
      </c>
      <c r="J152" s="22">
        <f t="shared" si="544"/>
        <v>92</v>
      </c>
      <c r="K152" s="2">
        <f>INT(234/(102/95))</f>
        <v>217</v>
      </c>
      <c r="L152" s="25">
        <f t="shared" si="545"/>
        <v>65.217391304347828</v>
      </c>
      <c r="M152" s="25">
        <f t="shared" si="546"/>
        <v>4.3478260869565215</v>
      </c>
      <c r="N152" s="25">
        <f t="shared" si="547"/>
        <v>30.434782608695656</v>
      </c>
      <c r="O152" s="8">
        <f t="shared" ref="O152" si="556">100*(H152/(H152+I152))</f>
        <v>80.434782608695656</v>
      </c>
      <c r="P152" s="8">
        <f t="shared" ref="P152" si="557">100*(I152/(H152+I152))</f>
        <v>19.565217391304348</v>
      </c>
      <c r="Q152" s="15">
        <f t="shared" ref="Q152" si="558">1.96*SQRT((O152/100)*(P152/100)*(K152-J152)/(J152*(K152-1)))*100</f>
        <v>6.1667248839749407</v>
      </c>
      <c r="R152" s="25">
        <f t="shared" ref="R152" si="559">J152*(O152/100)^2</f>
        <v>59.521739130434781</v>
      </c>
      <c r="S152" s="25">
        <f t="shared" ref="S152" si="560">(P152/100)^2*J152</f>
        <v>3.5217391304347831</v>
      </c>
      <c r="T152" s="25">
        <f t="shared" ref="T152" si="561">(O152/100)*(P152/100)*2*J152</f>
        <v>28.956521739130437</v>
      </c>
      <c r="V152">
        <f t="shared" si="554"/>
        <v>0.10038867696525358</v>
      </c>
      <c r="W152" s="7">
        <f t="shared" si="555"/>
        <v>0.75136370415547549</v>
      </c>
    </row>
    <row r="153" spans="1:25">
      <c r="A153" s="63">
        <v>20</v>
      </c>
      <c r="B153" s="1" t="s">
        <v>7</v>
      </c>
      <c r="C153" s="1" t="s">
        <v>5</v>
      </c>
      <c r="D153" s="1">
        <v>2</v>
      </c>
      <c r="E153" s="2">
        <v>48</v>
      </c>
      <c r="F153" s="2">
        <v>5</v>
      </c>
      <c r="G153" s="2">
        <v>39</v>
      </c>
      <c r="H153" s="22">
        <f t="shared" si="542"/>
        <v>135</v>
      </c>
      <c r="I153" s="22">
        <f t="shared" si="543"/>
        <v>49</v>
      </c>
      <c r="J153" s="22">
        <f t="shared" si="544"/>
        <v>92</v>
      </c>
      <c r="K153" s="2">
        <f>INT(308/(88/95))</f>
        <v>332</v>
      </c>
      <c r="L153" s="25">
        <f t="shared" si="545"/>
        <v>52.173913043478258</v>
      </c>
      <c r="M153" s="25">
        <f t="shared" si="546"/>
        <v>5.4347826086956523</v>
      </c>
      <c r="N153" s="25">
        <f t="shared" si="547"/>
        <v>42.391304347826086</v>
      </c>
      <c r="O153" s="8">
        <f t="shared" ref="O153" si="562">100*(H153/(H153+I153))</f>
        <v>73.369565217391312</v>
      </c>
      <c r="P153" s="8">
        <f t="shared" ref="P153" si="563">100*(I153/(H153+I153))</f>
        <v>26.630434782608699</v>
      </c>
      <c r="Q153" s="15">
        <f t="shared" ref="Q153" si="564">1.96*SQRT((O153/100)*(P153/100)*(K153-J153)/(J153*(K153-1)))*100</f>
        <v>7.6913200390060288</v>
      </c>
      <c r="R153" s="25">
        <f t="shared" ref="R153" si="565">J153*(O153/100)^2</f>
        <v>49.52445652173914</v>
      </c>
      <c r="S153" s="25">
        <f t="shared" ref="S153" si="566">(P153/100)^2*J153</f>
        <v>6.5244565217391317</v>
      </c>
      <c r="T153" s="25">
        <f t="shared" ref="T153" si="567">(O153/100)*(P153/100)*2*J153</f>
        <v>35.951086956521742</v>
      </c>
      <c r="V153">
        <f t="shared" si="554"/>
        <v>0.66168890534293889</v>
      </c>
      <c r="W153" s="7">
        <f t="shared" si="555"/>
        <v>0.41596432866690264</v>
      </c>
    </row>
    <row r="154" spans="1:25">
      <c r="A154" s="39">
        <v>15</v>
      </c>
      <c r="B154" s="1" t="s">
        <v>7</v>
      </c>
      <c r="C154" s="1" t="s">
        <v>5</v>
      </c>
      <c r="D154" s="1">
        <v>2</v>
      </c>
      <c r="E154">
        <v>44</v>
      </c>
      <c r="F154" s="2">
        <v>10</v>
      </c>
      <c r="G154" s="2">
        <v>41</v>
      </c>
      <c r="H154" s="22">
        <f t="shared" si="542"/>
        <v>129</v>
      </c>
      <c r="I154" s="22">
        <f t="shared" si="543"/>
        <v>61</v>
      </c>
      <c r="J154" s="22">
        <f t="shared" si="544"/>
        <v>95</v>
      </c>
      <c r="K154">
        <f>INT(137.5/(103.5/95))</f>
        <v>126</v>
      </c>
      <c r="L154" s="25">
        <f t="shared" si="545"/>
        <v>46.315789473684212</v>
      </c>
      <c r="M154" s="25">
        <f t="shared" si="546"/>
        <v>10.526315789473683</v>
      </c>
      <c r="N154" s="25">
        <f t="shared" si="547"/>
        <v>43.15789473684211</v>
      </c>
      <c r="O154" s="8">
        <f t="shared" ref="O154" si="568">100*(H154/(H154+I154))</f>
        <v>67.89473684210526</v>
      </c>
      <c r="P154" s="8">
        <f t="shared" ref="P154" si="569">100*(I154/(H154+I154))</f>
        <v>32.10526315789474</v>
      </c>
      <c r="Q154" s="15">
        <f t="shared" ref="Q154" si="570">1.96*SQRT((O154/100)*(P154/100)*(K154-J154)/(J154*(K154-1)))*100</f>
        <v>4.6754808315894874</v>
      </c>
      <c r="R154" s="25">
        <f t="shared" ref="R154" si="571">J154*(O154/100)^2</f>
        <v>43.792105263157893</v>
      </c>
      <c r="S154" s="25">
        <f t="shared" ref="S154" si="572">(P154/100)^2*J154</f>
        <v>9.7921052631578984</v>
      </c>
      <c r="T154" s="25">
        <f t="shared" ref="T154" si="573">(O154/100)*(P154/100)*2*J154</f>
        <v>41.415789473684214</v>
      </c>
      <c r="V154">
        <f t="shared" si="554"/>
        <v>9.5749981173640329E-3</v>
      </c>
      <c r="W154" s="7">
        <f t="shared" si="555"/>
        <v>0.92204987949623907</v>
      </c>
    </row>
    <row r="155" spans="1:25">
      <c r="A155" s="39">
        <v>10</v>
      </c>
      <c r="B155" s="1" t="s">
        <v>7</v>
      </c>
      <c r="C155" s="1" t="s">
        <v>5</v>
      </c>
      <c r="D155" s="1">
        <v>2</v>
      </c>
      <c r="E155">
        <v>27</v>
      </c>
      <c r="F155" s="2">
        <v>26</v>
      </c>
      <c r="G155" s="2">
        <v>40</v>
      </c>
      <c r="H155" s="22">
        <f t="shared" si="542"/>
        <v>94</v>
      </c>
      <c r="I155" s="22">
        <f t="shared" si="543"/>
        <v>92</v>
      </c>
      <c r="J155" s="22">
        <f t="shared" si="544"/>
        <v>93</v>
      </c>
      <c r="K155" s="22">
        <v>213</v>
      </c>
      <c r="L155" s="25">
        <f t="shared" si="545"/>
        <v>29.032258064516132</v>
      </c>
      <c r="M155" s="25">
        <f t="shared" si="546"/>
        <v>27.956989247311824</v>
      </c>
      <c r="N155" s="25">
        <f t="shared" si="547"/>
        <v>43.01075268817204</v>
      </c>
      <c r="O155" s="8">
        <f t="shared" ref="O155" si="574">100*(H155/(H155+I155))</f>
        <v>50.537634408602152</v>
      </c>
      <c r="P155" s="8">
        <f t="shared" ref="P155" si="575">100*(I155/(H155+I155))</f>
        <v>49.462365591397848</v>
      </c>
      <c r="Q155" s="15">
        <f t="shared" ref="Q155" si="576">1.96*SQRT((O155/100)*(P155/100)*(K155-J155)/(J155*(K155-1)))*100</f>
        <v>7.6450826679282224</v>
      </c>
      <c r="R155" s="25">
        <f t="shared" ref="R155" si="577">J155*(O155/100)^2</f>
        <v>23.752688172043008</v>
      </c>
      <c r="S155" s="25">
        <f t="shared" ref="S155" si="578">(P155/100)^2*J155</f>
        <v>22.752688172043012</v>
      </c>
      <c r="T155" s="25">
        <f t="shared" ref="T155" si="579">(O155/100)*(P155/100)*2*J155</f>
        <v>46.494623655913976</v>
      </c>
      <c r="V155">
        <f t="shared" si="554"/>
        <v>1.8146190057686331</v>
      </c>
      <c r="W155" s="7">
        <f t="shared" si="555"/>
        <v>0.17795512859548018</v>
      </c>
    </row>
    <row r="156" spans="1:25">
      <c r="A156" s="39">
        <v>5</v>
      </c>
      <c r="B156" s="1" t="s">
        <v>7</v>
      </c>
      <c r="C156" s="1" t="s">
        <v>5</v>
      </c>
      <c r="D156" s="1">
        <v>2</v>
      </c>
      <c r="E156">
        <v>18</v>
      </c>
      <c r="F156" s="2">
        <v>18</v>
      </c>
      <c r="G156" s="2">
        <v>58</v>
      </c>
      <c r="H156" s="22">
        <f t="shared" si="542"/>
        <v>94</v>
      </c>
      <c r="I156" s="22">
        <f t="shared" si="543"/>
        <v>94</v>
      </c>
      <c r="J156" s="22">
        <f t="shared" si="544"/>
        <v>94</v>
      </c>
      <c r="K156">
        <f>INT(147/(90/95))</f>
        <v>155</v>
      </c>
      <c r="L156" s="25">
        <f t="shared" si="545"/>
        <v>19.148936170212767</v>
      </c>
      <c r="M156" s="25">
        <f t="shared" si="546"/>
        <v>19.148936170212767</v>
      </c>
      <c r="N156" s="25">
        <f t="shared" si="547"/>
        <v>61.702127659574465</v>
      </c>
      <c r="O156" s="8">
        <f t="shared" ref="O156" si="580">100*(H156/(H156+I156))</f>
        <v>50</v>
      </c>
      <c r="P156" s="8">
        <f t="shared" ref="P156" si="581">100*(I156/(H156+I156))</f>
        <v>50</v>
      </c>
      <c r="Q156" s="15">
        <f t="shared" ref="Q156" si="582">1.96*SQRT((O156/100)*(P156/100)*(K156-J156)/(J156*(K156-1)))*100</f>
        <v>6.3616050916698503</v>
      </c>
      <c r="R156" s="25">
        <f t="shared" ref="R156" si="583">J156*(O156/100)^2</f>
        <v>23.5</v>
      </c>
      <c r="S156" s="25">
        <f t="shared" ref="S156" si="584">(P156/100)^2*J156</f>
        <v>23.5</v>
      </c>
      <c r="T156" s="25">
        <f t="shared" ref="T156" si="585">(O156/100)*(P156/100)*2*J156</f>
        <v>47</v>
      </c>
      <c r="V156">
        <f t="shared" si="554"/>
        <v>5.1489361702127656</v>
      </c>
      <c r="W156" s="28">
        <f t="shared" si="555"/>
        <v>2.3260619585451638E-2</v>
      </c>
    </row>
    <row r="157" spans="1:25">
      <c r="A157" s="39"/>
    </row>
    <row r="158" spans="1:25">
      <c r="A158" s="39">
        <v>0</v>
      </c>
      <c r="B158" s="1" t="s">
        <v>7</v>
      </c>
      <c r="C158" s="1" t="s">
        <v>5</v>
      </c>
      <c r="D158" s="1">
        <v>2</v>
      </c>
      <c r="E158" s="22">
        <v>21</v>
      </c>
      <c r="F158" s="22">
        <v>70</v>
      </c>
      <c r="G158" s="22">
        <v>0</v>
      </c>
      <c r="H158" s="22">
        <f>2*E158 + G158</f>
        <v>42</v>
      </c>
      <c r="I158" s="22">
        <f>2*F158+G158</f>
        <v>140</v>
      </c>
      <c r="J158" s="22">
        <f t="shared" ref="J158" si="586">SUM(E158:G158)</f>
        <v>91</v>
      </c>
      <c r="K158" s="22">
        <f>INT(385/(114/95))</f>
        <v>320</v>
      </c>
      <c r="L158" s="25">
        <f t="shared" ref="L158" si="587">100*(E158/(E158+F158+G158))</f>
        <v>23.076923076923077</v>
      </c>
      <c r="M158" s="25">
        <f t="shared" ref="M158" si="588">100*(F158/(E158+F158+G158))</f>
        <v>76.923076923076934</v>
      </c>
      <c r="N158" s="25">
        <f t="shared" ref="N158" si="589">100*(G158/(E158+F158+G158))</f>
        <v>0</v>
      </c>
      <c r="O158" s="8">
        <f t="shared" ref="O158" si="590">100*(H158/(H158+I158))</f>
        <v>23.076923076923077</v>
      </c>
      <c r="P158" s="8">
        <f t="shared" ref="P158" si="591">100*(I158/(H158+I158))</f>
        <v>76.923076923076934</v>
      </c>
      <c r="Q158" s="15">
        <f t="shared" ref="Q158:Q168" si="592">1.96*SQRT((O158/100)*(P158/100)*(K158-J158)/(J158*(K158-1)))*100</f>
        <v>7.3345766223129063</v>
      </c>
      <c r="R158" s="25">
        <f t="shared" ref="R158" si="593">J158*(O158/100)^2</f>
        <v>4.8461538461538458</v>
      </c>
      <c r="S158" s="25">
        <f t="shared" ref="S158" si="594">(P158/100)^2*J158</f>
        <v>53.846153846153868</v>
      </c>
      <c r="T158" s="25">
        <f t="shared" ref="T158" si="595">(O158/100)*(P158/100)*2*J158</f>
        <v>32.307692307692314</v>
      </c>
      <c r="U158" s="22"/>
      <c r="V158" s="22">
        <f>SUM((E158-R158)^2/R158,(F158-S158)^2/S158,(G158-T158)^2/T158)</f>
        <v>91</v>
      </c>
      <c r="W158" s="26">
        <f t="shared" ref="W158" si="596">_xlfn.CHISQ.DIST.RT(V158, 1)</f>
        <v>1.4367211464103865E-21</v>
      </c>
      <c r="Y158" t="s">
        <v>69</v>
      </c>
    </row>
    <row r="159" spans="1:25">
      <c r="A159" s="39"/>
      <c r="B159" s="1"/>
      <c r="C159" s="1"/>
      <c r="D159" s="1"/>
      <c r="E159" s="22"/>
      <c r="F159" s="22"/>
      <c r="G159" s="22"/>
      <c r="H159" s="22"/>
      <c r="I159" s="22"/>
      <c r="J159" s="22"/>
      <c r="K159" s="22"/>
      <c r="L159" s="25"/>
      <c r="M159" s="25"/>
      <c r="N159" s="25"/>
      <c r="O159" s="8"/>
      <c r="P159" s="8"/>
      <c r="Q159" s="15"/>
      <c r="R159" s="25"/>
      <c r="S159" s="25"/>
      <c r="T159" s="25"/>
      <c r="U159" s="22"/>
      <c r="V159" s="22"/>
      <c r="W159" s="26"/>
    </row>
    <row r="160" spans="1:25">
      <c r="A160" s="44"/>
      <c r="B160" s="1"/>
      <c r="C160" s="1"/>
      <c r="D160" s="1"/>
      <c r="E160" s="22"/>
      <c r="F160" s="22"/>
      <c r="G160" s="22"/>
      <c r="H160" s="22"/>
      <c r="I160" s="22"/>
      <c r="J160" s="22"/>
      <c r="K160" s="22"/>
      <c r="L160" s="25"/>
      <c r="M160" s="25"/>
      <c r="N160" s="25"/>
      <c r="O160" s="8"/>
      <c r="P160" s="8"/>
      <c r="Q160" s="15"/>
      <c r="R160" s="25"/>
      <c r="S160" s="25"/>
      <c r="T160" s="25"/>
      <c r="U160" s="22"/>
      <c r="V160" s="22"/>
      <c r="W160" s="26"/>
    </row>
    <row r="161" spans="1:25">
      <c r="A161" s="39">
        <v>40</v>
      </c>
      <c r="B161" s="1" t="s">
        <v>7</v>
      </c>
      <c r="C161" s="1" t="s">
        <v>6</v>
      </c>
      <c r="D161" s="1">
        <v>2</v>
      </c>
      <c r="E161" s="22">
        <v>25</v>
      </c>
      <c r="F161" s="22">
        <v>17</v>
      </c>
      <c r="G161" s="22">
        <v>52</v>
      </c>
      <c r="H161">
        <f t="shared" ref="H161" si="597">2*E161 + G161</f>
        <v>102</v>
      </c>
      <c r="I161">
        <f t="shared" ref="I161" si="598">2*F161+G161</f>
        <v>86</v>
      </c>
      <c r="J161" s="22">
        <f t="shared" ref="J161" si="599">SUM(E161:G161)</f>
        <v>94</v>
      </c>
      <c r="K161" s="22">
        <f>INT(518/(100/95))</f>
        <v>492</v>
      </c>
      <c r="L161" s="6">
        <f t="shared" ref="L161" si="600">100*(E161/(E161+F161+G161))</f>
        <v>26.595744680851062</v>
      </c>
      <c r="M161" s="6">
        <f t="shared" ref="M161" si="601">100*(F161/(E161+F161+G161))</f>
        <v>18.085106382978726</v>
      </c>
      <c r="N161" s="6">
        <f t="shared" ref="N161" si="602">100*(G161/(E161+F161+G161))</f>
        <v>55.319148936170215</v>
      </c>
      <c r="O161" s="8">
        <f t="shared" ref="O161" si="603">100*(H161/(H161+I161))</f>
        <v>54.255319148936167</v>
      </c>
      <c r="P161" s="8">
        <f t="shared" ref="P161" si="604">100*(I161/(H161+I161))</f>
        <v>45.744680851063826</v>
      </c>
      <c r="Q161" s="51">
        <f t="shared" ref="Q161" si="605">1.96*SQRT((O161/100)*(P161/100)*(K161-J161)/(J161*(K161-1)))*100</f>
        <v>9.067433867377412</v>
      </c>
      <c r="R161" s="6">
        <f t="shared" ref="R161" si="606">J161*(O161/100)^2</f>
        <v>27.670212765957441</v>
      </c>
      <c r="S161" s="6">
        <f t="shared" ref="S161" si="607">(P161/100)^2*J161</f>
        <v>19.670212765957441</v>
      </c>
      <c r="T161" s="6">
        <f t="shared" ref="T161" si="608">(O161/100)*(P161/100)*2*J161</f>
        <v>46.659574468085097</v>
      </c>
      <c r="V161">
        <f t="shared" ref="V161" si="609">SUM((E161-R161)^2/R161,(F161-S161)^2/S161,(G161-T161)^2/T161)</f>
        <v>1.2313968355558214</v>
      </c>
      <c r="W161" s="7">
        <f t="shared" ref="W161" si="610">_xlfn.CHISQ.DIST.RT(V161, 1)</f>
        <v>0.26713555872107664</v>
      </c>
    </row>
    <row r="162" spans="1:25">
      <c r="A162" s="39">
        <v>35</v>
      </c>
      <c r="B162" s="1" t="s">
        <v>7</v>
      </c>
      <c r="C162" s="1" t="s">
        <v>6</v>
      </c>
      <c r="D162" s="1">
        <v>2</v>
      </c>
      <c r="E162" s="22">
        <v>37</v>
      </c>
      <c r="F162" s="22">
        <v>12</v>
      </c>
      <c r="G162" s="22">
        <v>46</v>
      </c>
      <c r="H162">
        <f t="shared" ref="H162" si="611">2*E162 + G162</f>
        <v>120</v>
      </c>
      <c r="I162">
        <f t="shared" ref="I162" si="612">2*F162+G162</f>
        <v>70</v>
      </c>
      <c r="J162" s="22">
        <f t="shared" ref="J162" si="613">SUM(E162:G162)</f>
        <v>95</v>
      </c>
      <c r="K162" s="22">
        <f>INT(294/(104/95))</f>
        <v>268</v>
      </c>
      <c r="L162" s="6">
        <f t="shared" ref="L162" si="614">100*(E162/(E162+F162+G162))</f>
        <v>38.94736842105263</v>
      </c>
      <c r="M162" s="6">
        <f t="shared" ref="M162" si="615">100*(F162/(E162+F162+G162))</f>
        <v>12.631578947368421</v>
      </c>
      <c r="N162" s="6">
        <f t="shared" ref="N162" si="616">100*(G162/(E162+F162+G162))</f>
        <v>48.421052631578945</v>
      </c>
      <c r="O162" s="8">
        <f t="shared" ref="O162" si="617">100*(H162/(H162+I162))</f>
        <v>63.157894736842103</v>
      </c>
      <c r="P162" s="8">
        <f t="shared" ref="P162" si="618">100*(I162/(H162+I162))</f>
        <v>36.84210526315789</v>
      </c>
      <c r="Q162" s="51">
        <f t="shared" ref="Q162" si="619">1.96*SQRT((O162/100)*(P162/100)*(K162-J162)/(J162*(K162-1)))*100</f>
        <v>7.8081425177844501</v>
      </c>
      <c r="R162" s="6">
        <f t="shared" ref="R162" si="620">J162*(O162/100)^2</f>
        <v>37.89473684210526</v>
      </c>
      <c r="S162" s="6">
        <f t="shared" ref="S162" si="621">(P162/100)^2*J162</f>
        <v>12.894736842105262</v>
      </c>
      <c r="T162" s="6">
        <f t="shared" ref="T162" si="622">(O162/100)*(P162/100)*2*J162</f>
        <v>44.210526315789465</v>
      </c>
      <c r="V162">
        <f t="shared" ref="V162" si="623">SUM((E162-R162)^2/R162,(F162-S162)^2/S162,(G162-T162)^2/T162)</f>
        <v>0.15564058956916138</v>
      </c>
      <c r="W162" s="7">
        <f t="shared" ref="W162" si="624">_xlfn.CHISQ.DIST.RT(V162, 1)</f>
        <v>0.69320225417477421</v>
      </c>
    </row>
    <row r="163" spans="1:25">
      <c r="A163" s="39">
        <v>31</v>
      </c>
      <c r="B163" s="1" t="s">
        <v>7</v>
      </c>
      <c r="C163" s="1" t="s">
        <v>6</v>
      </c>
      <c r="D163" s="1">
        <v>2</v>
      </c>
      <c r="E163" s="22">
        <v>40</v>
      </c>
      <c r="F163" s="22">
        <v>7</v>
      </c>
      <c r="G163" s="22">
        <v>44</v>
      </c>
      <c r="H163">
        <f t="shared" ref="H163:H168" si="625">2*E163 + G163</f>
        <v>124</v>
      </c>
      <c r="I163">
        <f t="shared" ref="I163" si="626">2*F163+G163</f>
        <v>58</v>
      </c>
      <c r="J163" s="22">
        <f t="shared" ref="J163:J168" si="627">SUM(E163:G163)</f>
        <v>91</v>
      </c>
      <c r="K163" s="22">
        <f>INT(231/(90/95))</f>
        <v>243</v>
      </c>
      <c r="L163" s="6">
        <f t="shared" ref="L163:L168" si="628">100*(E163/(E163+F163+G163))</f>
        <v>43.956043956043956</v>
      </c>
      <c r="M163" s="6">
        <f t="shared" ref="M163:M168" si="629">100*(F163/(E163+F163+G163))</f>
        <v>7.6923076923076925</v>
      </c>
      <c r="N163" s="6">
        <f t="shared" ref="N163:N168" si="630">100*(G163/(E163+F163+G163))</f>
        <v>48.35164835164835</v>
      </c>
      <c r="O163" s="8">
        <f t="shared" ref="O163:O168" si="631">100*(H163/(H163+I163))</f>
        <v>68.131868131868131</v>
      </c>
      <c r="P163" s="8">
        <f t="shared" ref="P163:P168" si="632">100*(I163/(H163+I163))</f>
        <v>31.868131868131865</v>
      </c>
      <c r="Q163" s="51">
        <f t="shared" ref="Q163" si="633">1.96*SQRT((O163/100)*(P163/100)*(K163-J163)/(J163*(K163-1)))*100</f>
        <v>7.5875739627809082</v>
      </c>
      <c r="R163" s="6">
        <f t="shared" ref="R163:R168" si="634">J163*(O163/100)^2</f>
        <v>42.241758241758241</v>
      </c>
      <c r="S163" s="6">
        <f t="shared" ref="S163:S168" si="635">(P163/100)^2*J163</f>
        <v>9.2417582417582409</v>
      </c>
      <c r="T163" s="6">
        <f t="shared" ref="T163:T168" si="636">(O163/100)*(P163/100)*2*J163</f>
        <v>39.516483516483511</v>
      </c>
      <c r="V163">
        <f t="shared" ref="V163:V168" si="637">SUM((E163-R163)^2/R163,(F163-S163)^2/S163,(G163-T163)^2/T163)</f>
        <v>1.1714462120190405</v>
      </c>
      <c r="W163" s="7">
        <f t="shared" ref="W163:W168" si="638">_xlfn.CHISQ.DIST.RT(V163, 1)</f>
        <v>0.27910428205666227</v>
      </c>
    </row>
    <row r="164" spans="1:25">
      <c r="A164" s="39">
        <v>25</v>
      </c>
      <c r="B164" s="1" t="s">
        <v>7</v>
      </c>
      <c r="C164" s="1" t="s">
        <v>6</v>
      </c>
      <c r="D164" s="1">
        <v>2</v>
      </c>
      <c r="E164" s="22">
        <v>55</v>
      </c>
      <c r="F164" s="22">
        <v>2</v>
      </c>
      <c r="G164" s="22">
        <v>35</v>
      </c>
      <c r="H164">
        <f t="shared" si="625"/>
        <v>145</v>
      </c>
      <c r="I164">
        <f t="shared" ref="I164" si="639">2*F164+G164</f>
        <v>39</v>
      </c>
      <c r="J164" s="22">
        <f t="shared" si="627"/>
        <v>92</v>
      </c>
      <c r="K164" s="22">
        <f>INT(211/(106/95))</f>
        <v>189</v>
      </c>
      <c r="L164" s="6">
        <f t="shared" si="628"/>
        <v>59.782608695652172</v>
      </c>
      <c r="M164" s="6">
        <f t="shared" si="629"/>
        <v>2.1739130434782608</v>
      </c>
      <c r="N164" s="6">
        <f t="shared" si="630"/>
        <v>38.04347826086957</v>
      </c>
      <c r="O164" s="8">
        <f t="shared" si="631"/>
        <v>78.804347826086953</v>
      </c>
      <c r="P164" s="8">
        <f t="shared" si="632"/>
        <v>21.195652173913043</v>
      </c>
      <c r="Q164" s="51">
        <f t="shared" ref="Q164" si="640">1.96*SQRT((O164/100)*(P164/100)*(K164-J164)/(J164*(K164-1)))*100</f>
        <v>5.9988441872242646</v>
      </c>
      <c r="R164" s="6">
        <f t="shared" si="634"/>
        <v>57.133152173913039</v>
      </c>
      <c r="S164" s="6">
        <f t="shared" si="635"/>
        <v>4.1331521739130439</v>
      </c>
      <c r="T164" s="6">
        <f t="shared" si="636"/>
        <v>30.733695652173914</v>
      </c>
      <c r="V164">
        <f t="shared" si="637"/>
        <v>1.7728088958309391</v>
      </c>
      <c r="W164" s="7">
        <f t="shared" si="638"/>
        <v>0.1830348377523334</v>
      </c>
    </row>
    <row r="165" spans="1:25">
      <c r="A165" s="39">
        <v>20</v>
      </c>
      <c r="B165" s="1" t="s">
        <v>7</v>
      </c>
      <c r="C165" s="1" t="s">
        <v>6</v>
      </c>
      <c r="D165" s="1">
        <v>2</v>
      </c>
      <c r="E165" s="22">
        <v>70</v>
      </c>
      <c r="F165" s="22">
        <v>4</v>
      </c>
      <c r="G165" s="22">
        <v>16</v>
      </c>
      <c r="H165">
        <f t="shared" si="625"/>
        <v>156</v>
      </c>
      <c r="I165">
        <f t="shared" ref="I165" si="641">2*F165+G165</f>
        <v>24</v>
      </c>
      <c r="J165" s="22">
        <f t="shared" si="627"/>
        <v>90</v>
      </c>
      <c r="K165" s="22">
        <f>INT(385/(93.6/90))</f>
        <v>370</v>
      </c>
      <c r="L165" s="6">
        <f t="shared" si="628"/>
        <v>77.777777777777786</v>
      </c>
      <c r="M165" s="6">
        <f t="shared" si="629"/>
        <v>4.4444444444444446</v>
      </c>
      <c r="N165" s="6">
        <f t="shared" si="630"/>
        <v>17.777777777777779</v>
      </c>
      <c r="O165" s="8">
        <f t="shared" si="631"/>
        <v>86.666666666666671</v>
      </c>
      <c r="P165" s="8">
        <f t="shared" si="632"/>
        <v>13.333333333333334</v>
      </c>
      <c r="Q165" s="51">
        <f t="shared" ref="Q165" si="642">1.96*SQRT((O165/100)*(P165/100)*(K165-J165)/(J165*(K165-1)))*100</f>
        <v>6.1178111146187764</v>
      </c>
      <c r="R165" s="6">
        <f t="shared" si="634"/>
        <v>67.600000000000009</v>
      </c>
      <c r="S165" s="6">
        <f t="shared" si="635"/>
        <v>1.6</v>
      </c>
      <c r="T165" s="6">
        <f t="shared" si="636"/>
        <v>20.8</v>
      </c>
      <c r="V165">
        <f t="shared" si="637"/>
        <v>4.7928994082840228</v>
      </c>
      <c r="W165" s="7">
        <f t="shared" si="638"/>
        <v>2.8577283278500818E-2</v>
      </c>
    </row>
    <row r="166" spans="1:25">
      <c r="A166" s="39">
        <v>15</v>
      </c>
      <c r="B166" s="1" t="s">
        <v>7</v>
      </c>
      <c r="C166" s="1" t="s">
        <v>6</v>
      </c>
      <c r="D166" s="1">
        <v>2</v>
      </c>
      <c r="E166">
        <v>64</v>
      </c>
      <c r="F166" s="2">
        <v>2</v>
      </c>
      <c r="G166" s="2">
        <v>21</v>
      </c>
      <c r="H166">
        <f t="shared" si="625"/>
        <v>149</v>
      </c>
      <c r="I166">
        <f t="shared" ref="I166" si="643">2*F166+G166</f>
        <v>25</v>
      </c>
      <c r="J166" s="22">
        <f t="shared" si="627"/>
        <v>87</v>
      </c>
      <c r="K166">
        <f>INT(255.4/(90.6/95))</f>
        <v>267</v>
      </c>
      <c r="L166" s="6">
        <f t="shared" si="628"/>
        <v>73.563218390804593</v>
      </c>
      <c r="M166" s="6">
        <f t="shared" si="629"/>
        <v>2.2988505747126435</v>
      </c>
      <c r="N166" s="6">
        <f t="shared" si="630"/>
        <v>24.137931034482758</v>
      </c>
      <c r="O166" s="8">
        <f t="shared" si="631"/>
        <v>85.632183908045974</v>
      </c>
      <c r="P166" s="8">
        <f t="shared" si="632"/>
        <v>14.367816091954023</v>
      </c>
      <c r="Q166" s="51">
        <f t="shared" ref="Q166" si="644">1.96*SQRT((O166/100)*(P166/100)*(K166-J166)/(J166*(K166-1)))*100</f>
        <v>6.0632541060196834</v>
      </c>
      <c r="R166" s="6">
        <f t="shared" si="634"/>
        <v>63.795977011494251</v>
      </c>
      <c r="S166" s="6">
        <f t="shared" si="635"/>
        <v>1.7959770114942526</v>
      </c>
      <c r="T166" s="6">
        <f t="shared" si="636"/>
        <v>21.408045977011493</v>
      </c>
      <c r="V166">
        <f t="shared" si="637"/>
        <v>3.1607008693302151E-2</v>
      </c>
      <c r="W166" s="7">
        <f t="shared" si="638"/>
        <v>0.8588929268847636</v>
      </c>
    </row>
    <row r="167" spans="1:25">
      <c r="A167" s="39">
        <v>10</v>
      </c>
      <c r="B167" s="1" t="s">
        <v>7</v>
      </c>
      <c r="C167" s="1" t="s">
        <v>6</v>
      </c>
      <c r="D167" s="1">
        <v>2</v>
      </c>
      <c r="E167">
        <v>67</v>
      </c>
      <c r="F167" s="2">
        <v>1</v>
      </c>
      <c r="G167" s="2">
        <v>34</v>
      </c>
      <c r="H167">
        <f t="shared" si="625"/>
        <v>168</v>
      </c>
      <c r="I167">
        <f t="shared" ref="I167" si="645">2*F167+G167</f>
        <v>36</v>
      </c>
      <c r="J167" s="22">
        <f t="shared" si="627"/>
        <v>102</v>
      </c>
      <c r="K167" s="48">
        <v>234</v>
      </c>
      <c r="L167" s="6">
        <f t="shared" si="628"/>
        <v>65.686274509803923</v>
      </c>
      <c r="M167" s="6">
        <f t="shared" si="629"/>
        <v>0.98039215686274506</v>
      </c>
      <c r="N167" s="6">
        <f t="shared" si="630"/>
        <v>33.333333333333329</v>
      </c>
      <c r="O167" s="8">
        <f t="shared" si="631"/>
        <v>82.35294117647058</v>
      </c>
      <c r="P167" s="8">
        <f t="shared" si="632"/>
        <v>17.647058823529413</v>
      </c>
      <c r="Q167" s="51">
        <f t="shared" si="592"/>
        <v>5.5685319317257944</v>
      </c>
      <c r="R167" s="6">
        <f t="shared" si="634"/>
        <v>69.17647058823529</v>
      </c>
      <c r="S167" s="6">
        <f t="shared" si="635"/>
        <v>3.1764705882352948</v>
      </c>
      <c r="T167" s="6">
        <f t="shared" si="636"/>
        <v>29.647058823529413</v>
      </c>
      <c r="V167">
        <f t="shared" si="637"/>
        <v>2.1988851095993951</v>
      </c>
      <c r="W167" s="7">
        <f t="shared" si="638"/>
        <v>0.13811059561428646</v>
      </c>
    </row>
    <row r="168" spans="1:25">
      <c r="A168" s="39">
        <v>5</v>
      </c>
      <c r="B168" s="1" t="s">
        <v>7</v>
      </c>
      <c r="C168" s="1" t="s">
        <v>6</v>
      </c>
      <c r="D168" s="1">
        <v>2</v>
      </c>
      <c r="E168">
        <v>36</v>
      </c>
      <c r="F168" s="2">
        <v>14</v>
      </c>
      <c r="G168" s="2">
        <v>45</v>
      </c>
      <c r="H168">
        <f t="shared" si="625"/>
        <v>117</v>
      </c>
      <c r="I168">
        <f t="shared" ref="I168" si="646">2*F168+G168</f>
        <v>73</v>
      </c>
      <c r="J168" s="22">
        <f t="shared" si="627"/>
        <v>95</v>
      </c>
      <c r="K168">
        <f>INT(153/(82/95))</f>
        <v>177</v>
      </c>
      <c r="L168" s="6">
        <f t="shared" si="628"/>
        <v>37.894736842105267</v>
      </c>
      <c r="M168" s="6">
        <f t="shared" si="629"/>
        <v>14.736842105263156</v>
      </c>
      <c r="N168" s="6">
        <f t="shared" si="630"/>
        <v>47.368421052631575</v>
      </c>
      <c r="O168" s="8">
        <f t="shared" si="631"/>
        <v>61.578947368421055</v>
      </c>
      <c r="P168" s="8">
        <f t="shared" si="632"/>
        <v>38.421052631578945</v>
      </c>
      <c r="Q168" s="15">
        <f t="shared" si="592"/>
        <v>6.6764503084242142</v>
      </c>
      <c r="R168" s="6">
        <f t="shared" si="634"/>
        <v>36.023684210526319</v>
      </c>
      <c r="S168" s="6">
        <f t="shared" si="635"/>
        <v>14.023684210526312</v>
      </c>
      <c r="T168" s="6">
        <f t="shared" si="636"/>
        <v>44.952631578947368</v>
      </c>
      <c r="V168">
        <f t="shared" si="637"/>
        <v>1.054851149399047E-4</v>
      </c>
      <c r="W168" s="7">
        <f t="shared" si="638"/>
        <v>0.99180539514843091</v>
      </c>
    </row>
    <row r="169" spans="1:25">
      <c r="A169" s="39"/>
    </row>
    <row r="170" spans="1:25">
      <c r="A170" s="39">
        <v>0</v>
      </c>
      <c r="B170" s="1" t="s">
        <v>7</v>
      </c>
      <c r="C170" s="1" t="s">
        <v>70</v>
      </c>
      <c r="D170" s="1">
        <v>2</v>
      </c>
      <c r="E170" s="22">
        <v>51</v>
      </c>
      <c r="F170" s="22">
        <v>40</v>
      </c>
      <c r="G170" s="22">
        <v>0</v>
      </c>
      <c r="H170" s="22">
        <f>2*E170 + G170</f>
        <v>102</v>
      </c>
      <c r="I170" s="22">
        <f>2*F170+G170</f>
        <v>80</v>
      </c>
      <c r="J170" s="22">
        <f t="shared" ref="J170" si="647">SUM(E170:G170)</f>
        <v>91</v>
      </c>
      <c r="K170" s="22">
        <f>INT(264/(108/95))</f>
        <v>232</v>
      </c>
      <c r="L170" s="25">
        <f t="shared" ref="L170" si="648">100*(E170/(E170+F170+G170))</f>
        <v>56.043956043956044</v>
      </c>
      <c r="M170" s="25">
        <f t="shared" ref="M170" si="649">100*(F170/(E170+F170+G170))</f>
        <v>43.956043956043956</v>
      </c>
      <c r="N170" s="25">
        <f t="shared" ref="N170" si="650">100*(G170/(E170+F170+G170))</f>
        <v>0</v>
      </c>
      <c r="O170" s="8">
        <f t="shared" ref="O170" si="651">100*(H170/(H170+I170))</f>
        <v>56.043956043956044</v>
      </c>
      <c r="P170" s="8">
        <f t="shared" ref="P170" si="652">100*(I170/(H170+I170))</f>
        <v>43.956043956043956</v>
      </c>
      <c r="Q170" s="15">
        <f t="shared" ref="Q170" si="653">1.96*SQRT((O170/100)*(P170/100)*(K170-J170)/(J170*(K170-1)))*100</f>
        <v>7.9673268321989861</v>
      </c>
      <c r="R170" s="25">
        <f t="shared" ref="R170" si="654">J170*(O170/100)^2</f>
        <v>28.582417582417584</v>
      </c>
      <c r="S170" s="25">
        <f t="shared" ref="S170" si="655">(P170/100)^2*J170</f>
        <v>17.58241758241758</v>
      </c>
      <c r="T170" s="25">
        <f t="shared" ref="T170" si="656">(O170/100)*(P170/100)*2*J170</f>
        <v>44.835164835164839</v>
      </c>
      <c r="U170" s="22"/>
      <c r="V170" s="22">
        <f>SUM((E170-R170)^2/R170,(F170-S170)^2/S170,(G170-T170)^2/T170)</f>
        <v>91</v>
      </c>
      <c r="W170" s="26">
        <f t="shared" ref="W170" si="657">_xlfn.CHISQ.DIST.RT(V170, 1)</f>
        <v>1.4367211464103865E-21</v>
      </c>
      <c r="Y170" t="s">
        <v>69</v>
      </c>
    </row>
    <row r="171" spans="1:25">
      <c r="A171" s="44"/>
      <c r="B171" s="1"/>
      <c r="C171" s="1"/>
      <c r="D171" s="1"/>
      <c r="E171" s="22"/>
      <c r="F171" s="22"/>
      <c r="G171" s="22"/>
      <c r="H171" s="22"/>
      <c r="I171" s="22"/>
      <c r="J171" s="22"/>
      <c r="K171" s="22"/>
      <c r="L171" s="25"/>
      <c r="M171" s="25"/>
      <c r="N171" s="25"/>
      <c r="O171" s="8"/>
      <c r="P171" s="8"/>
      <c r="Q171" s="15"/>
      <c r="R171" s="25"/>
      <c r="S171" s="25"/>
      <c r="T171" s="25"/>
      <c r="U171" s="22"/>
      <c r="V171" s="22"/>
      <c r="W171" s="26"/>
    </row>
    <row r="172" spans="1:25">
      <c r="A172" s="39">
        <v>40</v>
      </c>
      <c r="B172" s="1" t="s">
        <v>7</v>
      </c>
      <c r="C172" s="1" t="s">
        <v>8</v>
      </c>
      <c r="D172" s="1">
        <v>2</v>
      </c>
      <c r="E172">
        <v>30</v>
      </c>
      <c r="F172" s="2">
        <v>17</v>
      </c>
      <c r="G172" s="2">
        <v>48</v>
      </c>
      <c r="H172" s="22">
        <f t="shared" ref="H172" si="658">2*E172 + G172</f>
        <v>108</v>
      </c>
      <c r="I172" s="22">
        <f t="shared" ref="I172" si="659">2*F172+G172</f>
        <v>82</v>
      </c>
      <c r="J172" s="22">
        <f t="shared" ref="J172" si="660">SUM(E172:G172)</f>
        <v>95</v>
      </c>
      <c r="K172">
        <f>INT(400/(79/95))</f>
        <v>481</v>
      </c>
      <c r="L172" s="25">
        <f t="shared" ref="L172" si="661">100*(E172/(E172+F172+G172))</f>
        <v>31.578947368421051</v>
      </c>
      <c r="M172" s="25">
        <f t="shared" ref="M172" si="662">100*(F172/(E172+F172+G172))</f>
        <v>17.894736842105264</v>
      </c>
      <c r="N172" s="25">
        <f t="shared" ref="N172" si="663">100*(G172/(E172+F172+G172))</f>
        <v>50.526315789473685</v>
      </c>
      <c r="O172" s="8">
        <f t="shared" ref="O172" si="664">100*(H172/(H172+I172))</f>
        <v>56.84210526315789</v>
      </c>
      <c r="P172" s="8">
        <f t="shared" ref="P172" si="665">100*(I172/(H172+I172))</f>
        <v>43.15789473684211</v>
      </c>
      <c r="Q172" s="15">
        <f t="shared" ref="Q172" si="666">1.96*SQRT((O172/100)*(P172/100)*(K172-J172)/(J172*(K172-1)))*100</f>
        <v>8.9316666395746029</v>
      </c>
      <c r="R172" s="25">
        <f t="shared" ref="R172" si="667">J172*(O172/100)^2</f>
        <v>30.694736842105261</v>
      </c>
      <c r="S172" s="25">
        <f t="shared" ref="S172" si="668">(P172/100)^2*J172</f>
        <v>17.694736842105268</v>
      </c>
      <c r="T172" s="25">
        <f t="shared" ref="T172" si="669">(O172/100)*(P172/100)*2*J172</f>
        <v>46.610526315789485</v>
      </c>
      <c r="U172" s="22"/>
      <c r="V172" s="22">
        <f t="shared" ref="V172" si="670">SUM((E172-R172)^2/R172,(F172-S172)^2/S172,(G172-T172)^2/T172)</f>
        <v>8.4422117933916019E-2</v>
      </c>
      <c r="W172" s="26">
        <f t="shared" ref="W172" si="671">_xlfn.CHISQ.DIST.RT(V172, 1)</f>
        <v>0.77139179920324918</v>
      </c>
    </row>
    <row r="173" spans="1:25">
      <c r="A173" s="39">
        <v>35</v>
      </c>
      <c r="B173" s="1" t="s">
        <v>7</v>
      </c>
      <c r="C173" s="1" t="s">
        <v>8</v>
      </c>
      <c r="D173" s="1">
        <v>2</v>
      </c>
      <c r="E173">
        <v>36</v>
      </c>
      <c r="F173" s="2">
        <v>10</v>
      </c>
      <c r="G173" s="2">
        <v>41</v>
      </c>
      <c r="H173" s="22">
        <f t="shared" ref="H173" si="672">2*E173 + G173</f>
        <v>113</v>
      </c>
      <c r="I173" s="22">
        <f t="shared" ref="I173" si="673">2*F173+G173</f>
        <v>61</v>
      </c>
      <c r="J173" s="22">
        <f t="shared" ref="J173" si="674">SUM(E173:G173)</f>
        <v>87</v>
      </c>
      <c r="K173">
        <v>87</v>
      </c>
      <c r="L173" s="25">
        <f t="shared" ref="L173" si="675">100*(E173/(E173+F173+G173))</f>
        <v>41.379310344827587</v>
      </c>
      <c r="M173" s="25">
        <f t="shared" ref="M173" si="676">100*(F173/(E173+F173+G173))</f>
        <v>11.494252873563218</v>
      </c>
      <c r="N173" s="25">
        <f t="shared" ref="N173" si="677">100*(G173/(E173+F173+G173))</f>
        <v>47.126436781609193</v>
      </c>
      <c r="O173" s="8">
        <f t="shared" ref="O173" si="678">100*(H173/(H173+I173))</f>
        <v>64.942528735632195</v>
      </c>
      <c r="P173" s="8">
        <f t="shared" ref="P173" si="679">100*(I173/(H173+I173))</f>
        <v>35.05747126436782</v>
      </c>
      <c r="Q173" s="15">
        <f t="shared" ref="Q173" si="680">1.96*SQRT((O173/100)*(P173/100)*(K173-J173)/(J173*(K173-1)))*100</f>
        <v>0</v>
      </c>
      <c r="R173" s="25">
        <f t="shared" ref="R173" si="681">J173*(O173/100)^2</f>
        <v>36.692528735632202</v>
      </c>
      <c r="S173" s="25">
        <f t="shared" ref="S173" si="682">(P173/100)^2*J173</f>
        <v>10.692528735632186</v>
      </c>
      <c r="T173" s="25">
        <f t="shared" ref="T173" si="683">(O173/100)*(P173/100)*2*J173</f>
        <v>39.614942528735639</v>
      </c>
      <c r="U173" s="22"/>
      <c r="V173" s="22">
        <f t="shared" ref="V173" si="684">SUM((E173-R173)^2/R173,(F173-S173)^2/S173,(G173-T173)^2/T173)</f>
        <v>0.10634982528841502</v>
      </c>
      <c r="W173" s="26">
        <f t="shared" ref="W173" si="685">_xlfn.CHISQ.DIST.RT(V173, 1)</f>
        <v>0.74433870329587004</v>
      </c>
    </row>
    <row r="174" spans="1:25">
      <c r="A174" s="39">
        <v>30</v>
      </c>
      <c r="B174" s="1" t="s">
        <v>7</v>
      </c>
      <c r="C174" s="1" t="s">
        <v>8</v>
      </c>
      <c r="D174" s="1">
        <v>2</v>
      </c>
      <c r="E174">
        <v>38</v>
      </c>
      <c r="F174" s="2">
        <v>11</v>
      </c>
      <c r="G174" s="2">
        <v>35</v>
      </c>
      <c r="H174" s="22">
        <f t="shared" ref="H174:H181" si="686">2*E174 + G174</f>
        <v>111</v>
      </c>
      <c r="I174" s="22">
        <f t="shared" ref="I174:I181" si="687">2*F174+G174</f>
        <v>57</v>
      </c>
      <c r="J174" s="22">
        <f t="shared" ref="J174" si="688">SUM(E174:G174)</f>
        <v>84</v>
      </c>
      <c r="K174">
        <f>INT(229/(90.8/95))</f>
        <v>239</v>
      </c>
      <c r="L174" s="25">
        <f t="shared" ref="L174" si="689">100*(E174/(E174+F174+G174))</f>
        <v>45.238095238095241</v>
      </c>
      <c r="M174" s="25">
        <f t="shared" ref="M174" si="690">100*(F174/(E174+F174+G174))</f>
        <v>13.095238095238097</v>
      </c>
      <c r="N174" s="25">
        <f t="shared" ref="N174" si="691">100*(G174/(E174+F174+G174))</f>
        <v>41.666666666666671</v>
      </c>
      <c r="O174" s="8">
        <f t="shared" ref="O174" si="692">100*(H174/(H174+I174))</f>
        <v>66.071428571428569</v>
      </c>
      <c r="P174" s="8">
        <f t="shared" ref="P174" si="693">100*(I174/(H174+I174))</f>
        <v>33.928571428571431</v>
      </c>
      <c r="Q174" s="15">
        <f t="shared" ref="Q174" si="694">1.96*SQRT((O174/100)*(P174/100)*(K174-J174)/(J174*(K174-1)))*100</f>
        <v>8.1711547291581219</v>
      </c>
      <c r="R174" s="25">
        <f t="shared" ref="R174" si="695">J174*(O174/100)^2</f>
        <v>36.669642857142854</v>
      </c>
      <c r="S174" s="25">
        <f t="shared" ref="S174" si="696">(P174/100)^2*J174</f>
        <v>9.6696428571428577</v>
      </c>
      <c r="T174" s="25">
        <f t="shared" ref="T174" si="697">(O174/100)*(P174/100)*2*J174</f>
        <v>37.660714285714292</v>
      </c>
      <c r="U174" s="22"/>
      <c r="V174" s="22">
        <f t="shared" ref="V174:V181" si="698">SUM((E174-R174)^2/R174,(F174-S174)^2/S174,(G174-T174)^2/T174)</f>
        <v>0.41927470631521035</v>
      </c>
      <c r="W174" s="26">
        <f t="shared" ref="W174" si="699">_xlfn.CHISQ.DIST.RT(V174, 1)</f>
        <v>0.51729917372124445</v>
      </c>
    </row>
    <row r="175" spans="1:25">
      <c r="A175" s="39">
        <v>25</v>
      </c>
      <c r="B175" s="1" t="s">
        <v>7</v>
      </c>
      <c r="C175" s="1" t="s">
        <v>8</v>
      </c>
      <c r="D175" s="1">
        <v>2</v>
      </c>
      <c r="E175">
        <v>34</v>
      </c>
      <c r="F175" s="2">
        <v>5</v>
      </c>
      <c r="G175" s="2">
        <v>43</v>
      </c>
      <c r="H175" s="22">
        <f t="shared" si="686"/>
        <v>111</v>
      </c>
      <c r="I175" s="22">
        <f t="shared" si="687"/>
        <v>53</v>
      </c>
      <c r="J175" s="22">
        <f t="shared" ref="J175" si="700">SUM(E175:G175)</f>
        <v>82</v>
      </c>
      <c r="K175">
        <f>INT(116/1)</f>
        <v>116</v>
      </c>
      <c r="L175" s="25">
        <f t="shared" ref="L175" si="701">100*(E175/(E175+F175+G175))</f>
        <v>41.463414634146339</v>
      </c>
      <c r="M175" s="25">
        <f t="shared" ref="M175" si="702">100*(F175/(E175+F175+G175))</f>
        <v>6.0975609756097562</v>
      </c>
      <c r="N175" s="25">
        <f t="shared" ref="N175" si="703">100*(G175/(E175+F175+G175))</f>
        <v>52.439024390243901</v>
      </c>
      <c r="O175" s="8">
        <f t="shared" ref="O175" si="704">100*(H175/(H175+I175))</f>
        <v>67.682926829268297</v>
      </c>
      <c r="P175" s="8">
        <f t="shared" ref="P175" si="705">100*(I175/(H175+I175))</f>
        <v>32.31707317073171</v>
      </c>
      <c r="Q175" s="15">
        <f t="shared" ref="Q175" si="706">1.96*SQRT((O175/100)*(P175/100)*(K175-J175)/(J175*(K175-1)))*100</f>
        <v>5.5042133540459535</v>
      </c>
      <c r="R175" s="25">
        <f t="shared" ref="R175" si="707">J175*(O175/100)^2</f>
        <v>37.564024390243908</v>
      </c>
      <c r="S175" s="25">
        <f t="shared" ref="S175" si="708">(P175/100)^2*J175</f>
        <v>8.5640243902439028</v>
      </c>
      <c r="T175" s="25">
        <f t="shared" ref="T175" si="709">(O175/100)*(P175/100)*2*J175</f>
        <v>35.871951219512198</v>
      </c>
      <c r="U175" s="22"/>
      <c r="V175" s="22">
        <f t="shared" si="698"/>
        <v>3.2377639105627329</v>
      </c>
      <c r="W175" s="26">
        <f t="shared" ref="W175" si="710">_xlfn.CHISQ.DIST.RT(V175, 1)</f>
        <v>7.1958787578305747E-2</v>
      </c>
    </row>
    <row r="176" spans="1:25">
      <c r="A176" s="39">
        <v>20</v>
      </c>
      <c r="B176" s="1" t="s">
        <v>7</v>
      </c>
      <c r="C176" s="1" t="s">
        <v>8</v>
      </c>
      <c r="D176" s="1">
        <v>2</v>
      </c>
      <c r="E176">
        <v>32</v>
      </c>
      <c r="F176" s="2">
        <v>11</v>
      </c>
      <c r="G176" s="2">
        <v>47</v>
      </c>
      <c r="H176" s="22">
        <f t="shared" si="686"/>
        <v>111</v>
      </c>
      <c r="I176" s="22">
        <f t="shared" si="687"/>
        <v>69</v>
      </c>
      <c r="J176" s="22">
        <f t="shared" ref="J176" si="711">SUM(E176:G176)</f>
        <v>90</v>
      </c>
      <c r="K176">
        <f>INT(427/(82.5/95))</f>
        <v>491</v>
      </c>
      <c r="L176" s="25">
        <f t="shared" ref="L176" si="712">100*(E176/(E176+F176+G176))</f>
        <v>35.555555555555557</v>
      </c>
      <c r="M176" s="25">
        <f t="shared" ref="M176" si="713">100*(F176/(E176+F176+G176))</f>
        <v>12.222222222222221</v>
      </c>
      <c r="N176" s="25">
        <f t="shared" ref="N176" si="714">100*(G176/(E176+F176+G176))</f>
        <v>52.222222222222229</v>
      </c>
      <c r="O176" s="8">
        <f t="shared" ref="O176" si="715">100*(H176/(H176+I176))</f>
        <v>61.666666666666671</v>
      </c>
      <c r="P176" s="8">
        <f t="shared" ref="P176" si="716">100*(I176/(H176+I176))</f>
        <v>38.333333333333336</v>
      </c>
      <c r="Q176" s="15">
        <f t="shared" ref="Q176" si="717">1.96*SQRT((O176/100)*(P176/100)*(K176-J176)/(J176*(K176-1)))*100</f>
        <v>9.0870411052983968</v>
      </c>
      <c r="R176" s="25">
        <f t="shared" ref="R176" si="718">J176*(O176/100)^2</f>
        <v>34.225000000000001</v>
      </c>
      <c r="S176" s="25">
        <f t="shared" ref="S176" si="719">(P176/100)^2*J176</f>
        <v>13.225000000000001</v>
      </c>
      <c r="T176" s="25">
        <f t="shared" ref="T176" si="720">(O176/100)*(P176/100)*2*J176</f>
        <v>42.550000000000004</v>
      </c>
      <c r="U176" s="22"/>
      <c r="V176" s="22">
        <f t="shared" si="698"/>
        <v>0.98438140792404294</v>
      </c>
      <c r="W176" s="26">
        <f t="shared" ref="W176" si="721">_xlfn.CHISQ.DIST.RT(V176, 1)</f>
        <v>0.32111949572298848</v>
      </c>
    </row>
    <row r="177" spans="1:25">
      <c r="A177" s="58">
        <v>15</v>
      </c>
      <c r="B177" s="1" t="s">
        <v>7</v>
      </c>
      <c r="C177" s="1" t="s">
        <v>8</v>
      </c>
      <c r="D177" s="1">
        <v>2</v>
      </c>
      <c r="E177">
        <v>42</v>
      </c>
      <c r="F177" s="2">
        <v>6</v>
      </c>
      <c r="G177" s="2">
        <v>39</v>
      </c>
      <c r="H177" s="22">
        <f t="shared" si="686"/>
        <v>123</v>
      </c>
      <c r="I177" s="22">
        <f t="shared" si="687"/>
        <v>51</v>
      </c>
      <c r="J177" s="22">
        <f t="shared" ref="J177" si="722">SUM(E177:G177)</f>
        <v>87</v>
      </c>
      <c r="K177">
        <f>INT(128/(96/95))</f>
        <v>126</v>
      </c>
      <c r="L177" s="25">
        <f t="shared" ref="L177" si="723">100*(E177/(E177+F177+G177))</f>
        <v>48.275862068965516</v>
      </c>
      <c r="M177" s="25">
        <f t="shared" ref="M177" si="724">100*(F177/(E177+F177+G177))</f>
        <v>6.8965517241379306</v>
      </c>
      <c r="N177" s="25">
        <f t="shared" ref="N177" si="725">100*(G177/(E177+F177+G177))</f>
        <v>44.827586206896555</v>
      </c>
      <c r="O177" s="8">
        <f t="shared" ref="O177" si="726">100*(H177/(H177+I177))</f>
        <v>70.689655172413794</v>
      </c>
      <c r="P177" s="8">
        <f t="shared" ref="P177" si="727">100*(I177/(H177+I177))</f>
        <v>29.310344827586203</v>
      </c>
      <c r="Q177" s="15">
        <f t="shared" ref="Q177" si="728">1.96*SQRT((O177/100)*(P177/100)*(K177-J177)/(J177*(K177-1)))*100</f>
        <v>5.3427165943601196</v>
      </c>
      <c r="R177" s="25">
        <f t="shared" ref="R177" si="729">J177*(O177/100)^2</f>
        <v>43.474137931034477</v>
      </c>
      <c r="S177" s="25">
        <f t="shared" ref="S177" si="730">(P177/100)^2*J177</f>
        <v>7.4741379310344813</v>
      </c>
      <c r="T177" s="25">
        <f t="shared" ref="T177" si="731">(O177/100)*(P177/100)*2*J177</f>
        <v>36.051724137931032</v>
      </c>
      <c r="U177" s="22"/>
      <c r="V177" s="22">
        <f t="shared" si="698"/>
        <v>0.58183977653769237</v>
      </c>
      <c r="W177" s="26">
        <f t="shared" ref="W177" si="732">_xlfn.CHISQ.DIST.RT(V177, 1)</f>
        <v>0.44559208949694873</v>
      </c>
    </row>
    <row r="178" spans="1:25">
      <c r="A178" s="64">
        <v>11</v>
      </c>
    </row>
    <row r="179" spans="1:25">
      <c r="A179" s="39">
        <v>10</v>
      </c>
      <c r="B179" s="61" t="s">
        <v>7</v>
      </c>
      <c r="C179" s="61" t="s">
        <v>8</v>
      </c>
      <c r="D179" s="61">
        <v>2</v>
      </c>
      <c r="E179" s="85">
        <v>5</v>
      </c>
      <c r="F179" s="86">
        <v>12</v>
      </c>
      <c r="G179" s="86">
        <v>17</v>
      </c>
      <c r="H179" s="87">
        <f t="shared" si="686"/>
        <v>27</v>
      </c>
      <c r="I179" s="87">
        <f t="shared" si="687"/>
        <v>41</v>
      </c>
      <c r="J179" s="87">
        <f t="shared" ref="J179:J181" si="733">SUM(E179:G179)</f>
        <v>34</v>
      </c>
      <c r="K179" s="59" t="s">
        <v>73</v>
      </c>
      <c r="L179" s="88">
        <f t="shared" ref="L179:L181" si="734">100*(E179/(E179+F179+G179))</f>
        <v>14.705882352941178</v>
      </c>
      <c r="M179" s="88">
        <f t="shared" ref="M179:M181" si="735">100*(F179/(E179+F179+G179))</f>
        <v>35.294117647058826</v>
      </c>
      <c r="N179" s="88">
        <f t="shared" ref="N179:N181" si="736">100*(G179/(E179+F179+G179))</f>
        <v>50</v>
      </c>
      <c r="O179" s="89">
        <f t="shared" ref="O179:O181" si="737">100*(H179/(H179+I179))</f>
        <v>39.705882352941174</v>
      </c>
      <c r="P179" s="89">
        <f t="shared" ref="P179:P181" si="738">100*(I179/(H179+I179))</f>
        <v>60.294117647058819</v>
      </c>
      <c r="Q179" s="90" t="e">
        <f t="shared" ref="Q179:Q181" si="739">1.96*SQRT((O179/100)*(P179/100)*(K179-J179)/(J179*(K179-1)))*100</f>
        <v>#VALUE!</v>
      </c>
      <c r="R179" s="88">
        <f t="shared" ref="R179:R181" si="740">J179*(O179/100)^2</f>
        <v>5.360294117647058</v>
      </c>
      <c r="S179" s="88">
        <f t="shared" ref="S179:S181" si="741">(P179/100)^2*J179</f>
        <v>12.360294117647058</v>
      </c>
      <c r="T179" s="88">
        <f t="shared" ref="T179:T181" si="742">(O179/100)*(P179/100)*2*J179</f>
        <v>16.27941176470588</v>
      </c>
      <c r="U179" s="87"/>
      <c r="V179" s="87">
        <f t="shared" si="698"/>
        <v>6.6615583349449892E-2</v>
      </c>
      <c r="W179" s="91">
        <f t="shared" ref="W179:W181" si="743">_xlfn.CHISQ.DIST.RT(V179, 1)</f>
        <v>0.79632977142330441</v>
      </c>
    </row>
    <row r="180" spans="1:25">
      <c r="A180" s="39">
        <v>9</v>
      </c>
      <c r="B180" s="1" t="s">
        <v>7</v>
      </c>
      <c r="C180" s="1" t="s">
        <v>8</v>
      </c>
      <c r="D180" s="1">
        <v>2</v>
      </c>
      <c r="E180">
        <v>16</v>
      </c>
      <c r="F180" s="22">
        <v>20</v>
      </c>
      <c r="G180" s="22">
        <v>58</v>
      </c>
      <c r="H180" s="48">
        <f t="shared" ref="H180" si="744">2*E180 + G180</f>
        <v>90</v>
      </c>
      <c r="I180" s="48">
        <f t="shared" ref="I180" si="745">2*F180+G180</f>
        <v>98</v>
      </c>
      <c r="J180" s="48">
        <f>SUM(E180:G180)</f>
        <v>94</v>
      </c>
      <c r="K180">
        <v>217</v>
      </c>
      <c r="L180" s="25">
        <f>100*(E180/(E180+F180+G180))</f>
        <v>17.021276595744681</v>
      </c>
      <c r="M180" s="25">
        <f>100*(F180/(E180+F180+G180))</f>
        <v>21.276595744680851</v>
      </c>
      <c r="N180" s="25">
        <f>100*(G180/(E180+F180+G180))</f>
        <v>61.702127659574465</v>
      </c>
      <c r="O180" s="8">
        <f>100*(H180/(H180+I180))</f>
        <v>47.872340425531917</v>
      </c>
      <c r="P180" s="8">
        <f>100*(I180/(H180+I180))</f>
        <v>52.12765957446809</v>
      </c>
      <c r="Q180" s="54">
        <f>1.96*SQRT((O180/100)*(P180/100)*(K180-J180)/(J180*(K180-1)))*100</f>
        <v>7.6206895186007566</v>
      </c>
      <c r="R180" s="25">
        <f>J180*(O180/100)^2</f>
        <v>21.542553191489365</v>
      </c>
      <c r="S180" s="25">
        <f>(P180/100)^2*J180</f>
        <v>25.542553191489365</v>
      </c>
      <c r="T180" s="25">
        <f>(O180/100)*(P180/100)*2*J180</f>
        <v>46.914893617021278</v>
      </c>
      <c r="U180" s="22"/>
      <c r="V180" s="22">
        <f t="shared" ref="V180" si="746">SUM((E180-R180)^2/R180,(F180-S180)^2/S180,(G180-T180)^2/T180)</f>
        <v>5.2479067878096082</v>
      </c>
      <c r="W180" s="28">
        <f>_xlfn.CHISQ.DIST.RT(V180, 1)</f>
        <v>2.1973188474589293E-2</v>
      </c>
    </row>
    <row r="181" spans="1:25">
      <c r="A181" s="39">
        <v>5</v>
      </c>
      <c r="B181" s="1" t="s">
        <v>7</v>
      </c>
      <c r="C181" s="1" t="s">
        <v>8</v>
      </c>
      <c r="D181" s="1">
        <v>2</v>
      </c>
      <c r="E181" s="56">
        <v>28</v>
      </c>
      <c r="F181" s="57">
        <v>2</v>
      </c>
      <c r="G181" s="57">
        <v>41</v>
      </c>
      <c r="H181" s="22">
        <f t="shared" si="686"/>
        <v>97</v>
      </c>
      <c r="I181" s="22">
        <f t="shared" si="687"/>
        <v>45</v>
      </c>
      <c r="J181" s="22">
        <f t="shared" si="733"/>
        <v>71</v>
      </c>
      <c r="K181">
        <f>INT(244/(85.8/95))</f>
        <v>270</v>
      </c>
      <c r="L181" s="25">
        <f t="shared" si="734"/>
        <v>39.436619718309856</v>
      </c>
      <c r="M181" s="25">
        <f t="shared" si="735"/>
        <v>2.8169014084507045</v>
      </c>
      <c r="N181" s="25">
        <f t="shared" si="736"/>
        <v>57.74647887323944</v>
      </c>
      <c r="O181" s="8">
        <f t="shared" si="737"/>
        <v>68.309859154929569</v>
      </c>
      <c r="P181" s="8">
        <f t="shared" si="738"/>
        <v>31.690140845070424</v>
      </c>
      <c r="Q181" s="15">
        <f t="shared" si="739"/>
        <v>9.3085294016600848</v>
      </c>
      <c r="R181" s="25">
        <f t="shared" si="740"/>
        <v>33.130281690140833</v>
      </c>
      <c r="S181" s="25">
        <f t="shared" si="741"/>
        <v>7.1302816901408459</v>
      </c>
      <c r="T181" s="25">
        <f t="shared" si="742"/>
        <v>30.739436619718305</v>
      </c>
      <c r="U181" s="22"/>
      <c r="V181" s="22">
        <f t="shared" si="698"/>
        <v>7.9105914615504735</v>
      </c>
      <c r="W181" s="28">
        <f t="shared" si="743"/>
        <v>4.9146198640940796E-3</v>
      </c>
    </row>
    <row r="182" spans="1:25">
      <c r="A182" s="39"/>
    </row>
    <row r="183" spans="1:25">
      <c r="A183" s="39">
        <v>0</v>
      </c>
      <c r="B183" s="1" t="s">
        <v>7</v>
      </c>
      <c r="C183" s="1" t="s">
        <v>8</v>
      </c>
      <c r="D183" s="1">
        <v>2</v>
      </c>
      <c r="E183" s="22">
        <v>38</v>
      </c>
      <c r="F183" s="22">
        <v>51</v>
      </c>
      <c r="G183" s="22">
        <v>0</v>
      </c>
      <c r="H183" s="22">
        <f>2*E183 + G183</f>
        <v>76</v>
      </c>
      <c r="I183" s="22">
        <f>2*F183+G183</f>
        <v>102</v>
      </c>
      <c r="J183" s="22">
        <f t="shared" ref="J183" si="747">SUM(E183:G183)</f>
        <v>89</v>
      </c>
      <c r="K183" s="22">
        <f>INT(179/(101/95))</f>
        <v>168</v>
      </c>
      <c r="L183" s="25">
        <f t="shared" ref="L183" si="748">100*(E183/(E183+F183+G183))</f>
        <v>42.696629213483142</v>
      </c>
      <c r="M183" s="25">
        <f t="shared" ref="M183" si="749">100*(F183/(E183+F183+G183))</f>
        <v>57.303370786516851</v>
      </c>
      <c r="N183" s="25">
        <f t="shared" ref="N183" si="750">100*(G183/(E183+F183+G183))</f>
        <v>0</v>
      </c>
      <c r="O183" s="8">
        <f t="shared" ref="O183" si="751">100*(H183/(H183+I183))</f>
        <v>42.696629213483142</v>
      </c>
      <c r="P183" s="8">
        <f t="shared" ref="P183" si="752">100*(I183/(H183+I183))</f>
        <v>57.303370786516851</v>
      </c>
      <c r="Q183" s="15">
        <f t="shared" ref="Q183" si="753">1.96*SQRT((O183/100)*(P183/100)*(K183-J183)/(J183*(K183-1)))*100</f>
        <v>7.0681093175397214</v>
      </c>
      <c r="R183" s="25">
        <f t="shared" ref="R183" si="754">J183*(O183/100)^2</f>
        <v>16.22471910112359</v>
      </c>
      <c r="S183" s="25">
        <f t="shared" ref="S183" si="755">(P183/100)^2*J183</f>
        <v>29.224719101123593</v>
      </c>
      <c r="T183" s="25">
        <f t="shared" ref="T183" si="756">(O183/100)*(P183/100)*2*J183</f>
        <v>43.550561797752799</v>
      </c>
      <c r="U183" s="22"/>
      <c r="V183" s="22">
        <f>SUM((E183-R183)^2/R183,(F183-S183)^2/S183,(G183-T183)^2/T183)</f>
        <v>89.000000000000028</v>
      </c>
      <c r="W183" s="26">
        <f t="shared" ref="W183" si="757">_xlfn.CHISQ.DIST.RT(V183, 1)</f>
        <v>3.9481253001641316E-21</v>
      </c>
      <c r="Y183" t="s">
        <v>69</v>
      </c>
    </row>
    <row r="184" spans="1:25">
      <c r="A184" s="44"/>
      <c r="B184" s="1"/>
      <c r="C184" s="1"/>
      <c r="D184" s="1"/>
      <c r="E184" s="22"/>
      <c r="F184" s="22"/>
      <c r="G184" s="22"/>
      <c r="H184" s="22"/>
      <c r="I184" s="22"/>
      <c r="J184" s="22"/>
      <c r="K184" s="22"/>
      <c r="L184" s="25"/>
      <c r="M184" s="25"/>
      <c r="N184" s="25"/>
      <c r="O184" s="8"/>
      <c r="P184" s="8"/>
      <c r="Q184" s="15"/>
      <c r="R184" s="25"/>
      <c r="S184" s="25"/>
      <c r="T184" s="25"/>
      <c r="U184" s="22"/>
      <c r="V184" s="22"/>
      <c r="W184" s="26"/>
    </row>
    <row r="185" spans="1:25">
      <c r="A185" s="39">
        <v>40</v>
      </c>
      <c r="B185" s="1" t="s">
        <v>12</v>
      </c>
      <c r="C185" s="1" t="s">
        <v>5</v>
      </c>
      <c r="D185" s="1">
        <v>2</v>
      </c>
      <c r="E185" s="22">
        <v>41</v>
      </c>
      <c r="F185" s="22">
        <v>5</v>
      </c>
      <c r="G185" s="22">
        <v>44</v>
      </c>
      <c r="H185">
        <f t="shared" ref="H185" si="758">2*E185 + G185</f>
        <v>126</v>
      </c>
      <c r="I185">
        <f t="shared" ref="I185" si="759">2*F185+G185</f>
        <v>54</v>
      </c>
      <c r="J185" s="22">
        <f t="shared" ref="J185" si="760">SUM(E185:G185)</f>
        <v>90</v>
      </c>
      <c r="K185" s="22">
        <f>INT(114.4/(84.8/95))</f>
        <v>128</v>
      </c>
      <c r="L185" s="6">
        <f t="shared" ref="L185" si="761">100*(E185/(E185+F185+G185))</f>
        <v>45.555555555555557</v>
      </c>
      <c r="M185" s="6">
        <f t="shared" ref="M185" si="762">100*(F185/(E185+F185+G185))</f>
        <v>5.5555555555555554</v>
      </c>
      <c r="N185" s="6">
        <f t="shared" ref="N185" si="763">100*(G185/(E185+F185+G185))</f>
        <v>48.888888888888886</v>
      </c>
      <c r="O185" s="8">
        <f t="shared" ref="O185" si="764">100*(H185/(H185+I185))</f>
        <v>70</v>
      </c>
      <c r="P185" s="8">
        <f t="shared" ref="P185" si="765">100*(I185/(H185+I185))</f>
        <v>30</v>
      </c>
      <c r="Q185" s="15">
        <f t="shared" ref="Q185:Q192" si="766">1.96*SQRT((O185/100)*(P185/100)*(K185-J185)/(J185*(K185-1)))*100</f>
        <v>5.1788627537879561</v>
      </c>
      <c r="R185" s="6">
        <f t="shared" ref="R185" si="767">J185*(O185/100)^2</f>
        <v>44.099999999999994</v>
      </c>
      <c r="S185" s="6">
        <f t="shared" ref="S185" si="768">(P185/100)^2*J185</f>
        <v>8.1</v>
      </c>
      <c r="T185" s="6">
        <f t="shared" ref="T185" si="769">(O185/100)*(P185/100)*2*J185</f>
        <v>37.799999999999997</v>
      </c>
      <c r="V185">
        <f t="shared" ref="V185" si="770">SUM((E185-R185)^2/R185,(F185-S185)^2/S185,(G185-T185)^2/T185)</f>
        <v>2.4212648022171832</v>
      </c>
      <c r="W185" s="26">
        <f t="shared" ref="W185" si="771">_xlfn.CHISQ.DIST.RT(V185, 1)</f>
        <v>0.11969825087317316</v>
      </c>
    </row>
    <row r="186" spans="1:25">
      <c r="A186" s="64">
        <v>36</v>
      </c>
      <c r="B186" s="1" t="s">
        <v>12</v>
      </c>
      <c r="C186" s="1" t="s">
        <v>5</v>
      </c>
      <c r="D186" s="1">
        <v>2</v>
      </c>
      <c r="E186" s="22">
        <v>37</v>
      </c>
      <c r="F186" s="22">
        <v>16</v>
      </c>
      <c r="G186" s="22">
        <v>42</v>
      </c>
      <c r="H186">
        <f t="shared" ref="H186" si="772">2*E186 + G186</f>
        <v>116</v>
      </c>
      <c r="I186">
        <f t="shared" ref="I186" si="773">2*F186+G186</f>
        <v>74</v>
      </c>
      <c r="J186" s="22">
        <f t="shared" ref="J186:J192" si="774">SUM(E186:G186)</f>
        <v>95</v>
      </c>
      <c r="K186" s="22">
        <v>436</v>
      </c>
      <c r="L186" s="6">
        <f t="shared" ref="L186" si="775">100*(E186/(E186+F186+G186))</f>
        <v>38.94736842105263</v>
      </c>
      <c r="M186" s="6">
        <f t="shared" ref="M186" si="776">100*(F186/(E186+F186+G186))</f>
        <v>16.842105263157894</v>
      </c>
      <c r="N186" s="6">
        <f t="shared" ref="N186" si="777">100*(G186/(E186+F186+G186))</f>
        <v>44.210526315789473</v>
      </c>
      <c r="O186" s="8">
        <f t="shared" ref="O186" si="778">100*(H186/(H186+I186))</f>
        <v>61.05263157894737</v>
      </c>
      <c r="P186" s="8">
        <f t="shared" ref="P186" si="779">100*(I186/(H186+I186))</f>
        <v>38.94736842105263</v>
      </c>
      <c r="Q186" s="15">
        <f t="shared" si="766"/>
        <v>8.6819660503646361</v>
      </c>
      <c r="R186" s="6">
        <f t="shared" ref="R186" si="780">J186*(O186/100)^2</f>
        <v>35.410526315789475</v>
      </c>
      <c r="S186" s="6">
        <f t="shared" ref="S186" si="781">(P186/100)^2*J186</f>
        <v>14.410526315789474</v>
      </c>
      <c r="T186" s="6">
        <f t="shared" ref="T186" si="782">(O186/100)*(P186/100)*2*J186</f>
        <v>45.178947368421049</v>
      </c>
      <c r="V186">
        <f t="shared" ref="V186" si="783">SUM((E186-R186)^2/R186,(F186-S186)^2/S186,(G186-T186)^2/T186)</f>
        <v>0.470346660250892</v>
      </c>
      <c r="W186" s="26">
        <f t="shared" ref="W186" si="784">_xlfn.CHISQ.DIST.RT(V186, 1)</f>
        <v>0.49282773184922046</v>
      </c>
    </row>
    <row r="187" spans="1:25">
      <c r="A187" s="39">
        <v>30</v>
      </c>
      <c r="B187" s="1" t="s">
        <v>12</v>
      </c>
      <c r="C187" s="1" t="s">
        <v>5</v>
      </c>
      <c r="D187" s="1">
        <v>2</v>
      </c>
      <c r="E187" s="22">
        <v>22</v>
      </c>
      <c r="F187" s="22">
        <v>26</v>
      </c>
      <c r="G187" s="22">
        <v>37</v>
      </c>
      <c r="H187">
        <f t="shared" ref="H187:H192" si="785">2*E187 + G187</f>
        <v>81</v>
      </c>
      <c r="I187">
        <f t="shared" ref="I187:I192" si="786">2*F187+G187</f>
        <v>89</v>
      </c>
      <c r="J187" s="22">
        <f t="shared" si="774"/>
        <v>85</v>
      </c>
      <c r="K187" s="22">
        <f>INT(315/(111/95))</f>
        <v>269</v>
      </c>
      <c r="L187" s="6">
        <f t="shared" ref="L187:L192" si="787">100*(E187/(E187+F187+G187))</f>
        <v>25.882352941176475</v>
      </c>
      <c r="M187" s="6">
        <f t="shared" ref="M187:M192" si="788">100*(F187/(E187+F187+G187))</f>
        <v>30.588235294117649</v>
      </c>
      <c r="N187" s="6">
        <f t="shared" ref="N187:N192" si="789">100*(G187/(E187+F187+G187))</f>
        <v>43.529411764705884</v>
      </c>
      <c r="O187" s="8">
        <f t="shared" ref="O187:O192" si="790">100*(H187/(H187+I187))</f>
        <v>47.647058823529406</v>
      </c>
      <c r="P187" s="8">
        <f t="shared" ref="P187:P192" si="791">100*(I187/(H187+I187))</f>
        <v>52.352941176470594</v>
      </c>
      <c r="Q187" s="15">
        <f t="shared" si="766"/>
        <v>8.7978532660674382</v>
      </c>
      <c r="R187" s="6">
        <f t="shared" ref="R187:R192" si="792">J187*(O187/100)^2</f>
        <v>19.297058823529404</v>
      </c>
      <c r="S187" s="6">
        <f t="shared" ref="S187:S192" si="793">(P187/100)^2*J187</f>
        <v>23.297058823529412</v>
      </c>
      <c r="T187" s="6">
        <f t="shared" ref="T187:T192" si="794">(O187/100)*(P187/100)*2*J187</f>
        <v>42.40588235294117</v>
      </c>
      <c r="V187">
        <f t="shared" ref="V187:V192" si="795">SUM((E187-R187)^2/R187,(F187-S187)^2/S187,(G187-T187)^2/T187)</f>
        <v>1.3813378034781478</v>
      </c>
      <c r="W187" s="26">
        <f t="shared" ref="W187:W192" si="796">_xlfn.CHISQ.DIST.RT(V187, 1)</f>
        <v>0.23987340214816705</v>
      </c>
    </row>
    <row r="188" spans="1:25">
      <c r="A188" s="39">
        <v>25</v>
      </c>
      <c r="B188" s="1" t="s">
        <v>12</v>
      </c>
      <c r="C188" s="1" t="s">
        <v>5</v>
      </c>
      <c r="D188" s="1">
        <v>2</v>
      </c>
      <c r="E188" s="22">
        <v>29</v>
      </c>
      <c r="F188" s="22">
        <v>21</v>
      </c>
      <c r="G188" s="22">
        <v>43</v>
      </c>
      <c r="H188">
        <f t="shared" si="785"/>
        <v>101</v>
      </c>
      <c r="I188">
        <f t="shared" si="786"/>
        <v>85</v>
      </c>
      <c r="J188" s="22">
        <f t="shared" si="774"/>
        <v>93</v>
      </c>
      <c r="K188" s="22">
        <f>INT(234/(102/95))</f>
        <v>217</v>
      </c>
      <c r="L188" s="6">
        <f t="shared" si="787"/>
        <v>31.182795698924732</v>
      </c>
      <c r="M188" s="6">
        <f t="shared" si="788"/>
        <v>22.58064516129032</v>
      </c>
      <c r="N188" s="6">
        <f t="shared" si="789"/>
        <v>46.236559139784944</v>
      </c>
      <c r="O188" s="8">
        <f t="shared" si="790"/>
        <v>54.3010752688172</v>
      </c>
      <c r="P188" s="8">
        <f t="shared" si="791"/>
        <v>45.698924731182792</v>
      </c>
      <c r="Q188" s="15">
        <f t="shared" si="766"/>
        <v>7.67106688826461</v>
      </c>
      <c r="R188" s="6">
        <f t="shared" si="792"/>
        <v>27.422043010752681</v>
      </c>
      <c r="S188" s="6">
        <f t="shared" si="793"/>
        <v>19.422043010752688</v>
      </c>
      <c r="T188" s="6">
        <f t="shared" si="794"/>
        <v>46.155913978494617</v>
      </c>
      <c r="V188">
        <f t="shared" si="795"/>
        <v>0.4347890039954696</v>
      </c>
      <c r="W188" s="26">
        <f t="shared" si="796"/>
        <v>0.50964836463554075</v>
      </c>
    </row>
    <row r="189" spans="1:25">
      <c r="A189" s="39">
        <v>20</v>
      </c>
      <c r="B189" s="1" t="s">
        <v>12</v>
      </c>
      <c r="C189" s="1" t="s">
        <v>5</v>
      </c>
      <c r="D189" s="1">
        <v>2</v>
      </c>
      <c r="E189">
        <v>25</v>
      </c>
      <c r="F189" s="2">
        <v>29</v>
      </c>
      <c r="G189" s="2">
        <v>39</v>
      </c>
      <c r="H189">
        <f t="shared" si="785"/>
        <v>89</v>
      </c>
      <c r="I189">
        <f t="shared" si="786"/>
        <v>97</v>
      </c>
      <c r="J189" s="22">
        <f t="shared" si="774"/>
        <v>93</v>
      </c>
      <c r="K189">
        <f>INT(186/(110/95))</f>
        <v>160</v>
      </c>
      <c r="L189" s="6">
        <f t="shared" si="787"/>
        <v>26.881720430107524</v>
      </c>
      <c r="M189" s="6">
        <f t="shared" si="788"/>
        <v>31.182795698924732</v>
      </c>
      <c r="N189" s="6">
        <f t="shared" si="789"/>
        <v>41.935483870967744</v>
      </c>
      <c r="O189" s="8">
        <f t="shared" si="790"/>
        <v>47.8494623655914</v>
      </c>
      <c r="P189" s="8">
        <f t="shared" si="791"/>
        <v>52.1505376344086</v>
      </c>
      <c r="Q189" s="15">
        <f t="shared" si="766"/>
        <v>6.5905454974987077</v>
      </c>
      <c r="R189" s="6">
        <f t="shared" si="792"/>
        <v>21.293010752688176</v>
      </c>
      <c r="S189" s="6">
        <f t="shared" si="793"/>
        <v>25.293010752688172</v>
      </c>
      <c r="T189" s="6">
        <f t="shared" si="794"/>
        <v>46.413978494623656</v>
      </c>
      <c r="V189">
        <f t="shared" si="795"/>
        <v>2.3729467856331126</v>
      </c>
      <c r="W189" s="26">
        <f t="shared" si="796"/>
        <v>0.12345381811477765</v>
      </c>
    </row>
    <row r="190" spans="1:25">
      <c r="A190" s="39">
        <v>15</v>
      </c>
      <c r="B190" s="1" t="s">
        <v>12</v>
      </c>
      <c r="C190" s="1" t="s">
        <v>5</v>
      </c>
      <c r="D190" s="1">
        <v>2</v>
      </c>
      <c r="E190">
        <v>27</v>
      </c>
      <c r="F190" s="2">
        <v>22</v>
      </c>
      <c r="G190" s="2">
        <v>45</v>
      </c>
      <c r="H190">
        <f t="shared" si="785"/>
        <v>99</v>
      </c>
      <c r="I190">
        <f t="shared" si="786"/>
        <v>89</v>
      </c>
      <c r="J190" s="22">
        <f t="shared" si="774"/>
        <v>94</v>
      </c>
      <c r="K190">
        <f>INT(128/(99/95))</f>
        <v>122</v>
      </c>
      <c r="L190" s="6">
        <f t="shared" si="787"/>
        <v>28.723404255319153</v>
      </c>
      <c r="M190" s="6">
        <f t="shared" si="788"/>
        <v>23.404255319148938</v>
      </c>
      <c r="N190" s="6">
        <f t="shared" si="789"/>
        <v>47.872340425531917</v>
      </c>
      <c r="O190" s="8">
        <f t="shared" si="790"/>
        <v>52.659574468085104</v>
      </c>
      <c r="P190" s="8">
        <f t="shared" si="791"/>
        <v>47.340425531914896</v>
      </c>
      <c r="Q190" s="15">
        <f t="shared" si="766"/>
        <v>4.8554918157503648</v>
      </c>
      <c r="R190" s="6">
        <f t="shared" si="792"/>
        <v>26.066489361702125</v>
      </c>
      <c r="S190" s="6">
        <f t="shared" si="793"/>
        <v>21.066489361702132</v>
      </c>
      <c r="T190" s="6">
        <f t="shared" si="794"/>
        <v>46.867021276595743</v>
      </c>
      <c r="V190">
        <f t="shared" si="795"/>
        <v>0.14917350155095588</v>
      </c>
      <c r="W190" s="26">
        <f t="shared" si="796"/>
        <v>0.69932644421967582</v>
      </c>
    </row>
    <row r="191" spans="1:25">
      <c r="A191" s="39">
        <v>10</v>
      </c>
      <c r="B191" s="1" t="s">
        <v>12</v>
      </c>
      <c r="C191" s="1" t="s">
        <v>5</v>
      </c>
      <c r="D191" s="1">
        <v>2</v>
      </c>
      <c r="E191">
        <v>30</v>
      </c>
      <c r="F191" s="2">
        <v>26</v>
      </c>
      <c r="G191" s="2">
        <v>40</v>
      </c>
      <c r="H191">
        <f t="shared" si="785"/>
        <v>100</v>
      </c>
      <c r="I191">
        <f t="shared" si="786"/>
        <v>92</v>
      </c>
      <c r="J191" s="22">
        <f t="shared" si="774"/>
        <v>96</v>
      </c>
      <c r="K191" s="22">
        <f>INT(221/0.905)+95</f>
        <v>339</v>
      </c>
      <c r="L191" s="6">
        <f t="shared" si="787"/>
        <v>31.25</v>
      </c>
      <c r="M191" s="6">
        <f t="shared" si="788"/>
        <v>27.083333333333332</v>
      </c>
      <c r="N191" s="6">
        <f t="shared" si="789"/>
        <v>41.666666666666671</v>
      </c>
      <c r="O191" s="8">
        <f t="shared" si="790"/>
        <v>52.083333333333336</v>
      </c>
      <c r="P191" s="8">
        <f t="shared" si="791"/>
        <v>47.916666666666671</v>
      </c>
      <c r="Q191" s="15">
        <f t="shared" si="766"/>
        <v>8.4734042539299264</v>
      </c>
      <c r="R191" s="6">
        <f t="shared" si="792"/>
        <v>26.041666666666671</v>
      </c>
      <c r="S191" s="6">
        <f t="shared" si="793"/>
        <v>22.041666666666671</v>
      </c>
      <c r="T191" s="6">
        <f t="shared" si="794"/>
        <v>47.916666666666671</v>
      </c>
      <c r="V191">
        <f t="shared" si="795"/>
        <v>2.6204914933837409</v>
      </c>
      <c r="W191" s="7">
        <f t="shared" si="796"/>
        <v>0.10549176112994937</v>
      </c>
    </row>
    <row r="192" spans="1:25">
      <c r="A192" s="39">
        <v>5</v>
      </c>
      <c r="B192" s="1" t="s">
        <v>12</v>
      </c>
      <c r="C192" s="1" t="s">
        <v>5</v>
      </c>
      <c r="D192" s="1">
        <v>2</v>
      </c>
      <c r="E192">
        <v>36</v>
      </c>
      <c r="F192" s="2">
        <v>18</v>
      </c>
      <c r="G192" s="2">
        <v>36</v>
      </c>
      <c r="H192">
        <f t="shared" si="785"/>
        <v>108</v>
      </c>
      <c r="I192">
        <f t="shared" si="786"/>
        <v>72</v>
      </c>
      <c r="J192" s="22">
        <f t="shared" si="774"/>
        <v>90</v>
      </c>
      <c r="K192">
        <f>INT(217/(92/95))</f>
        <v>224</v>
      </c>
      <c r="L192" s="6">
        <f t="shared" si="787"/>
        <v>40</v>
      </c>
      <c r="M192" s="6">
        <f t="shared" si="788"/>
        <v>20</v>
      </c>
      <c r="N192" s="6">
        <f t="shared" si="789"/>
        <v>40</v>
      </c>
      <c r="O192" s="8">
        <f t="shared" si="790"/>
        <v>60</v>
      </c>
      <c r="P192" s="8">
        <f t="shared" si="791"/>
        <v>40</v>
      </c>
      <c r="Q192" s="15">
        <f t="shared" si="766"/>
        <v>7.8458573037680956</v>
      </c>
      <c r="R192" s="6">
        <f t="shared" si="792"/>
        <v>32.4</v>
      </c>
      <c r="S192" s="6">
        <f t="shared" si="793"/>
        <v>14.400000000000002</v>
      </c>
      <c r="T192" s="6">
        <f t="shared" si="794"/>
        <v>43.199999999999996</v>
      </c>
      <c r="V192">
        <f t="shared" si="795"/>
        <v>2.4999999999999978</v>
      </c>
      <c r="W192" s="7">
        <f t="shared" si="796"/>
        <v>0.1138462980066582</v>
      </c>
    </row>
    <row r="193" spans="1:25">
      <c r="A193" s="39"/>
    </row>
    <row r="194" spans="1:25">
      <c r="A194" s="39">
        <v>0</v>
      </c>
      <c r="B194" s="1" t="s">
        <v>12</v>
      </c>
      <c r="C194" s="1" t="s">
        <v>5</v>
      </c>
      <c r="D194" s="1">
        <v>2</v>
      </c>
      <c r="E194">
        <v>68</v>
      </c>
      <c r="F194" s="2">
        <v>21</v>
      </c>
      <c r="G194" s="29">
        <v>1</v>
      </c>
      <c r="H194" s="22">
        <f>2*E194 + G194</f>
        <v>137</v>
      </c>
      <c r="I194" s="22">
        <f>2*F194+G194</f>
        <v>43</v>
      </c>
      <c r="J194" s="22">
        <f t="shared" ref="J194" si="797">SUM(E194:G194)</f>
        <v>90</v>
      </c>
      <c r="K194" s="22">
        <f>INT(230/(121/95))</f>
        <v>180</v>
      </c>
      <c r="L194" s="25">
        <f t="shared" ref="L194" si="798">100*(E194/(E194+F194+G194))</f>
        <v>75.555555555555557</v>
      </c>
      <c r="M194" s="25">
        <f t="shared" ref="M194" si="799">100*(F194/(E194+F194+G194))</f>
        <v>23.333333333333332</v>
      </c>
      <c r="N194" s="25">
        <f t="shared" ref="N194" si="800">100*(G194/(E194+F194+G194))</f>
        <v>1.1111111111111112</v>
      </c>
      <c r="O194" s="8">
        <f t="shared" ref="O194" si="801">100*(H194/(H194+I194))</f>
        <v>76.111111111111114</v>
      </c>
      <c r="P194" s="8">
        <f t="shared" ref="P194" si="802">100*(I194/(H194+I194))</f>
        <v>23.888888888888889</v>
      </c>
      <c r="Q194" s="15">
        <f t="shared" ref="Q194" si="803">1.96*SQRT((O194/100)*(P194/100)*(K194-J194)/(J194*(K194-1)))*100</f>
        <v>6.2467131297872927</v>
      </c>
      <c r="R194" s="25">
        <f t="shared" ref="R194" si="804">J194*(O194/100)^2</f>
        <v>52.13611111111112</v>
      </c>
      <c r="S194" s="25">
        <f t="shared" ref="S194" si="805">(P194/100)^2*J194</f>
        <v>5.1361111111111111</v>
      </c>
      <c r="T194" s="25">
        <f t="shared" ref="T194" si="806">(O194/100)*(P194/100)*2*J194</f>
        <v>32.727777777777781</v>
      </c>
      <c r="U194" s="22"/>
      <c r="V194" s="22">
        <f>SUM((E194-R194)^2/R194,(F194-S194)^2/S194,(G194-T194)^2/T194)</f>
        <v>84.584110059621281</v>
      </c>
      <c r="W194" s="26">
        <f t="shared" ref="W194" si="807">_xlfn.CHISQ.DIST.RT(V194, 1)</f>
        <v>3.6821260718744089E-20</v>
      </c>
      <c r="Y194" s="29" t="s">
        <v>72</v>
      </c>
    </row>
    <row r="195" spans="1:25">
      <c r="A195" s="44"/>
      <c r="B195" s="1"/>
      <c r="C195" s="1"/>
      <c r="D195" s="1"/>
      <c r="F195" s="2"/>
      <c r="G195" s="29"/>
      <c r="H195" s="22"/>
      <c r="I195" s="22"/>
      <c r="J195" s="22"/>
      <c r="K195" s="22"/>
      <c r="L195" s="25"/>
      <c r="M195" s="25"/>
      <c r="N195" s="25"/>
      <c r="O195" s="8"/>
      <c r="P195" s="8"/>
      <c r="Q195" s="15"/>
      <c r="R195" s="25"/>
      <c r="S195" s="25"/>
      <c r="T195" s="25"/>
      <c r="U195" s="22"/>
      <c r="V195" s="22"/>
      <c r="W195" s="26"/>
      <c r="Y195" s="29"/>
    </row>
    <row r="196" spans="1:25">
      <c r="A196" s="44"/>
      <c r="B196" s="1"/>
      <c r="C196" s="1"/>
      <c r="D196" s="1"/>
      <c r="F196" s="2"/>
      <c r="G196" s="29"/>
      <c r="H196" s="22"/>
      <c r="I196" s="22"/>
      <c r="J196" s="22"/>
      <c r="K196" s="22"/>
      <c r="L196" s="25"/>
      <c r="M196" s="25"/>
      <c r="N196" s="25"/>
      <c r="O196" s="8"/>
      <c r="P196" s="8"/>
      <c r="Q196" s="15"/>
      <c r="R196" s="25"/>
      <c r="S196" s="25"/>
      <c r="T196" s="25"/>
      <c r="U196" s="22"/>
      <c r="V196" s="22"/>
      <c r="W196" s="26"/>
      <c r="Y196" s="29"/>
    </row>
    <row r="197" spans="1:25">
      <c r="A197" s="39">
        <v>40</v>
      </c>
      <c r="B197" s="1" t="s">
        <v>12</v>
      </c>
      <c r="C197" s="1" t="s">
        <v>6</v>
      </c>
      <c r="D197" s="1">
        <v>2</v>
      </c>
      <c r="E197" s="29">
        <v>15</v>
      </c>
      <c r="F197" s="29">
        <v>13</v>
      </c>
      <c r="G197" s="29">
        <v>67</v>
      </c>
      <c r="H197">
        <f t="shared" ref="H197" si="808">2*E197 + G197</f>
        <v>97</v>
      </c>
      <c r="I197">
        <f t="shared" ref="I197" si="809">2*F197+G197</f>
        <v>93</v>
      </c>
      <c r="J197" s="22">
        <f t="shared" ref="J197" si="810">SUM(E197:G197)</f>
        <v>95</v>
      </c>
      <c r="K197" s="22">
        <f>INT(370/(99.4/95))</f>
        <v>353</v>
      </c>
      <c r="L197" s="6">
        <f t="shared" ref="L197" si="811">100*(E197/(E197+F197+G197))</f>
        <v>15.789473684210526</v>
      </c>
      <c r="M197" s="6">
        <f t="shared" ref="M197" si="812">100*(F197/(E197+F197+G197))</f>
        <v>13.684210526315791</v>
      </c>
      <c r="N197" s="6">
        <f t="shared" ref="N197" si="813">100*(G197/(E197+F197+G197))</f>
        <v>70.526315789473685</v>
      </c>
      <c r="O197" s="8">
        <f t="shared" ref="O197" si="814">100*(H197/(H197+I197))</f>
        <v>51.05263157894737</v>
      </c>
      <c r="P197" s="8">
        <f t="shared" ref="P197" si="815">100*(I197/(H197+I197))</f>
        <v>48.947368421052637</v>
      </c>
      <c r="Q197" s="15">
        <f t="shared" ref="Q197" si="816">1.96*SQRT((O197/100)*(P197/100)*(K197-J197)/(J197*(K197-1)))*100</f>
        <v>8.6061028194517881</v>
      </c>
      <c r="R197" s="6">
        <f t="shared" ref="R197" si="817">J197*(O197/100)^2</f>
        <v>24.760526315789477</v>
      </c>
      <c r="S197" s="6">
        <f t="shared" ref="S197" si="818">(P197/100)^2*J197</f>
        <v>22.76052631578948</v>
      </c>
      <c r="T197" s="6">
        <f t="shared" ref="T197" si="819">(O197/100)*(P197/100)*2*J197</f>
        <v>47.478947368421068</v>
      </c>
      <c r="V197">
        <f t="shared" ref="V197" si="820">SUM((E197-R197)^2/R197,(F197-S197)^2/S197,(G197-T197)^2/T197)</f>
        <v>16.059347892889704</v>
      </c>
      <c r="W197" s="28">
        <f t="shared" ref="W197" si="821">_xlfn.CHISQ.DIST.RT(V197, 1)</f>
        <v>6.1387821698899258E-5</v>
      </c>
      <c r="Y197" s="29"/>
    </row>
    <row r="198" spans="1:25">
      <c r="A198" s="39">
        <v>35</v>
      </c>
      <c r="B198" s="1" t="s">
        <v>12</v>
      </c>
      <c r="C198" s="1" t="s">
        <v>6</v>
      </c>
      <c r="D198" s="1">
        <v>2</v>
      </c>
      <c r="E198" s="2">
        <v>28</v>
      </c>
      <c r="F198" s="2">
        <v>17</v>
      </c>
      <c r="G198" s="22">
        <v>50</v>
      </c>
      <c r="H198">
        <f t="shared" ref="H198" si="822">2*E198 + G198</f>
        <v>106</v>
      </c>
      <c r="I198">
        <f t="shared" ref="I198" si="823">2*F198+G198</f>
        <v>84</v>
      </c>
      <c r="J198" s="22">
        <f t="shared" ref="J198:J204" si="824">SUM(E198:G198)</f>
        <v>95</v>
      </c>
      <c r="K198" s="22">
        <f>INT(199/(106/95))</f>
        <v>178</v>
      </c>
      <c r="L198" s="6">
        <f t="shared" ref="L198" si="825">100*(E198/(E198+F198+G198))</f>
        <v>29.473684210526311</v>
      </c>
      <c r="M198" s="6">
        <f t="shared" ref="M198" si="826">100*(F198/(E198+F198+G198))</f>
        <v>17.894736842105264</v>
      </c>
      <c r="N198" s="6">
        <f t="shared" ref="N198" si="827">100*(G198/(E198+F198+G198))</f>
        <v>52.631578947368418</v>
      </c>
      <c r="O198" s="8">
        <f t="shared" ref="O198" si="828">100*(H198/(H198+I198))</f>
        <v>55.78947368421052</v>
      </c>
      <c r="P198" s="8">
        <f t="shared" ref="P198" si="829">100*(I198/(H198+I198))</f>
        <v>44.210526315789473</v>
      </c>
      <c r="Q198" s="15">
        <f t="shared" ref="Q198" si="830">1.96*SQRT((O198/100)*(P198/100)*(K198-J198)/(J198*(K198-1)))*100</f>
        <v>6.8388905990530642</v>
      </c>
      <c r="R198" s="6">
        <f t="shared" ref="R198" si="831">J198*(O198/100)^2</f>
        <v>29.568421052631574</v>
      </c>
      <c r="S198" s="6">
        <f t="shared" ref="S198" si="832">(P198/100)^2*J198</f>
        <v>18.568421052631578</v>
      </c>
      <c r="T198" s="6">
        <f t="shared" ref="T198" si="833">(O198/100)*(P198/100)*2*J198</f>
        <v>46.863157894736837</v>
      </c>
      <c r="V198">
        <f t="shared" ref="V198" si="834">SUM((E198-R198)^2/R198,(F198-S198)^2/S198,(G198-T198)^2/T198)</f>
        <v>0.4256433201024567</v>
      </c>
      <c r="W198" s="7">
        <f t="shared" ref="W198" si="835">_xlfn.CHISQ.DIST.RT(V198, 1)</f>
        <v>0.5141344848796674</v>
      </c>
      <c r="Y198" s="29"/>
    </row>
    <row r="199" spans="1:25">
      <c r="A199" s="39">
        <v>31</v>
      </c>
      <c r="B199" s="1" t="s">
        <v>12</v>
      </c>
      <c r="C199" s="1" t="s">
        <v>6</v>
      </c>
      <c r="D199" s="1">
        <v>2</v>
      </c>
      <c r="E199">
        <v>31</v>
      </c>
      <c r="F199" s="2">
        <v>5</v>
      </c>
      <c r="G199" s="22">
        <v>59</v>
      </c>
      <c r="H199">
        <f t="shared" ref="H199:H204" si="836">2*E199 + G199</f>
        <v>121</v>
      </c>
      <c r="I199">
        <f t="shared" ref="I199:I204" si="837">2*F199+G199</f>
        <v>69</v>
      </c>
      <c r="J199" s="22">
        <f t="shared" si="824"/>
        <v>95</v>
      </c>
      <c r="K199" s="22">
        <f>INT(324/(101/95))</f>
        <v>304</v>
      </c>
      <c r="L199" s="6">
        <f t="shared" ref="L199:L204" si="838">100*(E199/(E199+F199+G199))</f>
        <v>32.631578947368425</v>
      </c>
      <c r="M199" s="6">
        <f t="shared" ref="M199:M204" si="839">100*(F199/(E199+F199+G199))</f>
        <v>5.2631578947368416</v>
      </c>
      <c r="N199" s="6">
        <f t="shared" ref="N199:N204" si="840">100*(G199/(E199+F199+G199))</f>
        <v>62.10526315789474</v>
      </c>
      <c r="O199" s="8">
        <f t="shared" ref="O199:O204" si="841">100*(H199/(H199+I199))</f>
        <v>63.684210526315788</v>
      </c>
      <c r="P199" s="8">
        <f t="shared" ref="P199:P204" si="842">100*(I199/(H199+I199))</f>
        <v>36.315789473684212</v>
      </c>
      <c r="Q199" s="15">
        <f t="shared" ref="Q199" si="843">1.96*SQRT((O199/100)*(P199/100)*(K199-J199)/(J199*(K199-1)))*100</f>
        <v>8.0317415877705294</v>
      </c>
      <c r="R199" s="6">
        <f t="shared" ref="R199:R204" si="844">J199*(O199/100)^2</f>
        <v>38.528947368421051</v>
      </c>
      <c r="S199" s="6">
        <f t="shared" ref="S199:S204" si="845">(P199/100)^2*J199</f>
        <v>12.528947368421054</v>
      </c>
      <c r="T199" s="6">
        <f t="shared" ref="T199:T204" si="846">(O199/100)*(P199/100)*2*J199</f>
        <v>43.942105263157899</v>
      </c>
      <c r="V199">
        <f t="shared" ref="V199:V204" si="847">SUM((E199-R199)^2/R199,(F199-S199)^2/S199,(G199-T199)^2/T199)</f>
        <v>11.155534888695989</v>
      </c>
      <c r="W199" s="28">
        <f t="shared" ref="W199:W204" si="848">_xlfn.CHISQ.DIST.RT(V199, 1)</f>
        <v>8.3781330381613411E-4</v>
      </c>
      <c r="Y199" s="29"/>
    </row>
    <row r="200" spans="1:25">
      <c r="A200" s="39">
        <v>25</v>
      </c>
      <c r="B200" s="1" t="s">
        <v>12</v>
      </c>
      <c r="C200" s="1" t="s">
        <v>6</v>
      </c>
      <c r="D200" s="1">
        <v>2</v>
      </c>
      <c r="E200">
        <v>27</v>
      </c>
      <c r="F200" s="2">
        <v>23</v>
      </c>
      <c r="G200" s="22">
        <v>44</v>
      </c>
      <c r="H200">
        <f t="shared" si="836"/>
        <v>98</v>
      </c>
      <c r="I200">
        <f t="shared" si="837"/>
        <v>90</v>
      </c>
      <c r="J200" s="22">
        <f t="shared" si="824"/>
        <v>94</v>
      </c>
      <c r="K200" s="22">
        <f>INT(211/(92/95))</f>
        <v>217</v>
      </c>
      <c r="L200" s="6">
        <f t="shared" si="838"/>
        <v>28.723404255319153</v>
      </c>
      <c r="M200" s="6">
        <f t="shared" si="839"/>
        <v>24.468085106382979</v>
      </c>
      <c r="N200" s="6">
        <f t="shared" si="840"/>
        <v>46.808510638297875</v>
      </c>
      <c r="O200" s="8">
        <f t="shared" si="841"/>
        <v>52.12765957446809</v>
      </c>
      <c r="P200" s="8">
        <f t="shared" si="842"/>
        <v>47.872340425531917</v>
      </c>
      <c r="Q200" s="15">
        <f t="shared" ref="Q200" si="849">1.96*SQRT((O200/100)*(P200/100)*(K200-J200)/(J200*(K200-1)))*100</f>
        <v>7.6206895186007566</v>
      </c>
      <c r="R200" s="6">
        <f t="shared" si="844"/>
        <v>25.542553191489365</v>
      </c>
      <c r="S200" s="6">
        <f t="shared" si="845"/>
        <v>21.542553191489365</v>
      </c>
      <c r="T200" s="6">
        <f t="shared" si="846"/>
        <v>46.914893617021278</v>
      </c>
      <c r="V200">
        <f t="shared" si="847"/>
        <v>0.3628706146101669</v>
      </c>
      <c r="W200" s="7">
        <f t="shared" si="848"/>
        <v>0.54691627590066227</v>
      </c>
      <c r="Y200" s="29"/>
    </row>
    <row r="201" spans="1:25">
      <c r="A201" s="39">
        <v>20</v>
      </c>
      <c r="B201" s="1" t="s">
        <v>12</v>
      </c>
      <c r="C201" s="1" t="s">
        <v>6</v>
      </c>
      <c r="D201" s="1">
        <v>2</v>
      </c>
      <c r="E201">
        <v>14</v>
      </c>
      <c r="F201" s="2">
        <v>31</v>
      </c>
      <c r="G201" s="22">
        <v>45</v>
      </c>
      <c r="H201">
        <f t="shared" si="836"/>
        <v>73</v>
      </c>
      <c r="I201">
        <f t="shared" si="837"/>
        <v>107</v>
      </c>
      <c r="J201" s="22">
        <f t="shared" si="824"/>
        <v>90</v>
      </c>
      <c r="K201" s="22">
        <f>INT(371/(110/90))</f>
        <v>303</v>
      </c>
      <c r="L201" s="6">
        <f t="shared" si="838"/>
        <v>15.555555555555555</v>
      </c>
      <c r="M201" s="6">
        <f t="shared" si="839"/>
        <v>34.444444444444443</v>
      </c>
      <c r="N201" s="6">
        <f t="shared" si="840"/>
        <v>50</v>
      </c>
      <c r="O201" s="8">
        <f t="shared" si="841"/>
        <v>40.555555555555557</v>
      </c>
      <c r="P201" s="8">
        <f t="shared" si="842"/>
        <v>59.444444444444443</v>
      </c>
      <c r="Q201" s="15">
        <f t="shared" ref="Q201" si="850">1.96*SQRT((O201/100)*(P201/100)*(K201-J201)/(J201*(K201-1)))*100</f>
        <v>8.519261725478632</v>
      </c>
      <c r="R201" s="6">
        <f t="shared" si="844"/>
        <v>14.802777777777779</v>
      </c>
      <c r="S201" s="6">
        <f t="shared" si="845"/>
        <v>31.802777777777777</v>
      </c>
      <c r="T201" s="6">
        <f t="shared" si="846"/>
        <v>43.394444444444446</v>
      </c>
      <c r="V201">
        <f t="shared" si="847"/>
        <v>0.12320403156632806</v>
      </c>
      <c r="W201" s="7">
        <f t="shared" si="848"/>
        <v>0.72558510862813064</v>
      </c>
      <c r="Y201" s="29"/>
    </row>
    <row r="202" spans="1:25">
      <c r="A202" s="39">
        <v>15</v>
      </c>
      <c r="B202" s="1" t="s">
        <v>12</v>
      </c>
      <c r="C202" s="1" t="s">
        <v>6</v>
      </c>
      <c r="D202" s="1">
        <v>2</v>
      </c>
      <c r="E202">
        <v>13</v>
      </c>
      <c r="F202" s="2">
        <v>29</v>
      </c>
      <c r="G202" s="2">
        <v>31</v>
      </c>
      <c r="H202">
        <f t="shared" si="836"/>
        <v>57</v>
      </c>
      <c r="I202">
        <f t="shared" si="837"/>
        <v>89</v>
      </c>
      <c r="J202" s="22">
        <f t="shared" si="824"/>
        <v>73</v>
      </c>
      <c r="K202">
        <v>75</v>
      </c>
      <c r="L202" s="6">
        <f t="shared" si="838"/>
        <v>17.80821917808219</v>
      </c>
      <c r="M202" s="6">
        <f t="shared" si="839"/>
        <v>39.726027397260275</v>
      </c>
      <c r="N202" s="6">
        <f t="shared" si="840"/>
        <v>42.465753424657535</v>
      </c>
      <c r="O202" s="8">
        <f t="shared" si="841"/>
        <v>39.041095890410958</v>
      </c>
      <c r="P202" s="8">
        <f t="shared" si="842"/>
        <v>60.958904109589042</v>
      </c>
      <c r="Q202" s="15">
        <f t="shared" ref="Q202" si="851">1.96*SQRT((O202/100)*(P202/100)*(K202-J202)/(J202*(K202-1)))*100</f>
        <v>1.8398116079756179</v>
      </c>
      <c r="R202" s="6">
        <f t="shared" si="844"/>
        <v>11.126712328767125</v>
      </c>
      <c r="S202" s="6">
        <f t="shared" si="845"/>
        <v>27.126712328767123</v>
      </c>
      <c r="T202" s="6">
        <f t="shared" si="846"/>
        <v>34.746575342465754</v>
      </c>
      <c r="V202">
        <f t="shared" si="847"/>
        <v>0.84872655018321241</v>
      </c>
      <c r="W202" s="7">
        <f t="shared" si="848"/>
        <v>0.35691284030393033</v>
      </c>
    </row>
    <row r="203" spans="1:25">
      <c r="A203" s="39">
        <v>10</v>
      </c>
      <c r="B203" s="1" t="s">
        <v>12</v>
      </c>
      <c r="C203" s="1" t="s">
        <v>6</v>
      </c>
      <c r="D203" s="1">
        <v>2</v>
      </c>
      <c r="E203">
        <v>21</v>
      </c>
      <c r="F203" s="2">
        <v>28</v>
      </c>
      <c r="G203" s="2">
        <v>51</v>
      </c>
      <c r="H203">
        <f t="shared" si="836"/>
        <v>93</v>
      </c>
      <c r="I203">
        <f t="shared" si="837"/>
        <v>107</v>
      </c>
      <c r="J203" s="22">
        <f t="shared" si="824"/>
        <v>100</v>
      </c>
      <c r="K203" s="22">
        <f>INT(275/(100/95))</f>
        <v>261</v>
      </c>
      <c r="L203" s="6">
        <f t="shared" si="838"/>
        <v>21</v>
      </c>
      <c r="M203" s="6">
        <f t="shared" si="839"/>
        <v>28.000000000000004</v>
      </c>
      <c r="N203" s="6">
        <f t="shared" si="840"/>
        <v>51</v>
      </c>
      <c r="O203" s="8">
        <f t="shared" si="841"/>
        <v>46.5</v>
      </c>
      <c r="P203" s="8">
        <f t="shared" si="842"/>
        <v>53.5</v>
      </c>
      <c r="Q203" s="15">
        <f t="shared" ref="Q203" si="852">1.96*SQRT((O203/100)*(P203/100)*(K203-J203)/(J203*(K203-1)))*100</f>
        <v>7.6928223399378046</v>
      </c>
      <c r="R203" s="6">
        <f t="shared" si="844"/>
        <v>21.622500000000002</v>
      </c>
      <c r="S203" s="6">
        <f t="shared" si="845"/>
        <v>28.622500000000002</v>
      </c>
      <c r="T203" s="6">
        <f t="shared" si="846"/>
        <v>49.755000000000003</v>
      </c>
      <c r="V203">
        <f t="shared" si="847"/>
        <v>6.2613105089221271E-2</v>
      </c>
      <c r="W203" s="7">
        <f t="shared" si="848"/>
        <v>0.80241249612354493</v>
      </c>
    </row>
    <row r="204" spans="1:25">
      <c r="A204" s="39">
        <v>5</v>
      </c>
      <c r="B204" s="1" t="s">
        <v>12</v>
      </c>
      <c r="C204" s="1" t="s">
        <v>6</v>
      </c>
      <c r="D204" s="1">
        <v>2</v>
      </c>
      <c r="E204">
        <v>9</v>
      </c>
      <c r="F204" s="2">
        <v>43</v>
      </c>
      <c r="G204" s="2">
        <v>35</v>
      </c>
      <c r="H204">
        <f t="shared" si="836"/>
        <v>53</v>
      </c>
      <c r="I204">
        <f t="shared" si="837"/>
        <v>121</v>
      </c>
      <c r="J204" s="22">
        <f t="shared" si="824"/>
        <v>87</v>
      </c>
      <c r="K204">
        <f>INT(140.5/(104.6/95))</f>
        <v>127</v>
      </c>
      <c r="L204" s="6">
        <f t="shared" si="838"/>
        <v>10.344827586206897</v>
      </c>
      <c r="M204" s="6">
        <f t="shared" si="839"/>
        <v>49.425287356321839</v>
      </c>
      <c r="N204" s="6">
        <f t="shared" si="840"/>
        <v>40.229885057471265</v>
      </c>
      <c r="O204" s="8">
        <f t="shared" si="841"/>
        <v>30.459770114942529</v>
      </c>
      <c r="P204" s="8">
        <f t="shared" si="842"/>
        <v>69.540229885057471</v>
      </c>
      <c r="Q204" s="15">
        <f t="shared" ref="Q204" si="853">1.96*SQRT((O204/100)*(P204/100)*(K204-J204)/(J204*(K204-1)))*100</f>
        <v>5.449071917702855</v>
      </c>
      <c r="R204" s="6">
        <f t="shared" si="844"/>
        <v>8.0718390804597711</v>
      </c>
      <c r="S204" s="6">
        <f t="shared" si="845"/>
        <v>42.071839080459768</v>
      </c>
      <c r="T204" s="6">
        <f t="shared" si="846"/>
        <v>36.856321839080458</v>
      </c>
      <c r="V204">
        <f t="shared" si="847"/>
        <v>0.22069973792367625</v>
      </c>
      <c r="W204" s="7">
        <f t="shared" si="848"/>
        <v>0.63850726966998606</v>
      </c>
    </row>
    <row r="205" spans="1:25">
      <c r="A205" s="39"/>
      <c r="F205" s="2"/>
    </row>
    <row r="206" spans="1:25">
      <c r="A206" s="39">
        <v>0</v>
      </c>
      <c r="B206" s="1" t="s">
        <v>12</v>
      </c>
      <c r="C206" s="1" t="s">
        <v>6</v>
      </c>
      <c r="D206" s="1">
        <v>2</v>
      </c>
      <c r="E206">
        <v>57</v>
      </c>
      <c r="F206" s="2">
        <v>31</v>
      </c>
      <c r="G206" s="22">
        <v>0</v>
      </c>
      <c r="H206" s="22">
        <f>2*E206 + G206</f>
        <v>114</v>
      </c>
      <c r="I206" s="22">
        <f>2*F206+G206</f>
        <v>62</v>
      </c>
      <c r="J206" s="22">
        <f t="shared" ref="J206" si="854">SUM(E206:G206)</f>
        <v>88</v>
      </c>
      <c r="K206" s="48">
        <v>175</v>
      </c>
      <c r="L206" s="25">
        <f t="shared" ref="L206" si="855">100*(E206/(E206+F206+G206))</f>
        <v>64.772727272727266</v>
      </c>
      <c r="M206" s="25">
        <f t="shared" ref="M206" si="856">100*(F206/(E206+F206+G206))</f>
        <v>35.227272727272727</v>
      </c>
      <c r="N206" s="25">
        <f t="shared" ref="N206" si="857">100*(G206/(E206+F206+G206))</f>
        <v>0</v>
      </c>
      <c r="O206" s="8">
        <f t="shared" ref="O206" si="858">100*(H206/(H206+I206))</f>
        <v>64.772727272727266</v>
      </c>
      <c r="P206" s="8">
        <f t="shared" ref="P206" si="859">100*(I206/(H206+I206))</f>
        <v>35.227272727272727</v>
      </c>
      <c r="Q206" s="83">
        <f t="shared" ref="Q206" si="860">1.96*SQRT((O206/100)*(P206/100)*(K206-J206)/(J206*(K206-1)))*100</f>
        <v>7.0572473618842304</v>
      </c>
      <c r="R206" s="25">
        <f t="shared" ref="R206" si="861">J206*(O206/100)^2</f>
        <v>36.92045454545454</v>
      </c>
      <c r="S206" s="25">
        <f t="shared" ref="S206" si="862">(P206/100)^2*J206</f>
        <v>10.920454545454547</v>
      </c>
      <c r="T206" s="25">
        <f t="shared" ref="T206" si="863">(O206/100)*(P206/100)*2*J206</f>
        <v>40.159090909090907</v>
      </c>
      <c r="U206" s="22"/>
      <c r="V206" s="22">
        <f>SUM((E206-R206)^2/R206,(F206-S206)^2/S206,(G206-T206)^2/T206)</f>
        <v>88</v>
      </c>
      <c r="W206" s="26">
        <f t="shared" ref="W206" si="864">_xlfn.CHISQ.DIST.RT(V206, 1)</f>
        <v>6.5454465409512708E-21</v>
      </c>
      <c r="Y206" t="s">
        <v>69</v>
      </c>
    </row>
    <row r="207" spans="1:25">
      <c r="A207" s="44"/>
      <c r="B207" s="1"/>
      <c r="C207" s="1"/>
      <c r="D207" s="1"/>
      <c r="F207" s="2"/>
      <c r="G207" s="22"/>
      <c r="H207" s="22"/>
      <c r="I207" s="22"/>
      <c r="J207" s="22"/>
      <c r="K207" s="48"/>
      <c r="L207" s="25"/>
      <c r="M207" s="25"/>
      <c r="N207" s="25"/>
      <c r="O207" s="8"/>
      <c r="P207" s="8"/>
      <c r="Q207" s="51"/>
      <c r="R207" s="25"/>
      <c r="S207" s="25"/>
      <c r="T207" s="25"/>
      <c r="U207" s="22"/>
      <c r="V207" s="22"/>
      <c r="W207" s="26"/>
    </row>
    <row r="208" spans="1:25">
      <c r="A208" s="44"/>
      <c r="B208" s="1"/>
      <c r="C208" s="1"/>
      <c r="D208" s="1"/>
      <c r="F208" s="2"/>
      <c r="G208" s="22"/>
      <c r="H208" s="22"/>
      <c r="I208" s="22"/>
      <c r="J208" s="22"/>
      <c r="K208" s="48"/>
      <c r="L208" s="25"/>
      <c r="M208" s="25"/>
      <c r="N208" s="25"/>
      <c r="O208" s="8"/>
      <c r="P208" s="8"/>
      <c r="Q208" s="51"/>
      <c r="R208" s="25"/>
      <c r="S208" s="25"/>
      <c r="T208" s="25"/>
      <c r="U208" s="22"/>
      <c r="V208" s="22"/>
      <c r="W208" s="26"/>
    </row>
    <row r="209" spans="1:25">
      <c r="A209" s="58">
        <v>40</v>
      </c>
      <c r="B209" s="1" t="s">
        <v>12</v>
      </c>
      <c r="C209" s="1" t="s">
        <v>8</v>
      </c>
      <c r="D209" s="1">
        <v>2</v>
      </c>
      <c r="E209" s="22">
        <v>27</v>
      </c>
      <c r="F209" s="22">
        <v>8</v>
      </c>
      <c r="G209" s="22">
        <v>55</v>
      </c>
      <c r="H209" s="22">
        <f t="shared" ref="H209" si="865">2*E209 + G209</f>
        <v>109</v>
      </c>
      <c r="I209">
        <f t="shared" ref="I209" si="866">2*F209+G209</f>
        <v>71</v>
      </c>
      <c r="J209" s="22">
        <f t="shared" ref="J209" si="867">SUM(E209:G209)</f>
        <v>90</v>
      </c>
      <c r="K209" s="48">
        <f>INT(169/(94/95))</f>
        <v>170</v>
      </c>
      <c r="L209" s="6">
        <f t="shared" ref="L209" si="868">100*(E209/(E209+F209+G209))</f>
        <v>30</v>
      </c>
      <c r="M209" s="6">
        <f t="shared" ref="M209" si="869">100*(F209/(E209+F209+G209))</f>
        <v>8.8888888888888893</v>
      </c>
      <c r="N209" s="6">
        <f t="shared" ref="N209" si="870">100*(G209/(E209+F209+G209))</f>
        <v>61.111111111111114</v>
      </c>
      <c r="O209" s="8">
        <f t="shared" ref="O209" si="871">100*(H209/(H209+I209))</f>
        <v>60.55555555555555</v>
      </c>
      <c r="P209" s="8">
        <f t="shared" ref="P209" si="872">100*(I209/(H209+I209))</f>
        <v>39.444444444444443</v>
      </c>
      <c r="Q209" s="15">
        <f t="shared" ref="Q209" si="873">1.96*SQRT((O209/100)*(P209/100)*(K209-J209)/(J209*(K209-1)))*100</f>
        <v>6.94714520059118</v>
      </c>
      <c r="R209" s="6">
        <f t="shared" ref="R209" si="874">J209*(O209/100)^2</f>
        <v>33.002777777777773</v>
      </c>
      <c r="S209" s="6">
        <f t="shared" ref="S209" si="875">(P209/100)^2*J209</f>
        <v>14.002777777777776</v>
      </c>
      <c r="T209" s="6">
        <f t="shared" ref="T209" si="876">(O209/100)*(P209/100)*2*J209</f>
        <v>42.99444444444444</v>
      </c>
      <c r="V209">
        <f t="shared" ref="V209" si="877">SUM((E209-R209)^2/R209,(F209-S209)^2/S209,(G209-T209)^2/T209)</f>
        <v>7.0174988459667347</v>
      </c>
      <c r="W209" s="28">
        <f t="shared" ref="W209" si="878">_xlfn.CHISQ.DIST.RT(V209, 1)</f>
        <v>8.0716903464281703E-3</v>
      </c>
    </row>
    <row r="210" spans="1:25">
      <c r="A210" s="58">
        <v>35</v>
      </c>
      <c r="B210" s="1" t="s">
        <v>12</v>
      </c>
      <c r="C210" s="1" t="s">
        <v>8</v>
      </c>
      <c r="D210" s="1">
        <v>2</v>
      </c>
      <c r="E210">
        <v>23</v>
      </c>
      <c r="F210" s="2">
        <v>29</v>
      </c>
      <c r="G210" s="22">
        <v>43</v>
      </c>
      <c r="H210">
        <f t="shared" ref="H210" si="879">2*E210 + G210</f>
        <v>89</v>
      </c>
      <c r="I210">
        <f t="shared" ref="I210" si="880">2*F210+G210</f>
        <v>101</v>
      </c>
      <c r="J210" s="22">
        <f t="shared" ref="J210" si="881">SUM(E210:G210)</f>
        <v>95</v>
      </c>
      <c r="K210" s="48">
        <f>INT(212/(101/95))</f>
        <v>199</v>
      </c>
      <c r="L210" s="6">
        <f t="shared" ref="L210" si="882">100*(E210/(E210+F210+G210))</f>
        <v>24.210526315789473</v>
      </c>
      <c r="M210" s="6">
        <f t="shared" ref="M210" si="883">100*(F210/(E210+F210+G210))</f>
        <v>30.526315789473685</v>
      </c>
      <c r="N210" s="6">
        <f t="shared" ref="N210" si="884">100*(G210/(E210+F210+G210))</f>
        <v>45.263157894736842</v>
      </c>
      <c r="O210" s="8">
        <f t="shared" ref="O210" si="885">100*(H210/(H210+I210))</f>
        <v>46.842105263157897</v>
      </c>
      <c r="P210" s="8">
        <f t="shared" ref="P210" si="886">100*(I210/(H210+I210))</f>
        <v>53.157894736842103</v>
      </c>
      <c r="Q210" s="15">
        <f t="shared" ref="Q210" si="887">1.96*SQRT((O210/100)*(P210/100)*(K210-J210)/(J210*(K210-1)))*100</f>
        <v>7.2724447829727366</v>
      </c>
      <c r="R210" s="6">
        <f t="shared" ref="R210" si="888">J210*(O210/100)^2</f>
        <v>20.844736842105267</v>
      </c>
      <c r="S210" s="6">
        <f t="shared" ref="S210" si="889">(P210/100)^2*J210</f>
        <v>26.844736842105259</v>
      </c>
      <c r="T210" s="6">
        <f t="shared" ref="T210" si="890">(O210/100)*(P210/100)*2*J210</f>
        <v>47.310526315789474</v>
      </c>
      <c r="V210">
        <f t="shared" ref="V210" si="891">SUM((E210-R210)^2/R210,(F210-S210)^2/S210,(G210-T210)^2/T210)</f>
        <v>0.78862156353544222</v>
      </c>
      <c r="W210" s="7">
        <f t="shared" ref="W210" si="892">_xlfn.CHISQ.DIST.RT(V210, 1)</f>
        <v>0.37451726009856889</v>
      </c>
    </row>
    <row r="211" spans="1:25">
      <c r="A211" s="58">
        <v>30</v>
      </c>
      <c r="B211" s="1" t="s">
        <v>12</v>
      </c>
      <c r="C211" s="1" t="s">
        <v>8</v>
      </c>
      <c r="D211" s="1">
        <v>2</v>
      </c>
      <c r="E211">
        <v>35</v>
      </c>
      <c r="F211" s="2">
        <v>16</v>
      </c>
      <c r="G211" s="22">
        <v>42</v>
      </c>
      <c r="H211">
        <f t="shared" ref="H211:H216" si="893">2*E211 + G211</f>
        <v>112</v>
      </c>
      <c r="I211">
        <f t="shared" ref="I211" si="894">2*F211+G211</f>
        <v>74</v>
      </c>
      <c r="J211" s="22">
        <f t="shared" ref="J211" si="895">SUM(E211:G211)</f>
        <v>93</v>
      </c>
      <c r="K211" s="48">
        <f>INT(286/(93/95))</f>
        <v>292</v>
      </c>
      <c r="L211" s="6">
        <f t="shared" ref="L211" si="896">100*(E211/(E211+F211+G211))</f>
        <v>37.634408602150536</v>
      </c>
      <c r="M211" s="6">
        <f t="shared" ref="M211" si="897">100*(F211/(E211+F211+G211))</f>
        <v>17.20430107526882</v>
      </c>
      <c r="N211" s="6">
        <f t="shared" ref="N211" si="898">100*(G211/(E211+F211+G211))</f>
        <v>45.161290322580641</v>
      </c>
      <c r="O211" s="8">
        <f t="shared" ref="O211:O216" si="899">100*(H211/(H211+I211))</f>
        <v>60.215053763440864</v>
      </c>
      <c r="P211" s="8">
        <f t="shared" ref="P211:P216" si="900">100*(I211/(H211+I211))</f>
        <v>39.784946236559136</v>
      </c>
      <c r="Q211" s="15">
        <f t="shared" ref="Q211" si="901">1.96*SQRT((O211/100)*(P211/100)*(K211-J211)/(J211*(K211-1)))*100</f>
        <v>8.2263383436425599</v>
      </c>
      <c r="R211" s="6">
        <f t="shared" ref="R211:R216" si="902">J211*(O211/100)^2</f>
        <v>33.72043010752688</v>
      </c>
      <c r="S211" s="6">
        <f t="shared" ref="S211" si="903">(P211/100)^2*J211</f>
        <v>14.720430107526878</v>
      </c>
      <c r="T211" s="6">
        <f t="shared" ref="T211" si="904">(O211/100)*(P211/100)*2*J211</f>
        <v>44.55913978494624</v>
      </c>
      <c r="V211">
        <f t="shared" ref="V211" si="905">SUM((E211-R211)^2/R211,(F211-S211)^2/S211,(G211-T211)^2/T211)</f>
        <v>0.30675903944485128</v>
      </c>
      <c r="W211" s="7">
        <f t="shared" ref="W211:W216" si="906">_xlfn.CHISQ.DIST.RT(V211, 1)</f>
        <v>0.57967581127981038</v>
      </c>
    </row>
    <row r="212" spans="1:25">
      <c r="A212" s="64">
        <v>26</v>
      </c>
      <c r="B212" s="1" t="s">
        <v>12</v>
      </c>
      <c r="C212" s="1" t="s">
        <v>8</v>
      </c>
      <c r="D212" s="1">
        <v>2</v>
      </c>
      <c r="E212">
        <v>24</v>
      </c>
      <c r="F212" s="2">
        <v>21</v>
      </c>
      <c r="G212" s="22">
        <v>45</v>
      </c>
      <c r="H212">
        <f t="shared" si="893"/>
        <v>93</v>
      </c>
      <c r="I212">
        <f t="shared" ref="I212" si="907">2*F212+G212</f>
        <v>87</v>
      </c>
      <c r="J212" s="22">
        <f t="shared" ref="J212:J213" si="908">SUM(E212:G212)</f>
        <v>90</v>
      </c>
      <c r="K212" s="48">
        <v>180</v>
      </c>
      <c r="L212" s="6">
        <f t="shared" ref="L212" si="909">100*(E212/(E212+F212+G212))</f>
        <v>26.666666666666668</v>
      </c>
      <c r="M212" s="6">
        <f t="shared" ref="M212" si="910">100*(F212/(E212+F212+G212))</f>
        <v>23.333333333333332</v>
      </c>
      <c r="N212" s="6">
        <f t="shared" ref="N212" si="911">100*(G212/(E212+F212+G212))</f>
        <v>50</v>
      </c>
      <c r="O212" s="8">
        <f t="shared" si="899"/>
        <v>51.666666666666671</v>
      </c>
      <c r="P212" s="8">
        <f t="shared" si="900"/>
        <v>48.333333333333336</v>
      </c>
      <c r="Q212" s="15">
        <f t="shared" ref="Q212" si="912">1.96*SQRT((O212/100)*(P212/100)*(K212-J212)/(J212*(K212-1)))*100</f>
        <v>7.3207934091219977</v>
      </c>
      <c r="R212" s="6">
        <f t="shared" si="902"/>
        <v>24.025000000000002</v>
      </c>
      <c r="S212" s="6">
        <f t="shared" ref="S212" si="913">(P212/100)^2*J212</f>
        <v>21.024999999999999</v>
      </c>
      <c r="T212" s="6">
        <f t="shared" ref="T212" si="914">(O212/100)*(P212/100)*2*J212</f>
        <v>44.95000000000001</v>
      </c>
      <c r="V212">
        <f t="shared" ref="V212" si="915">SUM((E212-R212)^2/R212,(F212-S212)^2/S212,(G212-T212)^2/T212)</f>
        <v>1.1135843682448174E-4</v>
      </c>
      <c r="W212" s="7">
        <f t="shared" si="906"/>
        <v>0.99158035919648546</v>
      </c>
    </row>
    <row r="213" spans="1:25">
      <c r="A213" s="39">
        <v>20</v>
      </c>
      <c r="B213" s="1" t="s">
        <v>12</v>
      </c>
      <c r="C213" s="1" t="s">
        <v>8</v>
      </c>
      <c r="D213" s="1">
        <v>2</v>
      </c>
      <c r="E213">
        <v>42</v>
      </c>
      <c r="F213" s="2">
        <v>15</v>
      </c>
      <c r="G213" s="22">
        <v>36</v>
      </c>
      <c r="H213">
        <f t="shared" si="893"/>
        <v>120</v>
      </c>
      <c r="I213">
        <f t="shared" ref="I213" si="916">2*F213+G213</f>
        <v>66</v>
      </c>
      <c r="J213" s="22">
        <f t="shared" si="908"/>
        <v>93</v>
      </c>
      <c r="K213" s="48">
        <f>INT(218/(102/95))</f>
        <v>203</v>
      </c>
      <c r="L213" s="6">
        <f t="shared" ref="L213" si="917">100*(E213/(E213+F213+G213))</f>
        <v>45.161290322580641</v>
      </c>
      <c r="M213" s="6">
        <f t="shared" ref="M213" si="918">100*(F213/(E213+F213+G213))</f>
        <v>16.129032258064516</v>
      </c>
      <c r="N213" s="6">
        <f t="shared" ref="N213" si="919">100*(G213/(E213+F213+G213))</f>
        <v>38.70967741935484</v>
      </c>
      <c r="O213" s="8">
        <f t="shared" si="899"/>
        <v>64.516129032258064</v>
      </c>
      <c r="P213" s="8">
        <f t="shared" si="900"/>
        <v>35.483870967741936</v>
      </c>
      <c r="Q213" s="15">
        <f t="shared" ref="Q213" si="920">1.96*SQRT((O213/100)*(P213/100)*(K213-J213)/(J213*(K213-1)))*100</f>
        <v>7.1760408371824305</v>
      </c>
      <c r="R213" s="6">
        <f t="shared" si="902"/>
        <v>38.70967741935484</v>
      </c>
      <c r="S213" s="6">
        <f t="shared" ref="S213" si="921">(P213/100)^2*J213</f>
        <v>11.709677419354842</v>
      </c>
      <c r="T213" s="6">
        <f t="shared" ref="T213" si="922">(O213/100)*(P213/100)*2*J213</f>
        <v>42.58064516129032</v>
      </c>
      <c r="V213">
        <f t="shared" ref="V213" si="923">SUM((E213-R213)^2/R213,(F213-S213)^2/S213,(G213-T213)^2/T213)</f>
        <v>2.2212396694214851</v>
      </c>
      <c r="W213" s="7">
        <f t="shared" si="906"/>
        <v>0.13612372005970896</v>
      </c>
    </row>
    <row r="214" spans="1:25">
      <c r="A214" s="39">
        <v>15</v>
      </c>
      <c r="B214" s="1" t="s">
        <v>12</v>
      </c>
      <c r="C214" s="1" t="s">
        <v>8</v>
      </c>
      <c r="D214" s="1">
        <v>2</v>
      </c>
      <c r="E214">
        <v>33</v>
      </c>
      <c r="F214" s="2">
        <v>17</v>
      </c>
      <c r="G214" s="2">
        <v>42</v>
      </c>
      <c r="H214">
        <f t="shared" si="893"/>
        <v>108</v>
      </c>
      <c r="I214">
        <f t="shared" ref="I214" si="924">2*F214+G214</f>
        <v>76</v>
      </c>
      <c r="J214" s="22">
        <f t="shared" ref="J214" si="925">SUM(E214:G214)</f>
        <v>92</v>
      </c>
      <c r="K214">
        <f>INT(158/(105/95))</f>
        <v>142</v>
      </c>
      <c r="L214" s="6">
        <f t="shared" ref="L214" si="926">100*(E214/(E214+F214+G214))</f>
        <v>35.869565217391305</v>
      </c>
      <c r="M214" s="6">
        <f t="shared" ref="M214" si="927">100*(F214/(E214+F214+G214))</f>
        <v>18.478260869565215</v>
      </c>
      <c r="N214" s="6">
        <f t="shared" ref="N214" si="928">100*(G214/(E214+F214+G214))</f>
        <v>45.652173913043477</v>
      </c>
      <c r="O214" s="8">
        <f t="shared" si="899"/>
        <v>58.695652173913047</v>
      </c>
      <c r="P214" s="8">
        <f t="shared" si="900"/>
        <v>41.304347826086953</v>
      </c>
      <c r="Q214" s="15">
        <f t="shared" ref="Q214" si="929">1.96*SQRT((O214/100)*(P214/100)*(K214-J214)/(J214*(K214-1)))*100</f>
        <v>5.9915398806761866</v>
      </c>
      <c r="R214" s="6">
        <f t="shared" si="902"/>
        <v>31.69565217391305</v>
      </c>
      <c r="S214" s="6">
        <f t="shared" ref="S214" si="930">(P214/100)^2*J214</f>
        <v>15.695652173913039</v>
      </c>
      <c r="T214" s="6">
        <f t="shared" ref="T214" si="931">(O214/100)*(P214/100)*2*J214</f>
        <v>44.608695652173907</v>
      </c>
      <c r="V214">
        <f t="shared" ref="V214" si="932">SUM((E214-R214)^2/R214,(F214-S214)^2/S214,(G214-T214)^2/T214)</f>
        <v>0.3146267227522993</v>
      </c>
      <c r="W214" s="7">
        <f t="shared" si="906"/>
        <v>0.57485482418277001</v>
      </c>
    </row>
    <row r="215" spans="1:25">
      <c r="A215" s="39">
        <v>10</v>
      </c>
      <c r="B215" s="1" t="s">
        <v>12</v>
      </c>
      <c r="C215" s="1" t="s">
        <v>8</v>
      </c>
      <c r="D215" s="1">
        <v>2</v>
      </c>
      <c r="E215">
        <v>29</v>
      </c>
      <c r="F215" s="22">
        <v>12</v>
      </c>
      <c r="G215" s="22">
        <v>51</v>
      </c>
      <c r="H215">
        <f t="shared" si="893"/>
        <v>109</v>
      </c>
      <c r="I215">
        <f t="shared" ref="I215" si="933">2*F215+G215</f>
        <v>75</v>
      </c>
      <c r="J215" s="22">
        <f t="shared" ref="J215" si="934">SUM(E215:G215)</f>
        <v>92</v>
      </c>
      <c r="K215" s="22">
        <f>INT(262/(98/95))</f>
        <v>253</v>
      </c>
      <c r="L215" s="6">
        <f t="shared" ref="L215" si="935">100*(E215/(E215+F215+G215))</f>
        <v>31.521739130434785</v>
      </c>
      <c r="M215" s="6">
        <f t="shared" ref="M215" si="936">100*(F215/(E215+F215+G215))</f>
        <v>13.043478260869565</v>
      </c>
      <c r="N215" s="6">
        <f t="shared" ref="N215" si="937">100*(G215/(E215+F215+G215))</f>
        <v>55.434782608695656</v>
      </c>
      <c r="O215" s="8">
        <f t="shared" si="899"/>
        <v>59.239130434782602</v>
      </c>
      <c r="P215" s="8">
        <f t="shared" si="900"/>
        <v>40.760869565217391</v>
      </c>
      <c r="Q215" s="15">
        <f t="shared" ref="Q215" si="938">1.96*SQRT((O215/100)*(P215/100)*(K215-J215)/(J215*(K215-1)))*100</f>
        <v>8.0260319264604263</v>
      </c>
      <c r="R215" s="6">
        <f t="shared" si="902"/>
        <v>32.285326086956516</v>
      </c>
      <c r="S215" s="6">
        <f t="shared" ref="S215" si="939">(P215/100)^2*J215</f>
        <v>15.285326086956522</v>
      </c>
      <c r="T215" s="6">
        <f t="shared" ref="T215" si="940">(O215/100)*(P215/100)*2*J215</f>
        <v>44.429347826086953</v>
      </c>
      <c r="V215">
        <f t="shared" ref="V215" si="941">SUM((E215-R215)^2/R215,(F215-S215)^2/S215,(G215-T215)^2/T215)</f>
        <v>2.0121710967090309</v>
      </c>
      <c r="W215" s="7">
        <f t="shared" si="906"/>
        <v>0.15604187220867802</v>
      </c>
    </row>
    <row r="216" spans="1:25">
      <c r="A216" s="39">
        <v>5</v>
      </c>
      <c r="B216" s="1" t="s">
        <v>12</v>
      </c>
      <c r="C216" s="1" t="s">
        <v>8</v>
      </c>
      <c r="D216" s="1">
        <v>2</v>
      </c>
      <c r="E216">
        <v>21</v>
      </c>
      <c r="F216" s="2">
        <v>33</v>
      </c>
      <c r="G216" s="2">
        <v>16</v>
      </c>
      <c r="H216">
        <f t="shared" si="893"/>
        <v>58</v>
      </c>
      <c r="I216">
        <f t="shared" ref="I216" si="942">2*F216+G216</f>
        <v>82</v>
      </c>
      <c r="J216" s="22">
        <f t="shared" ref="J216" si="943">SUM(E216:G216)</f>
        <v>70</v>
      </c>
      <c r="K216">
        <v>72</v>
      </c>
      <c r="L216" s="6">
        <f t="shared" ref="L216" si="944">100*(E216/(E216+F216+G216))</f>
        <v>30</v>
      </c>
      <c r="M216" s="6">
        <f t="shared" ref="M216" si="945">100*(F216/(E216+F216+G216))</f>
        <v>47.142857142857139</v>
      </c>
      <c r="N216" s="6">
        <f t="shared" ref="N216" si="946">100*(G216/(E216+F216+G216))</f>
        <v>22.857142857142858</v>
      </c>
      <c r="O216" s="8">
        <f t="shared" si="899"/>
        <v>41.428571428571431</v>
      </c>
      <c r="P216" s="8">
        <f t="shared" si="900"/>
        <v>58.571428571428577</v>
      </c>
      <c r="Q216" s="15">
        <f t="shared" ref="Q216" si="947">1.96*SQRT((O216/100)*(P216/100)*(K216-J216)/(J216*(K216-1)))*100</f>
        <v>1.9368043958039836</v>
      </c>
      <c r="R216" s="6">
        <f t="shared" si="902"/>
        <v>12.014285714285716</v>
      </c>
      <c r="S216" s="6">
        <f t="shared" ref="S216" si="948">(P216/100)^2*J216</f>
        <v>24.01428571428572</v>
      </c>
      <c r="T216" s="6">
        <f t="shared" ref="T216" si="949">(O216/100)*(P216/100)*2*J216</f>
        <v>33.971428571428575</v>
      </c>
      <c r="V216">
        <f t="shared" ref="V216" si="950">SUM((E216-R216)^2/R216,(F216-S216)^2/S216,(G216-T216)^2/T216)</f>
        <v>19.590053482971527</v>
      </c>
      <c r="W216" s="28">
        <f t="shared" si="906"/>
        <v>9.596751197136136E-6</v>
      </c>
    </row>
    <row r="217" spans="1:25">
      <c r="A217" s="39"/>
    </row>
    <row r="218" spans="1:25">
      <c r="A218" s="39">
        <v>0</v>
      </c>
      <c r="B218" s="1" t="s">
        <v>12</v>
      </c>
      <c r="C218" s="1" t="s">
        <v>8</v>
      </c>
      <c r="D218" s="1">
        <v>2</v>
      </c>
      <c r="E218">
        <v>25</v>
      </c>
      <c r="F218" s="2">
        <v>25</v>
      </c>
      <c r="G218" s="2">
        <v>0</v>
      </c>
      <c r="H218" s="22">
        <f>2*E218 + G218</f>
        <v>50</v>
      </c>
      <c r="I218" s="22">
        <f>2*F218+G218</f>
        <v>50</v>
      </c>
      <c r="J218" s="22">
        <f t="shared" ref="J218" si="951">SUM(E218:G218)</f>
        <v>50</v>
      </c>
      <c r="K218" s="22">
        <f>INT(347/(109/95))</f>
        <v>302</v>
      </c>
      <c r="L218" s="25">
        <f t="shared" ref="L218" si="952">100*(E218/(E218+F218+G218))</f>
        <v>50</v>
      </c>
      <c r="M218" s="25">
        <f t="shared" ref="M218" si="953">100*(F218/(E218+F218+G218))</f>
        <v>50</v>
      </c>
      <c r="N218" s="25">
        <f t="shared" ref="N218" si="954">100*(G218/(E218+F218+G218))</f>
        <v>0</v>
      </c>
      <c r="O218" s="8">
        <f t="shared" ref="O218" si="955">100*(H218/(H218+I218))</f>
        <v>50</v>
      </c>
      <c r="P218" s="8">
        <f t="shared" ref="P218" si="956">100*(I218/(H218+I218))</f>
        <v>50</v>
      </c>
      <c r="Q218" s="15">
        <f t="shared" ref="Q218" si="957">1.96*SQRT((O218/100)*(P218/100)*(K218-J218)/(J218*(K218-1)))*100</f>
        <v>12.681134128724359</v>
      </c>
      <c r="R218" s="25">
        <f t="shared" ref="R218" si="958">J218*(O218/100)^2</f>
        <v>12.5</v>
      </c>
      <c r="S218" s="25">
        <f t="shared" ref="S218" si="959">(P218/100)^2*J218</f>
        <v>12.5</v>
      </c>
      <c r="T218" s="25">
        <f t="shared" ref="T218" si="960">(O218/100)*(P218/100)*2*J218</f>
        <v>25</v>
      </c>
      <c r="U218" s="22"/>
      <c r="V218" s="22">
        <f>SUM((E218-R218)^2/R218,(F218-S218)^2/S218,(G218-T218)^2/T218)</f>
        <v>50</v>
      </c>
      <c r="W218" s="26">
        <f t="shared" ref="W218" si="961">_xlfn.CHISQ.DIST.RT(V218, 1)</f>
        <v>1.5374597944280339E-12</v>
      </c>
      <c r="Y218" t="s">
        <v>69</v>
      </c>
    </row>
    <row r="221" spans="1:25">
      <c r="H221" s="67" t="s">
        <v>76</v>
      </c>
      <c r="J221" s="67">
        <f>SUM(J28:J218)</f>
        <v>12150</v>
      </c>
    </row>
    <row r="224" spans="1:25">
      <c r="H224" s="29" t="s">
        <v>77</v>
      </c>
      <c r="J224" s="80">
        <f>AVERAGE(K76:K218)</f>
        <v>224.07339449541286</v>
      </c>
    </row>
    <row r="236" spans="1:23">
      <c r="A236" s="39"/>
      <c r="B236" s="1"/>
      <c r="C236" s="1"/>
      <c r="D236" s="1"/>
      <c r="J236" s="22"/>
      <c r="K236" s="22"/>
      <c r="L236" s="6"/>
      <c r="M236" s="6"/>
      <c r="N236" s="6"/>
      <c r="O236" s="8"/>
      <c r="P236" s="8"/>
      <c r="R236" s="6"/>
      <c r="S236" s="6"/>
      <c r="T236" s="6"/>
      <c r="W236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8"/>
  <sheetViews>
    <sheetView topLeftCell="B15" workbookViewId="0">
      <selection activeCell="J46" sqref="J46"/>
    </sheetView>
  </sheetViews>
  <sheetFormatPr baseColWidth="10" defaultRowHeight="15" x14ac:dyDescent="0"/>
  <cols>
    <col min="3" max="3" width="12.83203125" bestFit="1" customWidth="1"/>
  </cols>
  <sheetData>
    <row r="2" spans="2:20">
      <c r="B2" s="29" t="s">
        <v>36</v>
      </c>
    </row>
    <row r="3" spans="2:20">
      <c r="K3" s="1" t="s">
        <v>57</v>
      </c>
    </row>
    <row r="4" spans="2:20" s="1" customFormat="1">
      <c r="B4" s="1" t="s">
        <v>56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42</v>
      </c>
      <c r="I4" s="1" t="s">
        <v>43</v>
      </c>
      <c r="J4" s="1" t="s">
        <v>44</v>
      </c>
      <c r="K4" s="1" t="s">
        <v>45</v>
      </c>
      <c r="L4" s="1" t="s">
        <v>46</v>
      </c>
      <c r="M4" s="1" t="s">
        <v>47</v>
      </c>
      <c r="N4" s="1" t="s">
        <v>48</v>
      </c>
      <c r="O4" s="1" t="s">
        <v>49</v>
      </c>
      <c r="P4" s="1" t="s">
        <v>50</v>
      </c>
      <c r="Q4" s="1" t="s">
        <v>51</v>
      </c>
      <c r="R4" s="1" t="s">
        <v>52</v>
      </c>
      <c r="S4" s="1" t="s">
        <v>53</v>
      </c>
      <c r="T4" s="1" t="s">
        <v>54</v>
      </c>
    </row>
    <row r="5" spans="2:20" s="1" customFormat="1">
      <c r="B5" s="1">
        <v>-1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</v>
      </c>
      <c r="M5" s="1">
        <v>50</v>
      </c>
      <c r="N5" s="1">
        <v>50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</row>
    <row r="6" spans="2:20">
      <c r="B6" s="11">
        <v>0</v>
      </c>
      <c r="C6">
        <v>37.9</v>
      </c>
      <c r="D6">
        <v>23.1</v>
      </c>
      <c r="E6">
        <v>41.1</v>
      </c>
      <c r="F6">
        <v>45.3</v>
      </c>
      <c r="G6">
        <v>56</v>
      </c>
      <c r="H6">
        <v>38.9</v>
      </c>
      <c r="I6">
        <v>78.400000000000006</v>
      </c>
      <c r="J6">
        <v>42.7</v>
      </c>
      <c r="K6">
        <v>43.2</v>
      </c>
      <c r="L6">
        <v>53.6</v>
      </c>
      <c r="M6">
        <v>76.099999999999994</v>
      </c>
      <c r="N6">
        <v>70.5</v>
      </c>
      <c r="O6">
        <v>75</v>
      </c>
      <c r="P6">
        <v>64.8</v>
      </c>
      <c r="Q6">
        <v>56.8</v>
      </c>
      <c r="R6">
        <v>55.6</v>
      </c>
      <c r="S6">
        <v>50</v>
      </c>
      <c r="T6">
        <v>60</v>
      </c>
    </row>
    <row r="7" spans="2:20">
      <c r="B7" s="11">
        <v>1</v>
      </c>
    </row>
    <row r="8" spans="2:20">
      <c r="B8" s="11">
        <v>2</v>
      </c>
      <c r="C8">
        <v>50</v>
      </c>
      <c r="F8">
        <v>62.8</v>
      </c>
      <c r="I8" s="6">
        <v>65.168539325842701</v>
      </c>
      <c r="L8" s="6">
        <v>39.361702127659576</v>
      </c>
      <c r="O8">
        <v>67.900000000000006</v>
      </c>
      <c r="R8">
        <v>60.1</v>
      </c>
    </row>
    <row r="9" spans="2:20">
      <c r="B9" s="11">
        <v>3</v>
      </c>
    </row>
    <row r="10" spans="2:20">
      <c r="B10" s="11">
        <v>4</v>
      </c>
    </row>
    <row r="11" spans="2:20">
      <c r="B11" s="11">
        <v>5</v>
      </c>
      <c r="C11">
        <v>49.5</v>
      </c>
      <c r="D11">
        <v>50</v>
      </c>
      <c r="E11">
        <v>72.599999999999994</v>
      </c>
      <c r="F11">
        <v>51.6</v>
      </c>
      <c r="G11">
        <v>61.6</v>
      </c>
      <c r="H11">
        <v>56.8</v>
      </c>
      <c r="I11" s="6">
        <v>70.555555555555557</v>
      </c>
      <c r="J11">
        <v>68.3</v>
      </c>
      <c r="K11">
        <v>49.1</v>
      </c>
      <c r="L11" s="6">
        <v>25.268817204301076</v>
      </c>
      <c r="M11">
        <v>60</v>
      </c>
      <c r="N11">
        <v>48.9</v>
      </c>
      <c r="O11">
        <v>57</v>
      </c>
      <c r="P11">
        <v>30.5</v>
      </c>
      <c r="Q11">
        <v>53.4</v>
      </c>
      <c r="R11">
        <v>47.8</v>
      </c>
      <c r="S11">
        <v>41.4</v>
      </c>
      <c r="T11">
        <v>40.299999999999997</v>
      </c>
    </row>
    <row r="12" spans="2:20">
      <c r="B12" s="11">
        <v>6</v>
      </c>
    </row>
    <row r="13" spans="2:20">
      <c r="B13" s="11">
        <v>7</v>
      </c>
    </row>
    <row r="14" spans="2:20">
      <c r="B14" s="11">
        <v>8</v>
      </c>
    </row>
    <row r="15" spans="2:20">
      <c r="B15" s="11">
        <v>9</v>
      </c>
      <c r="J15" s="48">
        <v>47.9</v>
      </c>
    </row>
    <row r="16" spans="2:20">
      <c r="B16" s="11">
        <v>10</v>
      </c>
      <c r="C16" s="6">
        <v>60.714285714285708</v>
      </c>
      <c r="D16">
        <v>50.5</v>
      </c>
      <c r="E16">
        <v>71.099999999999994</v>
      </c>
      <c r="F16">
        <v>60.5</v>
      </c>
      <c r="G16">
        <v>82.4</v>
      </c>
      <c r="H16">
        <v>48.4</v>
      </c>
      <c r="I16" s="6">
        <v>75.400000000000006</v>
      </c>
      <c r="J16" s="82"/>
      <c r="K16">
        <v>52.2</v>
      </c>
      <c r="L16" s="6">
        <v>33.200000000000003</v>
      </c>
      <c r="M16">
        <v>52.1</v>
      </c>
      <c r="N16">
        <v>52.2</v>
      </c>
      <c r="O16" s="6">
        <v>66.83673469387756</v>
      </c>
      <c r="P16">
        <v>46.5</v>
      </c>
      <c r="Q16">
        <v>53.2</v>
      </c>
      <c r="R16" s="6">
        <v>60.869565217391312</v>
      </c>
      <c r="S16">
        <v>59.2</v>
      </c>
      <c r="T16">
        <v>48.4</v>
      </c>
    </row>
    <row r="17" spans="2:20">
      <c r="B17" s="11">
        <v>11</v>
      </c>
      <c r="C17" s="6"/>
      <c r="I17" s="6"/>
      <c r="L17" s="6"/>
      <c r="O17" s="6"/>
      <c r="R17" s="6"/>
    </row>
    <row r="18" spans="2:20">
      <c r="B18" s="11">
        <v>15</v>
      </c>
      <c r="C18" s="59"/>
      <c r="D18">
        <v>67.900000000000006</v>
      </c>
      <c r="E18">
        <v>68.400000000000006</v>
      </c>
      <c r="F18" s="59"/>
      <c r="G18">
        <v>85.6</v>
      </c>
      <c r="H18">
        <v>67</v>
      </c>
      <c r="I18" s="59"/>
      <c r="J18">
        <v>70.7</v>
      </c>
      <c r="K18">
        <v>41.1</v>
      </c>
      <c r="L18" s="59"/>
      <c r="M18">
        <v>52.7</v>
      </c>
      <c r="N18">
        <v>75.8</v>
      </c>
      <c r="O18" s="59"/>
      <c r="P18">
        <v>39</v>
      </c>
      <c r="Q18">
        <v>43.8</v>
      </c>
      <c r="R18" s="59"/>
      <c r="S18">
        <v>58.7</v>
      </c>
      <c r="T18">
        <v>60.1</v>
      </c>
    </row>
    <row r="19" spans="2:20">
      <c r="B19" s="11">
        <v>20</v>
      </c>
      <c r="C19" s="59"/>
      <c r="D19">
        <v>73.400000000000006</v>
      </c>
      <c r="E19">
        <v>68.599999999999994</v>
      </c>
      <c r="F19" s="59"/>
      <c r="G19">
        <v>86.7</v>
      </c>
      <c r="H19">
        <v>76.3</v>
      </c>
      <c r="I19" s="59"/>
      <c r="J19">
        <v>61.7</v>
      </c>
      <c r="K19">
        <v>55.3</v>
      </c>
      <c r="L19" s="59"/>
      <c r="M19">
        <v>47.8</v>
      </c>
      <c r="N19">
        <v>69.099999999999994</v>
      </c>
      <c r="O19" s="59"/>
      <c r="P19">
        <v>40.6</v>
      </c>
      <c r="Q19">
        <v>41</v>
      </c>
      <c r="R19" s="59"/>
      <c r="S19">
        <v>64.5</v>
      </c>
      <c r="T19">
        <v>64.900000000000006</v>
      </c>
    </row>
    <row r="20" spans="2:20">
      <c r="B20" s="11">
        <v>25</v>
      </c>
      <c r="C20" s="59"/>
      <c r="D20">
        <v>80.400000000000006</v>
      </c>
      <c r="E20">
        <v>69.2</v>
      </c>
      <c r="F20" s="59"/>
      <c r="G20">
        <v>78.8</v>
      </c>
      <c r="H20">
        <v>73.7</v>
      </c>
      <c r="I20" s="59"/>
      <c r="J20">
        <v>67.7</v>
      </c>
      <c r="K20">
        <v>54.4</v>
      </c>
      <c r="L20" s="59"/>
      <c r="M20">
        <v>54.3</v>
      </c>
      <c r="O20" s="59"/>
      <c r="P20">
        <v>52.1</v>
      </c>
      <c r="Q20">
        <v>39.9</v>
      </c>
      <c r="R20" s="59"/>
      <c r="T20">
        <v>56.8</v>
      </c>
    </row>
    <row r="21" spans="2:20">
      <c r="B21" s="11">
        <v>26</v>
      </c>
      <c r="N21">
        <v>59.3</v>
      </c>
      <c r="S21">
        <v>51.7</v>
      </c>
    </row>
    <row r="22" spans="2:20">
      <c r="B22" s="11">
        <v>30</v>
      </c>
      <c r="D22">
        <v>82.1</v>
      </c>
      <c r="E22">
        <v>61.4</v>
      </c>
      <c r="H22">
        <v>58</v>
      </c>
      <c r="J22">
        <v>66.099999999999994</v>
      </c>
      <c r="K22">
        <v>51.1</v>
      </c>
      <c r="M22">
        <v>47.6</v>
      </c>
      <c r="N22">
        <v>76.099999999999994</v>
      </c>
      <c r="Q22">
        <v>44.7</v>
      </c>
      <c r="S22">
        <v>60.2</v>
      </c>
      <c r="T22">
        <v>36.799999999999997</v>
      </c>
    </row>
    <row r="23" spans="2:20">
      <c r="B23" s="11">
        <v>31</v>
      </c>
      <c r="G23">
        <v>68.099999999999994</v>
      </c>
      <c r="P23">
        <v>63.7</v>
      </c>
    </row>
    <row r="24" spans="2:20">
      <c r="B24" s="11">
        <v>35</v>
      </c>
      <c r="D24">
        <v>83.7</v>
      </c>
      <c r="E24">
        <v>78.400000000000006</v>
      </c>
      <c r="G24">
        <v>63.2</v>
      </c>
      <c r="H24">
        <v>71.8</v>
      </c>
      <c r="J24">
        <v>64.900000000000006</v>
      </c>
      <c r="K24">
        <v>57.5</v>
      </c>
      <c r="N24">
        <v>78.400000000000006</v>
      </c>
      <c r="P24">
        <v>55.8</v>
      </c>
      <c r="Q24">
        <v>50</v>
      </c>
      <c r="S24">
        <v>46.8</v>
      </c>
      <c r="T24">
        <v>46.5</v>
      </c>
    </row>
    <row r="25" spans="2:20">
      <c r="B25" s="11">
        <v>36</v>
      </c>
      <c r="M25">
        <v>61.1</v>
      </c>
    </row>
    <row r="26" spans="2:20">
      <c r="B26" s="11">
        <v>39</v>
      </c>
      <c r="H26">
        <v>54.2</v>
      </c>
    </row>
    <row r="27" spans="2:20">
      <c r="B27" s="11">
        <v>40</v>
      </c>
      <c r="D27">
        <v>87.2</v>
      </c>
      <c r="E27">
        <v>80.3</v>
      </c>
      <c r="G27" s="25">
        <v>54.3</v>
      </c>
      <c r="J27">
        <v>56.8</v>
      </c>
      <c r="K27">
        <v>63.2</v>
      </c>
      <c r="M27">
        <v>70</v>
      </c>
      <c r="N27">
        <v>75.8</v>
      </c>
      <c r="P27">
        <v>51.1</v>
      </c>
      <c r="Q27">
        <v>57.1</v>
      </c>
      <c r="S27">
        <v>60.6</v>
      </c>
      <c r="T27">
        <v>50</v>
      </c>
    </row>
    <row r="34" spans="2:20">
      <c r="B34" s="29" t="s">
        <v>55</v>
      </c>
    </row>
    <row r="36" spans="2:20">
      <c r="B36" s="1" t="s">
        <v>56</v>
      </c>
      <c r="C36" s="1" t="s">
        <v>37</v>
      </c>
      <c r="D36" s="1" t="s">
        <v>38</v>
      </c>
      <c r="E36" s="1" t="s">
        <v>39</v>
      </c>
      <c r="F36" s="1" t="s">
        <v>40</v>
      </c>
      <c r="G36" s="1" t="s">
        <v>41</v>
      </c>
      <c r="H36" s="1" t="s">
        <v>42</v>
      </c>
      <c r="I36" s="1" t="s">
        <v>43</v>
      </c>
      <c r="J36" s="1" t="s">
        <v>44</v>
      </c>
      <c r="K36" s="1" t="s">
        <v>45</v>
      </c>
      <c r="L36" s="1" t="s">
        <v>46</v>
      </c>
      <c r="M36" s="1" t="s">
        <v>47</v>
      </c>
      <c r="N36" s="1" t="s">
        <v>48</v>
      </c>
      <c r="O36" s="1" t="s">
        <v>49</v>
      </c>
      <c r="P36" s="1" t="s">
        <v>50</v>
      </c>
      <c r="Q36" s="1" t="s">
        <v>51</v>
      </c>
      <c r="R36" s="1" t="s">
        <v>52</v>
      </c>
      <c r="S36" s="1" t="s">
        <v>53</v>
      </c>
      <c r="T36" s="1" t="s">
        <v>54</v>
      </c>
    </row>
    <row r="37" spans="2:20">
      <c r="B37" s="11">
        <v>0</v>
      </c>
      <c r="C37">
        <v>8.4802292938366062</v>
      </c>
      <c r="D37">
        <v>7.3345766223129063</v>
      </c>
      <c r="E37">
        <v>6.5899824775711737</v>
      </c>
      <c r="F37">
        <v>2.5213762673290185</v>
      </c>
      <c r="G37">
        <v>7.9673268321989861</v>
      </c>
      <c r="H37">
        <v>8.0681161325662032</v>
      </c>
      <c r="I37">
        <v>2.3662454289420038</v>
      </c>
      <c r="J37">
        <v>7.0681093175397214</v>
      </c>
      <c r="K37">
        <v>7.9840812841404389</v>
      </c>
      <c r="L37">
        <v>3.5948160724371432</v>
      </c>
      <c r="M37">
        <v>6.2467131297872927</v>
      </c>
      <c r="N37">
        <v>3.4011004671064207</v>
      </c>
      <c r="O37">
        <v>7.3945009111295912</v>
      </c>
      <c r="P37">
        <v>7.0572473618842304</v>
      </c>
      <c r="Q37">
        <v>6.3390023855456707</v>
      </c>
      <c r="R37">
        <v>0</v>
      </c>
      <c r="S37">
        <v>12.681134128724359</v>
      </c>
      <c r="T37">
        <v>6.1175873617790675</v>
      </c>
    </row>
    <row r="38" spans="2:20">
      <c r="B38" s="11">
        <v>1</v>
      </c>
    </row>
    <row r="39" spans="2:20">
      <c r="B39" s="11">
        <v>2</v>
      </c>
      <c r="C39">
        <v>9.2652061362203355</v>
      </c>
      <c r="F39">
        <v>8.1388435821511695</v>
      </c>
      <c r="I39">
        <v>8.9534583405567663</v>
      </c>
      <c r="L39">
        <v>5.914530170779364</v>
      </c>
      <c r="O39">
        <v>7.0559172714061482</v>
      </c>
      <c r="R39">
        <v>8.4827503979305785</v>
      </c>
    </row>
    <row r="40" spans="2:20">
      <c r="B40" s="11">
        <v>3</v>
      </c>
    </row>
    <row r="41" spans="2:20">
      <c r="B41" s="11">
        <v>4</v>
      </c>
    </row>
    <row r="42" spans="2:20">
      <c r="B42" s="11">
        <v>5</v>
      </c>
      <c r="C42">
        <v>7.5970477299289172</v>
      </c>
      <c r="D42">
        <v>6.3616050916698503</v>
      </c>
      <c r="E42">
        <v>3.1250838181569547</v>
      </c>
      <c r="F42">
        <v>7.7381396852251205</v>
      </c>
      <c r="G42">
        <v>6.6764503084242142</v>
      </c>
      <c r="H42">
        <v>4.1717862067706539</v>
      </c>
      <c r="I42">
        <v>8.1397046980077494</v>
      </c>
      <c r="J42">
        <v>9.3085294016600848</v>
      </c>
      <c r="K42">
        <v>0</v>
      </c>
      <c r="L42">
        <v>7.0919609480642016</v>
      </c>
      <c r="M42">
        <v>7.8458573037680956</v>
      </c>
      <c r="N42">
        <v>4.6074913951081875</v>
      </c>
      <c r="O42">
        <v>7.0150809969634613</v>
      </c>
      <c r="P42">
        <v>5.449071917702855</v>
      </c>
      <c r="Q42">
        <v>7.0667518304740007</v>
      </c>
      <c r="R42">
        <v>7.3733450931763951</v>
      </c>
      <c r="S42">
        <v>1.9368043958039836</v>
      </c>
      <c r="T42">
        <v>2.8076096128579699</v>
      </c>
    </row>
    <row r="43" spans="2:20">
      <c r="B43" s="11">
        <v>6</v>
      </c>
    </row>
    <row r="44" spans="2:20">
      <c r="B44" s="11">
        <v>7</v>
      </c>
    </row>
    <row r="45" spans="2:20">
      <c r="B45" s="11">
        <v>8</v>
      </c>
    </row>
    <row r="46" spans="2:20">
      <c r="B46" s="11">
        <v>9</v>
      </c>
      <c r="J46">
        <v>7.6206895186007566</v>
      </c>
    </row>
    <row r="47" spans="2:20">
      <c r="B47" s="11">
        <v>10</v>
      </c>
      <c r="C47">
        <v>7.2469543102046359</v>
      </c>
      <c r="D47">
        <v>7.6450826679282224</v>
      </c>
      <c r="E47">
        <v>7.4975251885622081</v>
      </c>
      <c r="F47">
        <v>7.1825713257549717</v>
      </c>
      <c r="G47" s="53">
        <v>5.5685319317257944</v>
      </c>
      <c r="H47">
        <v>8.1981387179562901</v>
      </c>
      <c r="I47">
        <v>5.43</v>
      </c>
      <c r="K47">
        <v>8.4024530686496242</v>
      </c>
      <c r="L47">
        <v>7.4993382515727873</v>
      </c>
      <c r="M47">
        <v>8.4734042539299264</v>
      </c>
      <c r="N47">
        <v>8.4024530686496242</v>
      </c>
      <c r="O47">
        <v>6.7049868315311567</v>
      </c>
      <c r="P47">
        <v>7.6928223399378046</v>
      </c>
      <c r="Q47">
        <v>7.7477856097045219</v>
      </c>
      <c r="R47">
        <v>3.7515634074285056</v>
      </c>
      <c r="S47">
        <v>8.0260319264604263</v>
      </c>
      <c r="T47">
        <v>7.838237640282113</v>
      </c>
    </row>
    <row r="48" spans="2:20">
      <c r="B48" s="11">
        <v>11</v>
      </c>
      <c r="G48" s="53"/>
      <c r="J48" s="3"/>
    </row>
    <row r="49" spans="2:20">
      <c r="B49" s="11">
        <v>15</v>
      </c>
      <c r="D49">
        <v>4.6754808315894874</v>
      </c>
      <c r="E49">
        <v>3.6580609757536187</v>
      </c>
      <c r="G49">
        <v>6.0632541060196834</v>
      </c>
      <c r="H49">
        <v>4.9698633762807578</v>
      </c>
      <c r="J49">
        <v>5.3427165943601196</v>
      </c>
      <c r="K49">
        <v>7.102252616976557</v>
      </c>
      <c r="M49">
        <v>4.8554918157503648</v>
      </c>
      <c r="N49">
        <v>5.8007467788620453</v>
      </c>
      <c r="P49">
        <v>1.84</v>
      </c>
      <c r="Q49">
        <v>4.1087749086558638</v>
      </c>
      <c r="S49">
        <v>5.99</v>
      </c>
      <c r="T49">
        <v>3.9863819882766118</v>
      </c>
    </row>
    <row r="50" spans="2:20">
      <c r="B50" s="11">
        <v>20</v>
      </c>
      <c r="D50">
        <v>7.6913200390060288</v>
      </c>
      <c r="E50">
        <v>7.699869073540869</v>
      </c>
      <c r="G50">
        <v>6.1178111146187764</v>
      </c>
      <c r="H50">
        <v>5.3289473684210522</v>
      </c>
      <c r="J50" s="15">
        <v>9.0870411052983968</v>
      </c>
      <c r="K50">
        <v>8.3806504325921729</v>
      </c>
      <c r="M50">
        <v>6.5905454974987077</v>
      </c>
      <c r="N50">
        <v>4.1087749086558638</v>
      </c>
      <c r="P50">
        <v>8.519261725478632</v>
      </c>
      <c r="Q50">
        <v>7.7158632422488242</v>
      </c>
      <c r="S50">
        <v>7.1760408371824305</v>
      </c>
      <c r="T50">
        <v>8.2935230049097228</v>
      </c>
    </row>
    <row r="51" spans="2:20">
      <c r="B51" s="11">
        <v>25</v>
      </c>
      <c r="D51">
        <v>6.1667248839749407</v>
      </c>
      <c r="E51">
        <v>7.4969269990287692</v>
      </c>
      <c r="G51">
        <v>5.9988441872242646</v>
      </c>
      <c r="H51">
        <v>6.924724805785357</v>
      </c>
      <c r="J51">
        <v>5.5042133540459535</v>
      </c>
      <c r="K51">
        <v>2.3730306683067779</v>
      </c>
      <c r="M51">
        <v>7.67106688826461</v>
      </c>
      <c r="P51">
        <v>7.6206895186007566</v>
      </c>
      <c r="Q51">
        <v>3.2194658420018647</v>
      </c>
      <c r="T51">
        <v>5.0366099605603694</v>
      </c>
    </row>
    <row r="52" spans="2:20">
      <c r="B52" s="11">
        <v>26</v>
      </c>
      <c r="N52">
        <v>8.3941356625282317</v>
      </c>
      <c r="S52">
        <v>7.3207934091219977</v>
      </c>
    </row>
    <row r="53" spans="2:20">
      <c r="B53" s="11">
        <v>30</v>
      </c>
      <c r="D53" s="15">
        <v>6.7007759555423512</v>
      </c>
      <c r="E53">
        <v>8.3755254833630772</v>
      </c>
      <c r="H53">
        <v>8.176071347447019</v>
      </c>
      <c r="J53">
        <v>8.1711547291581219</v>
      </c>
      <c r="K53">
        <v>8.0955036439142098</v>
      </c>
      <c r="M53">
        <v>8.7978532660674382</v>
      </c>
      <c r="N53">
        <v>7.0851712992405753</v>
      </c>
      <c r="Q53">
        <v>7.8983627352173151</v>
      </c>
      <c r="S53">
        <v>8.2263383436425599</v>
      </c>
      <c r="T53">
        <v>8.4508221053712251</v>
      </c>
    </row>
    <row r="54" spans="2:20">
      <c r="B54" s="11">
        <v>31</v>
      </c>
      <c r="G54">
        <v>7.5875739627809082</v>
      </c>
      <c r="P54">
        <v>8.0317415877705294</v>
      </c>
    </row>
    <row r="55" spans="2:20">
      <c r="B55" s="11">
        <v>35</v>
      </c>
      <c r="D55">
        <v>4.8545298159789363</v>
      </c>
      <c r="E55">
        <v>5.0544524389058116</v>
      </c>
      <c r="G55">
        <v>7.8081425177844501</v>
      </c>
      <c r="H55">
        <v>6.6529767441998926</v>
      </c>
      <c r="J55">
        <v>0</v>
      </c>
      <c r="K55">
        <v>6.0370880931116488</v>
      </c>
      <c r="N55">
        <v>5.4264141006016304</v>
      </c>
      <c r="P55">
        <v>6.8388905990530642</v>
      </c>
      <c r="Q55">
        <v>7.5744019640827487</v>
      </c>
      <c r="S55">
        <v>7.2724447829727366</v>
      </c>
      <c r="T55">
        <v>1.6169541344216929</v>
      </c>
    </row>
    <row r="56" spans="2:20">
      <c r="B56" s="11">
        <v>36</v>
      </c>
      <c r="M56" s="53">
        <v>8.6819660503646361</v>
      </c>
    </row>
    <row r="57" spans="2:20">
      <c r="B57" s="11">
        <v>39</v>
      </c>
      <c r="H57">
        <v>7.0844136079521558</v>
      </c>
      <c r="M57" s="53"/>
    </row>
    <row r="58" spans="2:20">
      <c r="B58" s="11">
        <v>40</v>
      </c>
      <c r="D58">
        <v>5.7377567453577596</v>
      </c>
      <c r="E58">
        <v>6.7384933266926836</v>
      </c>
      <c r="G58">
        <v>8.6389738040728314</v>
      </c>
      <c r="J58">
        <v>8.9316666395746029</v>
      </c>
      <c r="K58">
        <v>8.3701199705276252</v>
      </c>
      <c r="M58">
        <v>5.1788627537879561</v>
      </c>
      <c r="N58">
        <v>6.9750290643469226</v>
      </c>
      <c r="P58">
        <v>8.6061028194517881</v>
      </c>
      <c r="Q58">
        <v>9.1251421033217657</v>
      </c>
      <c r="S58">
        <v>6.94714520059118</v>
      </c>
      <c r="T58">
        <v>9.1236836566682626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0"/>
  <sheetViews>
    <sheetView topLeftCell="A51" workbookViewId="0">
      <selection activeCell="A82" sqref="A82:XFD82"/>
    </sheetView>
  </sheetViews>
  <sheetFormatPr baseColWidth="10" defaultRowHeight="15" x14ac:dyDescent="0"/>
  <sheetData>
    <row r="1" spans="1:20">
      <c r="A1" s="1" t="s">
        <v>56</v>
      </c>
      <c r="B1" s="1">
        <v>-1</v>
      </c>
      <c r="C1" s="11">
        <v>0</v>
      </c>
      <c r="D1" s="11">
        <v>1</v>
      </c>
      <c r="E1" s="11">
        <v>2</v>
      </c>
      <c r="F1" s="11">
        <v>5</v>
      </c>
      <c r="G1" s="11">
        <v>9</v>
      </c>
      <c r="H1" s="11">
        <v>10</v>
      </c>
      <c r="I1" s="11">
        <v>11</v>
      </c>
      <c r="J1" s="11">
        <v>15</v>
      </c>
      <c r="L1" s="11">
        <v>20</v>
      </c>
      <c r="M1" s="11">
        <v>25</v>
      </c>
      <c r="N1" s="11">
        <v>26</v>
      </c>
      <c r="O1" s="11">
        <v>30</v>
      </c>
      <c r="P1" s="11">
        <v>31</v>
      </c>
      <c r="Q1" s="11">
        <v>35</v>
      </c>
      <c r="R1" s="11">
        <v>36</v>
      </c>
      <c r="S1" s="11">
        <v>39</v>
      </c>
      <c r="T1" s="11">
        <v>40</v>
      </c>
    </row>
    <row r="2" spans="1:20">
      <c r="A2" s="1" t="s">
        <v>37</v>
      </c>
      <c r="B2" s="1">
        <v>50</v>
      </c>
      <c r="C2">
        <v>37.9</v>
      </c>
      <c r="E2">
        <v>50</v>
      </c>
      <c r="F2">
        <v>49.5</v>
      </c>
      <c r="H2" s="6">
        <v>60.714285714285708</v>
      </c>
      <c r="I2" s="6"/>
      <c r="J2" s="59"/>
      <c r="K2" s="59"/>
      <c r="L2" s="59"/>
      <c r="M2" s="59"/>
      <c r="N2" s="59"/>
      <c r="O2" s="59"/>
      <c r="P2" s="59"/>
      <c r="Q2" s="59"/>
    </row>
    <row r="3" spans="1:20">
      <c r="A3" s="1" t="s">
        <v>38</v>
      </c>
      <c r="B3" s="1">
        <v>50</v>
      </c>
      <c r="C3">
        <v>23.1</v>
      </c>
      <c r="F3">
        <v>50</v>
      </c>
      <c r="H3">
        <v>50.5</v>
      </c>
      <c r="J3">
        <v>67.900000000000006</v>
      </c>
      <c r="L3">
        <v>73.400000000000006</v>
      </c>
      <c r="M3">
        <v>80.400000000000006</v>
      </c>
      <c r="O3">
        <v>82.1</v>
      </c>
      <c r="Q3">
        <v>83.7</v>
      </c>
      <c r="T3">
        <v>87.2</v>
      </c>
    </row>
    <row r="4" spans="1:20">
      <c r="A4" s="1" t="s">
        <v>39</v>
      </c>
      <c r="B4" s="1">
        <v>50</v>
      </c>
      <c r="C4">
        <v>41.1</v>
      </c>
      <c r="F4">
        <v>72.599999999999994</v>
      </c>
      <c r="H4">
        <v>71.099999999999994</v>
      </c>
      <c r="J4">
        <v>68.400000000000006</v>
      </c>
      <c r="L4">
        <v>68.599999999999994</v>
      </c>
      <c r="M4">
        <v>69.2</v>
      </c>
      <c r="O4">
        <v>61.4</v>
      </c>
      <c r="Q4">
        <v>78.400000000000006</v>
      </c>
      <c r="T4">
        <v>80.3</v>
      </c>
    </row>
    <row r="5" spans="1:20">
      <c r="A5" s="1" t="s">
        <v>40</v>
      </c>
      <c r="B5" s="1">
        <v>50</v>
      </c>
      <c r="C5">
        <v>45.3</v>
      </c>
      <c r="E5">
        <v>62.8</v>
      </c>
      <c r="F5">
        <v>51.6</v>
      </c>
      <c r="H5">
        <v>60.5</v>
      </c>
      <c r="J5" s="59"/>
      <c r="K5" s="59"/>
      <c r="L5" s="59"/>
      <c r="M5" s="59"/>
      <c r="N5" s="59"/>
      <c r="O5" s="59"/>
      <c r="P5" s="59"/>
      <c r="Q5" s="59"/>
    </row>
    <row r="6" spans="1:20">
      <c r="A6" s="1" t="s">
        <v>41</v>
      </c>
      <c r="B6" s="1">
        <v>50</v>
      </c>
      <c r="C6">
        <v>56</v>
      </c>
      <c r="F6">
        <v>61.6</v>
      </c>
      <c r="H6">
        <v>82.4</v>
      </c>
      <c r="J6">
        <v>85.6</v>
      </c>
      <c r="L6">
        <v>86.7</v>
      </c>
      <c r="M6">
        <v>78.8</v>
      </c>
      <c r="P6">
        <v>68.099999999999994</v>
      </c>
      <c r="Q6">
        <v>63.2</v>
      </c>
      <c r="T6">
        <v>54.3</v>
      </c>
    </row>
    <row r="7" spans="1:20">
      <c r="A7" s="1" t="s">
        <v>42</v>
      </c>
      <c r="B7" s="1">
        <v>50</v>
      </c>
      <c r="C7">
        <v>38.9</v>
      </c>
      <c r="F7">
        <v>56.8</v>
      </c>
      <c r="H7">
        <v>48.4</v>
      </c>
      <c r="J7">
        <v>67</v>
      </c>
      <c r="L7">
        <v>76.3</v>
      </c>
      <c r="M7">
        <v>73.7</v>
      </c>
      <c r="O7">
        <v>58</v>
      </c>
      <c r="Q7">
        <v>71.8</v>
      </c>
      <c r="S7">
        <v>54.2</v>
      </c>
    </row>
    <row r="8" spans="1:20">
      <c r="A8" s="1" t="s">
        <v>43</v>
      </c>
      <c r="B8" s="1">
        <v>50</v>
      </c>
      <c r="C8">
        <v>78.400000000000006</v>
      </c>
      <c r="E8" s="6">
        <v>65.168539325842701</v>
      </c>
      <c r="F8" s="6">
        <v>70.555555555555557</v>
      </c>
      <c r="G8" s="6"/>
      <c r="H8" s="6">
        <v>75.400000000000006</v>
      </c>
      <c r="I8" s="6"/>
      <c r="J8" s="59"/>
      <c r="K8" s="59"/>
      <c r="L8" s="59"/>
      <c r="M8" s="59"/>
      <c r="N8" s="59"/>
      <c r="O8" s="59"/>
      <c r="P8" s="59"/>
      <c r="Q8" s="59"/>
    </row>
    <row r="9" spans="1:20">
      <c r="A9" s="1" t="s">
        <v>44</v>
      </c>
      <c r="B9" s="1">
        <v>50</v>
      </c>
      <c r="C9">
        <v>42.7</v>
      </c>
      <c r="F9">
        <v>68.3</v>
      </c>
      <c r="G9" s="36">
        <v>47.9</v>
      </c>
      <c r="H9" s="81"/>
      <c r="J9">
        <v>70.7</v>
      </c>
      <c r="L9">
        <v>61.7</v>
      </c>
      <c r="M9">
        <v>67.7</v>
      </c>
      <c r="O9">
        <v>66.099999999999994</v>
      </c>
      <c r="Q9">
        <v>64.900000000000006</v>
      </c>
      <c r="T9">
        <v>56.8</v>
      </c>
    </row>
    <row r="10" spans="1:20">
      <c r="A10" s="1" t="s">
        <v>45</v>
      </c>
      <c r="B10" s="1">
        <v>50</v>
      </c>
      <c r="C10">
        <v>43.2</v>
      </c>
      <c r="F10">
        <v>49.1</v>
      </c>
      <c r="H10">
        <v>52.2</v>
      </c>
      <c r="J10">
        <v>41.1</v>
      </c>
      <c r="L10">
        <v>55.3</v>
      </c>
      <c r="M10">
        <v>54.4</v>
      </c>
      <c r="O10">
        <v>51.1</v>
      </c>
      <c r="Q10">
        <v>57.5</v>
      </c>
      <c r="T10">
        <v>63.2</v>
      </c>
    </row>
    <row r="11" spans="1:20">
      <c r="A11" s="1" t="s">
        <v>46</v>
      </c>
      <c r="B11" s="1">
        <v>50</v>
      </c>
      <c r="C11">
        <v>53.6</v>
      </c>
      <c r="E11" s="6">
        <v>39.361702127659576</v>
      </c>
      <c r="F11" s="6">
        <v>25.268817204301076</v>
      </c>
      <c r="G11" s="6"/>
      <c r="H11" s="6">
        <v>33.200000000000003</v>
      </c>
      <c r="I11" s="6"/>
      <c r="J11" s="60"/>
      <c r="K11" s="59"/>
      <c r="L11" s="59"/>
      <c r="M11" s="59"/>
      <c r="N11" s="59"/>
      <c r="O11" s="59"/>
      <c r="P11" s="59"/>
      <c r="Q11" s="59"/>
    </row>
    <row r="12" spans="1:20">
      <c r="A12" s="1" t="s">
        <v>47</v>
      </c>
      <c r="B12" s="1">
        <v>50</v>
      </c>
      <c r="C12">
        <v>76.099999999999994</v>
      </c>
      <c r="F12" s="22">
        <v>60</v>
      </c>
      <c r="G12" s="22"/>
      <c r="H12">
        <v>52.1</v>
      </c>
      <c r="J12">
        <v>52.7</v>
      </c>
      <c r="L12">
        <v>47.8</v>
      </c>
      <c r="M12">
        <v>54.3</v>
      </c>
      <c r="O12">
        <v>47.6</v>
      </c>
      <c r="R12">
        <v>61.1</v>
      </c>
      <c r="T12">
        <v>70</v>
      </c>
    </row>
    <row r="13" spans="1:20">
      <c r="A13" s="1" t="s">
        <v>48</v>
      </c>
      <c r="B13" s="1">
        <v>50</v>
      </c>
      <c r="C13">
        <v>70.5</v>
      </c>
      <c r="F13">
        <v>48.9</v>
      </c>
      <c r="H13">
        <v>52.2</v>
      </c>
      <c r="J13">
        <v>75.8</v>
      </c>
      <c r="L13">
        <v>69.099999999999994</v>
      </c>
      <c r="N13">
        <v>59.3</v>
      </c>
      <c r="O13">
        <v>76.099999999999994</v>
      </c>
      <c r="Q13">
        <v>78.400000000000006</v>
      </c>
      <c r="T13">
        <v>75.8</v>
      </c>
    </row>
    <row r="14" spans="1:20">
      <c r="A14" s="1" t="s">
        <v>49</v>
      </c>
      <c r="B14" s="1">
        <v>50</v>
      </c>
      <c r="C14">
        <v>75</v>
      </c>
      <c r="E14">
        <v>67.900000000000006</v>
      </c>
      <c r="F14">
        <v>57</v>
      </c>
      <c r="H14" s="6">
        <v>66.83673469387756</v>
      </c>
      <c r="I14" s="6"/>
      <c r="J14" s="59"/>
      <c r="K14" s="59"/>
      <c r="L14" s="59"/>
      <c r="M14" s="59"/>
      <c r="N14" s="59"/>
      <c r="O14" s="59"/>
      <c r="P14" s="59"/>
      <c r="Q14" s="59"/>
    </row>
    <row r="15" spans="1:20">
      <c r="A15" s="1" t="s">
        <v>50</v>
      </c>
      <c r="B15" s="1">
        <v>50</v>
      </c>
      <c r="C15">
        <v>64.8</v>
      </c>
      <c r="F15">
        <v>30.5</v>
      </c>
      <c r="H15">
        <v>46.5</v>
      </c>
      <c r="J15">
        <v>39</v>
      </c>
      <c r="L15">
        <v>40.6</v>
      </c>
      <c r="M15">
        <v>52.1</v>
      </c>
      <c r="P15">
        <v>63.7</v>
      </c>
      <c r="Q15">
        <v>55.8</v>
      </c>
      <c r="T15">
        <v>51.1</v>
      </c>
    </row>
    <row r="16" spans="1:20">
      <c r="A16" s="1" t="s">
        <v>51</v>
      </c>
      <c r="B16" s="1">
        <v>50</v>
      </c>
      <c r="C16">
        <v>56.8</v>
      </c>
      <c r="F16">
        <v>53.4</v>
      </c>
      <c r="H16">
        <v>53.2</v>
      </c>
      <c r="J16">
        <v>43.8</v>
      </c>
      <c r="L16">
        <v>41</v>
      </c>
      <c r="M16">
        <v>39.9</v>
      </c>
      <c r="O16">
        <v>44.7</v>
      </c>
      <c r="Q16">
        <v>50</v>
      </c>
      <c r="T16">
        <v>57.1</v>
      </c>
    </row>
    <row r="17" spans="1:20">
      <c r="A17" s="1" t="s">
        <v>52</v>
      </c>
      <c r="B17" s="1">
        <v>50</v>
      </c>
      <c r="C17">
        <v>55.6</v>
      </c>
      <c r="E17">
        <v>60.1</v>
      </c>
      <c r="F17">
        <v>47.8</v>
      </c>
      <c r="H17" s="6">
        <v>60.869565217391312</v>
      </c>
      <c r="I17" s="6"/>
      <c r="J17" s="61"/>
      <c r="K17" s="59"/>
      <c r="L17" s="59"/>
      <c r="M17" s="59"/>
      <c r="N17" s="59"/>
      <c r="O17" s="59"/>
      <c r="P17" s="59"/>
      <c r="Q17" s="59"/>
    </row>
    <row r="18" spans="1:20">
      <c r="A18" s="1" t="s">
        <v>53</v>
      </c>
      <c r="B18" s="1">
        <v>50</v>
      </c>
      <c r="C18">
        <v>50</v>
      </c>
      <c r="F18">
        <v>41.4</v>
      </c>
      <c r="H18">
        <v>59.2</v>
      </c>
      <c r="J18">
        <v>58.7</v>
      </c>
      <c r="L18">
        <v>64.5</v>
      </c>
      <c r="N18">
        <v>51.7</v>
      </c>
      <c r="O18">
        <v>60.2</v>
      </c>
      <c r="Q18">
        <v>46.8</v>
      </c>
      <c r="T18">
        <v>60.6</v>
      </c>
    </row>
    <row r="19" spans="1:20">
      <c r="A19" s="1" t="s">
        <v>54</v>
      </c>
      <c r="B19" s="1">
        <v>50</v>
      </c>
      <c r="C19">
        <v>50</v>
      </c>
      <c r="F19">
        <v>40.299999999999997</v>
      </c>
      <c r="H19">
        <v>48.4</v>
      </c>
      <c r="J19">
        <v>60.1</v>
      </c>
      <c r="L19">
        <v>64.900000000000006</v>
      </c>
      <c r="M19">
        <v>56.8</v>
      </c>
      <c r="O19">
        <v>36.799999999999997</v>
      </c>
      <c r="Q19">
        <v>46.5</v>
      </c>
      <c r="T19">
        <v>50</v>
      </c>
    </row>
    <row r="46" spans="1:20">
      <c r="B46" t="s">
        <v>25</v>
      </c>
    </row>
    <row r="47" spans="1:20">
      <c r="A47" s="1" t="s">
        <v>56</v>
      </c>
      <c r="B47" s="1">
        <v>-1</v>
      </c>
      <c r="C47" s="11">
        <v>0</v>
      </c>
      <c r="D47" s="11">
        <v>1</v>
      </c>
      <c r="E47" s="11">
        <v>2</v>
      </c>
      <c r="F47" s="11">
        <v>5</v>
      </c>
      <c r="G47" s="11">
        <v>9</v>
      </c>
      <c r="H47" s="11">
        <v>10</v>
      </c>
      <c r="I47" s="11"/>
      <c r="J47" s="11">
        <v>15</v>
      </c>
      <c r="L47" s="11">
        <v>20</v>
      </c>
      <c r="M47" s="11">
        <v>25</v>
      </c>
      <c r="N47" s="11">
        <v>26</v>
      </c>
      <c r="O47" s="11">
        <v>30</v>
      </c>
      <c r="P47" s="11">
        <v>31</v>
      </c>
      <c r="Q47" s="11">
        <v>35</v>
      </c>
      <c r="R47" s="11">
        <v>36</v>
      </c>
      <c r="S47" s="11">
        <v>39</v>
      </c>
      <c r="T47" s="11">
        <v>40</v>
      </c>
    </row>
    <row r="48" spans="1:20">
      <c r="A48" s="1" t="s">
        <v>37</v>
      </c>
      <c r="B48" s="2">
        <v>0</v>
      </c>
      <c r="C48">
        <v>8.4802292938366062</v>
      </c>
      <c r="E48">
        <v>9.2652061362203355</v>
      </c>
      <c r="F48">
        <v>7.5970477299289172</v>
      </c>
      <c r="H48">
        <v>7.2469543102046359</v>
      </c>
      <c r="J48" s="59"/>
      <c r="K48" s="59"/>
      <c r="L48" s="59"/>
      <c r="M48" s="59"/>
      <c r="N48" s="59"/>
      <c r="O48" s="59"/>
      <c r="P48" s="59"/>
      <c r="Q48" s="59"/>
    </row>
    <row r="49" spans="1:20">
      <c r="A49" s="1" t="s">
        <v>38</v>
      </c>
      <c r="B49" s="2">
        <v>0</v>
      </c>
      <c r="C49">
        <v>7.3345766223129063</v>
      </c>
      <c r="F49" s="55">
        <v>6.36</v>
      </c>
      <c r="G49" s="55"/>
      <c r="H49">
        <v>7.6450826679282224</v>
      </c>
      <c r="J49">
        <v>4.6754808315894874</v>
      </c>
      <c r="L49">
        <v>7.6913200390060288</v>
      </c>
      <c r="M49">
        <v>6.1667248839749407</v>
      </c>
      <c r="O49" s="15">
        <v>6.7007759555423512</v>
      </c>
      <c r="Q49">
        <v>4.8545298159789363</v>
      </c>
      <c r="T49">
        <v>5.7377567453577596</v>
      </c>
    </row>
    <row r="50" spans="1:20">
      <c r="A50" s="1" t="s">
        <v>39</v>
      </c>
      <c r="B50" s="2">
        <v>0</v>
      </c>
      <c r="C50">
        <v>6.5899824775711737</v>
      </c>
      <c r="F50">
        <v>3.1250838181569547</v>
      </c>
      <c r="H50">
        <v>7.4975251885622081</v>
      </c>
      <c r="J50">
        <v>3.6580609757536187</v>
      </c>
      <c r="L50">
        <v>7.699869073540869</v>
      </c>
      <c r="M50">
        <v>7.4969269990287692</v>
      </c>
      <c r="O50">
        <v>8.3755254833630772</v>
      </c>
      <c r="Q50">
        <v>5.0544524389058116</v>
      </c>
      <c r="T50">
        <v>6.7384933266926836</v>
      </c>
    </row>
    <row r="51" spans="1:20">
      <c r="A51" s="1" t="s">
        <v>40</v>
      </c>
      <c r="B51" s="2">
        <v>0</v>
      </c>
      <c r="C51">
        <v>2.5213762673290185</v>
      </c>
      <c r="E51">
        <v>8.1388435821511695</v>
      </c>
      <c r="F51">
        <v>7.7381396852251205</v>
      </c>
      <c r="H51">
        <v>7.1825713257549717</v>
      </c>
      <c r="J51" s="59"/>
      <c r="K51" s="59"/>
      <c r="L51" s="59"/>
      <c r="M51" s="59"/>
      <c r="N51" s="59"/>
      <c r="O51" s="59"/>
      <c r="P51" s="59"/>
      <c r="Q51" s="59"/>
    </row>
    <row r="52" spans="1:20">
      <c r="A52" s="1" t="s">
        <v>41</v>
      </c>
      <c r="B52" s="2">
        <v>0</v>
      </c>
      <c r="C52">
        <v>8.3464036549784257</v>
      </c>
      <c r="F52">
        <v>6.6764503084242142</v>
      </c>
      <c r="H52" s="53">
        <v>5.5685319317257944</v>
      </c>
      <c r="I52" s="53"/>
      <c r="J52">
        <v>6.0632541060196834</v>
      </c>
      <c r="L52">
        <v>6.1178111146187764</v>
      </c>
      <c r="M52">
        <v>5.9988441872242646</v>
      </c>
      <c r="P52">
        <v>7.5875739627809082</v>
      </c>
      <c r="Q52">
        <v>7.8081425177844501</v>
      </c>
      <c r="T52">
        <v>8.6389738040728314</v>
      </c>
    </row>
    <row r="53" spans="1:20">
      <c r="A53" s="1" t="s">
        <v>42</v>
      </c>
      <c r="B53" s="2">
        <v>0</v>
      </c>
      <c r="C53">
        <v>8.0681161325662032</v>
      </c>
      <c r="F53">
        <v>4.1717862067706539</v>
      </c>
      <c r="H53">
        <v>8.1981387179562901</v>
      </c>
      <c r="L53">
        <v>5.3289473684210522</v>
      </c>
      <c r="M53">
        <v>6.924724805785357</v>
      </c>
      <c r="O53">
        <v>8.176071347447019</v>
      </c>
      <c r="Q53">
        <v>6.6529767441998926</v>
      </c>
      <c r="S53">
        <v>7.0844136079521558</v>
      </c>
    </row>
    <row r="54" spans="1:20">
      <c r="A54" s="1" t="s">
        <v>43</v>
      </c>
      <c r="B54" s="2">
        <v>0</v>
      </c>
      <c r="C54">
        <v>2.3662454289420038</v>
      </c>
      <c r="E54">
        <v>8.9534583405567663</v>
      </c>
      <c r="F54">
        <v>8.1397046980077494</v>
      </c>
      <c r="H54">
        <v>5.43</v>
      </c>
      <c r="J54" s="59"/>
      <c r="K54" s="59"/>
      <c r="L54" s="59"/>
      <c r="M54" s="59"/>
      <c r="N54" s="59"/>
      <c r="O54" s="59"/>
      <c r="P54" s="59"/>
      <c r="Q54" s="59"/>
    </row>
    <row r="55" spans="1:20">
      <c r="A55" s="1" t="s">
        <v>44</v>
      </c>
      <c r="B55" s="2">
        <v>0</v>
      </c>
      <c r="C55">
        <v>7.0681093175397214</v>
      </c>
      <c r="F55" s="55">
        <v>9.31</v>
      </c>
      <c r="G55">
        <v>7.6206895186007566</v>
      </c>
      <c r="H55" s="53"/>
      <c r="I55" s="53"/>
      <c r="J55">
        <v>5.3427165943601196</v>
      </c>
      <c r="L55" s="15">
        <v>9.0870411052983968</v>
      </c>
      <c r="M55">
        <v>5.5042133540459535</v>
      </c>
      <c r="O55">
        <v>8.1711547291581219</v>
      </c>
      <c r="T55">
        <v>8.9316666395746029</v>
      </c>
    </row>
    <row r="56" spans="1:20">
      <c r="A56" s="1" t="s">
        <v>45</v>
      </c>
      <c r="B56" s="2">
        <v>0</v>
      </c>
      <c r="C56">
        <v>7.9840812841404389</v>
      </c>
      <c r="F56">
        <v>0</v>
      </c>
      <c r="H56">
        <v>8.4024530686496242</v>
      </c>
      <c r="J56">
        <v>7.102252616976557</v>
      </c>
      <c r="L56">
        <v>8.3806504325921729</v>
      </c>
      <c r="M56">
        <v>2.3730306683067779</v>
      </c>
      <c r="O56">
        <v>8.0955036439142098</v>
      </c>
      <c r="Q56">
        <v>6.0370880931116488</v>
      </c>
      <c r="T56">
        <v>8.3701199705276252</v>
      </c>
    </row>
    <row r="57" spans="1:20">
      <c r="A57" s="1" t="s">
        <v>46</v>
      </c>
      <c r="B57" s="2">
        <v>0</v>
      </c>
      <c r="C57">
        <v>3.5948160724371432</v>
      </c>
      <c r="E57">
        <v>5.914530170779364</v>
      </c>
      <c r="F57">
        <v>7.0919609480642016</v>
      </c>
      <c r="H57">
        <v>7.4993382515727873</v>
      </c>
      <c r="J57" s="60"/>
      <c r="K57" s="59"/>
      <c r="L57" s="59"/>
      <c r="M57" s="59"/>
      <c r="N57" s="59"/>
      <c r="O57" s="59"/>
      <c r="P57" s="59"/>
      <c r="Q57" s="59"/>
    </row>
    <row r="58" spans="1:20">
      <c r="A58" s="1" t="s">
        <v>47</v>
      </c>
      <c r="B58" s="2">
        <v>0</v>
      </c>
      <c r="C58">
        <v>6.2467131297872927</v>
      </c>
      <c r="F58">
        <v>7.8458573037680956</v>
      </c>
      <c r="H58">
        <v>8.4734042539299264</v>
      </c>
      <c r="J58" s="55">
        <v>4.8600000000000003</v>
      </c>
      <c r="L58">
        <v>6.5905454974987077</v>
      </c>
      <c r="M58">
        <v>7.67106688826461</v>
      </c>
      <c r="O58">
        <v>8.7978532660674382</v>
      </c>
      <c r="R58" s="53">
        <v>8.6819660503646361</v>
      </c>
      <c r="T58">
        <v>5.1788627537879561</v>
      </c>
    </row>
    <row r="59" spans="1:20">
      <c r="A59" s="1" t="s">
        <v>48</v>
      </c>
      <c r="B59" s="2">
        <v>0</v>
      </c>
      <c r="C59">
        <v>3.4011004671064207</v>
      </c>
      <c r="F59">
        <v>4.6074913951081875</v>
      </c>
      <c r="H59">
        <v>8.4024530686496242</v>
      </c>
      <c r="J59">
        <v>5.8007467788620453</v>
      </c>
      <c r="L59">
        <v>4.1087749086558638</v>
      </c>
      <c r="N59">
        <v>8.3941356625282317</v>
      </c>
      <c r="O59">
        <v>7.0851712992405753</v>
      </c>
      <c r="Q59">
        <v>5.4264141006016304</v>
      </c>
      <c r="T59">
        <v>6.9750290643469226</v>
      </c>
    </row>
    <row r="60" spans="1:20">
      <c r="A60" s="1" t="s">
        <v>49</v>
      </c>
      <c r="B60" s="2">
        <v>0</v>
      </c>
      <c r="C60">
        <v>7.3945009111295912</v>
      </c>
      <c r="E60">
        <v>7.0559172714061482</v>
      </c>
      <c r="F60">
        <v>7.0150809969634613</v>
      </c>
      <c r="H60">
        <v>6.7049868315311567</v>
      </c>
      <c r="J60" s="59"/>
      <c r="K60" s="59"/>
      <c r="L60" s="59"/>
      <c r="M60" s="59"/>
      <c r="N60" s="59"/>
      <c r="O60" s="59"/>
      <c r="P60" s="59"/>
      <c r="Q60" s="59"/>
    </row>
    <row r="61" spans="1:20">
      <c r="A61" s="1" t="s">
        <v>50</v>
      </c>
      <c r="B61" s="2">
        <v>0</v>
      </c>
      <c r="C61" s="84">
        <v>7.06</v>
      </c>
      <c r="F61">
        <v>5.449071917702855</v>
      </c>
      <c r="H61">
        <v>7.6928223399378046</v>
      </c>
      <c r="J61">
        <v>1.84</v>
      </c>
      <c r="L61">
        <v>8.519261725478632</v>
      </c>
      <c r="M61">
        <v>7.6206895186007566</v>
      </c>
      <c r="P61">
        <v>8.0317415877705294</v>
      </c>
      <c r="Q61">
        <v>6.8388905990530642</v>
      </c>
      <c r="T61">
        <v>8.6061028194517881</v>
      </c>
    </row>
    <row r="62" spans="1:20">
      <c r="A62" s="1" t="s">
        <v>51</v>
      </c>
      <c r="B62" s="2">
        <v>0</v>
      </c>
      <c r="C62">
        <v>6.3390023855456707</v>
      </c>
      <c r="H62">
        <v>7.7477856097045219</v>
      </c>
      <c r="J62">
        <v>4.1087749086558638</v>
      </c>
      <c r="L62">
        <v>7.7158632422488242</v>
      </c>
      <c r="M62">
        <v>3.2194658420018647</v>
      </c>
      <c r="O62">
        <v>7.8983627352173151</v>
      </c>
      <c r="Q62">
        <v>7.5744019640827487</v>
      </c>
      <c r="T62">
        <v>9.1251421033217657</v>
      </c>
    </row>
    <row r="63" spans="1:20">
      <c r="A63" s="1" t="s">
        <v>52</v>
      </c>
      <c r="B63" s="2">
        <v>0</v>
      </c>
      <c r="C63">
        <v>0</v>
      </c>
      <c r="E63">
        <v>8.4827503979305785</v>
      </c>
      <c r="F63">
        <v>7.3733450931763951</v>
      </c>
      <c r="H63">
        <v>3.7515634074285056</v>
      </c>
      <c r="J63" s="61"/>
      <c r="K63" s="59"/>
      <c r="L63" s="59"/>
      <c r="M63" s="59"/>
      <c r="N63" s="59"/>
      <c r="O63" s="59"/>
      <c r="P63" s="59"/>
      <c r="Q63" s="59"/>
    </row>
    <row r="64" spans="1:20">
      <c r="A64" s="1" t="s">
        <v>53</v>
      </c>
      <c r="B64" s="2">
        <v>0</v>
      </c>
      <c r="C64">
        <v>12.681134128724359</v>
      </c>
      <c r="F64">
        <v>1.9368043958039836</v>
      </c>
      <c r="H64">
        <v>8.0260319264604263</v>
      </c>
      <c r="J64">
        <v>5.99</v>
      </c>
      <c r="L64">
        <v>7.1760408371824305</v>
      </c>
      <c r="N64">
        <v>7.3207934091219977</v>
      </c>
      <c r="O64">
        <v>8.2263383436425599</v>
      </c>
      <c r="Q64">
        <v>7.2724447829727366</v>
      </c>
      <c r="T64">
        <v>6.94714520059118</v>
      </c>
    </row>
    <row r="65" spans="1:20">
      <c r="A65" s="1" t="s">
        <v>54</v>
      </c>
      <c r="B65" s="2">
        <v>0</v>
      </c>
      <c r="C65">
        <v>6.1175873617790675</v>
      </c>
      <c r="F65">
        <v>2.8076096128579699</v>
      </c>
      <c r="H65">
        <v>7.838237640282113</v>
      </c>
      <c r="J65">
        <v>3.9863819882766118</v>
      </c>
      <c r="L65">
        <v>8.2935230049097228</v>
      </c>
      <c r="M65">
        <v>5.0366099605603694</v>
      </c>
      <c r="O65">
        <v>8.4508221053712251</v>
      </c>
      <c r="Q65">
        <v>1.6169541344216929</v>
      </c>
      <c r="T65">
        <v>9.1236836566682626</v>
      </c>
    </row>
    <row r="70" spans="1:20">
      <c r="A70" t="s">
        <v>74</v>
      </c>
    </row>
    <row r="72" spans="1:20">
      <c r="A72" s="1" t="s">
        <v>56</v>
      </c>
      <c r="B72" s="1">
        <v>-1</v>
      </c>
      <c r="C72" s="11">
        <v>0</v>
      </c>
      <c r="D72" s="11">
        <v>1</v>
      </c>
      <c r="E72" s="11">
        <v>2</v>
      </c>
      <c r="F72" s="11">
        <v>5</v>
      </c>
      <c r="G72" s="11"/>
      <c r="H72" s="11">
        <v>10</v>
      </c>
      <c r="I72" s="11"/>
      <c r="J72" s="11">
        <v>15</v>
      </c>
      <c r="L72" s="11">
        <v>20</v>
      </c>
      <c r="M72" s="1">
        <v>25</v>
      </c>
      <c r="N72" s="1">
        <v>26</v>
      </c>
      <c r="O72" s="11">
        <v>30</v>
      </c>
      <c r="P72" s="11">
        <v>31</v>
      </c>
      <c r="Q72" s="11">
        <v>35</v>
      </c>
      <c r="R72" s="11">
        <v>36</v>
      </c>
      <c r="S72" s="11">
        <v>39</v>
      </c>
      <c r="T72" s="11">
        <v>40</v>
      </c>
    </row>
    <row r="73" spans="1:20">
      <c r="A73" s="1" t="s">
        <v>37</v>
      </c>
      <c r="C73">
        <f t="shared" ref="C73:J73" si="0">2*C48</f>
        <v>16.960458587673212</v>
      </c>
      <c r="E73">
        <f t="shared" si="0"/>
        <v>18.530412272440671</v>
      </c>
      <c r="F73">
        <f t="shared" si="0"/>
        <v>15.194095459857834</v>
      </c>
      <c r="H73">
        <f t="shared" si="0"/>
        <v>14.493908620409272</v>
      </c>
      <c r="J73">
        <f t="shared" si="0"/>
        <v>0</v>
      </c>
      <c r="L73">
        <f t="shared" ref="L73:O73" si="1">2*L48</f>
        <v>0</v>
      </c>
      <c r="M73">
        <f t="shared" si="1"/>
        <v>0</v>
      </c>
      <c r="N73">
        <f t="shared" si="1"/>
        <v>0</v>
      </c>
      <c r="O73">
        <f t="shared" si="1"/>
        <v>0</v>
      </c>
    </row>
    <row r="74" spans="1:20">
      <c r="A74" s="1" t="s">
        <v>38</v>
      </c>
      <c r="C74">
        <f t="shared" ref="C74:J90" si="2">2*C49</f>
        <v>14.669153244625813</v>
      </c>
      <c r="E74">
        <f t="shared" si="2"/>
        <v>0</v>
      </c>
      <c r="F74">
        <f t="shared" si="2"/>
        <v>12.72</v>
      </c>
      <c r="H74">
        <f t="shared" si="2"/>
        <v>15.290165335856445</v>
      </c>
      <c r="J74">
        <f t="shared" si="2"/>
        <v>9.3509616631789747</v>
      </c>
      <c r="L74">
        <f t="shared" ref="L74:O74" si="3">2*L49</f>
        <v>15.382640078012058</v>
      </c>
      <c r="M74">
        <f t="shared" si="3"/>
        <v>12.333449767949881</v>
      </c>
      <c r="N74">
        <f t="shared" si="3"/>
        <v>0</v>
      </c>
      <c r="O74">
        <f t="shared" si="3"/>
        <v>13.401551911084702</v>
      </c>
      <c r="S74">
        <f t="shared" ref="L74:T75" si="4">2*S49</f>
        <v>0</v>
      </c>
      <c r="T74">
        <f t="shared" si="4"/>
        <v>11.475513490715519</v>
      </c>
    </row>
    <row r="75" spans="1:20">
      <c r="A75" s="1" t="s">
        <v>39</v>
      </c>
      <c r="C75">
        <f t="shared" si="2"/>
        <v>13.179964955142347</v>
      </c>
      <c r="E75">
        <f t="shared" si="2"/>
        <v>0</v>
      </c>
      <c r="F75">
        <f t="shared" si="2"/>
        <v>6.2501676363139094</v>
      </c>
      <c r="H75">
        <f t="shared" si="2"/>
        <v>14.995050377124416</v>
      </c>
      <c r="J75">
        <f t="shared" si="2"/>
        <v>7.3161219515072373</v>
      </c>
      <c r="L75">
        <f t="shared" si="4"/>
        <v>15.399738147081738</v>
      </c>
      <c r="M75">
        <f t="shared" si="4"/>
        <v>14.993853998057538</v>
      </c>
      <c r="N75">
        <f t="shared" si="4"/>
        <v>0</v>
      </c>
      <c r="O75">
        <f t="shared" si="4"/>
        <v>16.751050966726154</v>
      </c>
      <c r="Q75">
        <f t="shared" si="4"/>
        <v>10.108904877811623</v>
      </c>
      <c r="S75">
        <f t="shared" si="4"/>
        <v>0</v>
      </c>
      <c r="T75">
        <f t="shared" si="4"/>
        <v>13.476986653385367</v>
      </c>
    </row>
    <row r="76" spans="1:20">
      <c r="A76" s="1" t="s">
        <v>40</v>
      </c>
      <c r="C76">
        <f t="shared" si="2"/>
        <v>5.0427525346580371</v>
      </c>
      <c r="E76">
        <f t="shared" si="2"/>
        <v>16.277687164302339</v>
      </c>
      <c r="F76">
        <f t="shared" si="2"/>
        <v>15.476279370450241</v>
      </c>
      <c r="H76">
        <f t="shared" si="2"/>
        <v>14.365142651509943</v>
      </c>
      <c r="J76">
        <f t="shared" si="2"/>
        <v>0</v>
      </c>
      <c r="L76">
        <f t="shared" ref="L76:O76" si="5">2*L51</f>
        <v>0</v>
      </c>
      <c r="M76">
        <f t="shared" si="5"/>
        <v>0</v>
      </c>
      <c r="N76">
        <f t="shared" si="5"/>
        <v>0</v>
      </c>
      <c r="O76">
        <f t="shared" si="5"/>
        <v>0</v>
      </c>
      <c r="Q76">
        <f t="shared" ref="Q76" si="6">2*Q51</f>
        <v>0</v>
      </c>
      <c r="S76">
        <f t="shared" ref="S76" si="7">2*S51</f>
        <v>0</v>
      </c>
      <c r="T76">
        <f t="shared" ref="T76" si="8">2*T51</f>
        <v>0</v>
      </c>
    </row>
    <row r="77" spans="1:20">
      <c r="A77" s="1" t="s">
        <v>41</v>
      </c>
      <c r="C77">
        <f t="shared" si="2"/>
        <v>16.692807309956851</v>
      </c>
      <c r="E77">
        <f t="shared" si="2"/>
        <v>0</v>
      </c>
      <c r="F77">
        <f t="shared" si="2"/>
        <v>13.352900616848428</v>
      </c>
      <c r="H77" s="29">
        <f t="shared" si="2"/>
        <v>11.137063863451589</v>
      </c>
      <c r="I77" s="29"/>
      <c r="J77">
        <f t="shared" si="2"/>
        <v>12.126508212039367</v>
      </c>
      <c r="L77">
        <f t="shared" ref="L77:O77" si="9">2*L52</f>
        <v>12.235622229237553</v>
      </c>
      <c r="M77">
        <f t="shared" si="9"/>
        <v>11.997688374448529</v>
      </c>
      <c r="N77">
        <f t="shared" si="9"/>
        <v>0</v>
      </c>
      <c r="O77">
        <f t="shared" si="9"/>
        <v>0</v>
      </c>
      <c r="P77">
        <f>2*P52</f>
        <v>15.175147925561816</v>
      </c>
      <c r="Q77">
        <f t="shared" ref="Q77" si="10">2*Q52</f>
        <v>15.6162850355689</v>
      </c>
      <c r="S77">
        <f t="shared" ref="S77" si="11">2*S52</f>
        <v>0</v>
      </c>
      <c r="T77">
        <f t="shared" ref="T77" si="12">2*T52</f>
        <v>17.277947608145663</v>
      </c>
    </row>
    <row r="78" spans="1:20">
      <c r="A78" s="1" t="s">
        <v>42</v>
      </c>
      <c r="C78">
        <f t="shared" si="2"/>
        <v>16.136232265132406</v>
      </c>
      <c r="E78">
        <f t="shared" si="2"/>
        <v>0</v>
      </c>
      <c r="F78">
        <f t="shared" si="2"/>
        <v>8.3435724135413079</v>
      </c>
      <c r="H78">
        <f t="shared" si="2"/>
        <v>16.39627743591258</v>
      </c>
      <c r="J78">
        <f t="shared" si="2"/>
        <v>0</v>
      </c>
      <c r="L78">
        <f t="shared" ref="L78:O78" si="13">2*L53</f>
        <v>10.657894736842104</v>
      </c>
      <c r="M78">
        <f t="shared" si="13"/>
        <v>13.849449611570714</v>
      </c>
      <c r="N78">
        <f t="shared" si="13"/>
        <v>0</v>
      </c>
      <c r="O78">
        <f t="shared" si="13"/>
        <v>16.352142694894038</v>
      </c>
      <c r="Q78">
        <f t="shared" ref="Q78" si="14">2*Q53</f>
        <v>13.305953488399785</v>
      </c>
      <c r="S78">
        <f t="shared" ref="S78" si="15">2*S53</f>
        <v>14.168827215904312</v>
      </c>
      <c r="T78">
        <f t="shared" ref="T78" si="16">2*T53</f>
        <v>0</v>
      </c>
    </row>
    <row r="79" spans="1:20">
      <c r="A79" s="1" t="s">
        <v>43</v>
      </c>
      <c r="C79">
        <f t="shared" si="2"/>
        <v>4.7324908578840077</v>
      </c>
      <c r="E79">
        <f t="shared" si="2"/>
        <v>17.906916681113533</v>
      </c>
      <c r="F79">
        <f t="shared" si="2"/>
        <v>16.279409396015499</v>
      </c>
      <c r="H79">
        <f t="shared" si="2"/>
        <v>10.86</v>
      </c>
      <c r="J79">
        <f t="shared" si="2"/>
        <v>0</v>
      </c>
      <c r="L79">
        <f t="shared" ref="L79:O79" si="17">2*L54</f>
        <v>0</v>
      </c>
      <c r="M79">
        <f t="shared" si="17"/>
        <v>0</v>
      </c>
      <c r="N79">
        <f t="shared" si="17"/>
        <v>0</v>
      </c>
      <c r="O79">
        <f t="shared" si="17"/>
        <v>0</v>
      </c>
      <c r="Q79">
        <f t="shared" ref="Q79" si="18">2*Q54</f>
        <v>0</v>
      </c>
      <c r="S79">
        <f t="shared" ref="S79" si="19">2*S54</f>
        <v>0</v>
      </c>
      <c r="T79">
        <f t="shared" ref="T79" si="20">2*T54</f>
        <v>0</v>
      </c>
    </row>
    <row r="80" spans="1:20">
      <c r="A80" s="1" t="s">
        <v>44</v>
      </c>
      <c r="C80">
        <f t="shared" si="2"/>
        <v>14.136218635079443</v>
      </c>
      <c r="E80">
        <f t="shared" si="2"/>
        <v>0</v>
      </c>
      <c r="F80">
        <f t="shared" si="2"/>
        <v>18.62</v>
      </c>
      <c r="G80">
        <f t="shared" si="2"/>
        <v>15.241379037201513</v>
      </c>
      <c r="H80" s="29">
        <f t="shared" si="2"/>
        <v>0</v>
      </c>
      <c r="I80" s="29"/>
      <c r="J80">
        <f t="shared" si="2"/>
        <v>10.685433188720239</v>
      </c>
      <c r="L80">
        <f t="shared" ref="L80:O80" si="21">2*L55</f>
        <v>18.174082210596794</v>
      </c>
      <c r="M80">
        <f t="shared" si="21"/>
        <v>11.008426708091907</v>
      </c>
      <c r="N80">
        <f t="shared" si="21"/>
        <v>0</v>
      </c>
      <c r="O80">
        <f t="shared" si="21"/>
        <v>16.342309458316244</v>
      </c>
      <c r="Q80">
        <f t="shared" ref="Q80" si="22">2*Q55</f>
        <v>0</v>
      </c>
      <c r="S80">
        <f t="shared" ref="S80" si="23">2*S55</f>
        <v>0</v>
      </c>
      <c r="T80">
        <f t="shared" ref="T80" si="24">2*T55</f>
        <v>17.863333279149206</v>
      </c>
    </row>
    <row r="81" spans="1:20">
      <c r="A81" s="1" t="s">
        <v>45</v>
      </c>
      <c r="C81">
        <f t="shared" si="2"/>
        <v>15.968162568280878</v>
      </c>
      <c r="E81">
        <f t="shared" si="2"/>
        <v>0</v>
      </c>
      <c r="F81" s="29">
        <f t="shared" si="2"/>
        <v>0</v>
      </c>
      <c r="G81" s="29"/>
      <c r="H81">
        <f t="shared" si="2"/>
        <v>16.804906137299248</v>
      </c>
      <c r="J81">
        <f t="shared" si="2"/>
        <v>14.204505233953114</v>
      </c>
      <c r="L81">
        <f t="shared" ref="L81:O81" si="25">2*L56</f>
        <v>16.761300865184346</v>
      </c>
      <c r="M81">
        <f t="shared" si="25"/>
        <v>4.7460613366135558</v>
      </c>
      <c r="N81">
        <f t="shared" si="25"/>
        <v>0</v>
      </c>
      <c r="O81">
        <f t="shared" si="25"/>
        <v>16.19100728782842</v>
      </c>
      <c r="Q81">
        <f t="shared" ref="Q81" si="26">2*Q56</f>
        <v>12.074176186223298</v>
      </c>
      <c r="S81">
        <f t="shared" ref="S81" si="27">2*S56</f>
        <v>0</v>
      </c>
      <c r="T81">
        <f t="shared" ref="T81" si="28">2*T56</f>
        <v>16.74023994105525</v>
      </c>
    </row>
    <row r="82" spans="1:20">
      <c r="A82" s="1" t="s">
        <v>46</v>
      </c>
      <c r="C82">
        <f t="shared" si="2"/>
        <v>7.1896321448742864</v>
      </c>
      <c r="E82">
        <f t="shared" si="2"/>
        <v>11.829060341558728</v>
      </c>
      <c r="F82">
        <f t="shared" si="2"/>
        <v>14.183921896128403</v>
      </c>
      <c r="H82">
        <f t="shared" si="2"/>
        <v>14.998676503145575</v>
      </c>
      <c r="J82">
        <f t="shared" si="2"/>
        <v>0</v>
      </c>
      <c r="L82">
        <f t="shared" ref="L82:O82" si="29">2*L57</f>
        <v>0</v>
      </c>
      <c r="M82">
        <f t="shared" si="29"/>
        <v>0</v>
      </c>
      <c r="N82">
        <f t="shared" si="29"/>
        <v>0</v>
      </c>
      <c r="O82">
        <f t="shared" si="29"/>
        <v>0</v>
      </c>
      <c r="Q82">
        <f t="shared" ref="Q82" si="30">2*Q57</f>
        <v>0</v>
      </c>
      <c r="S82">
        <f t="shared" ref="S82" si="31">2*S57</f>
        <v>0</v>
      </c>
      <c r="T82">
        <f t="shared" ref="T82" si="32">2*T57</f>
        <v>0</v>
      </c>
    </row>
    <row r="83" spans="1:20">
      <c r="A83" s="1" t="s">
        <v>47</v>
      </c>
      <c r="C83">
        <f t="shared" si="2"/>
        <v>12.493426259574585</v>
      </c>
      <c r="E83">
        <f t="shared" si="2"/>
        <v>0</v>
      </c>
      <c r="F83">
        <f t="shared" si="2"/>
        <v>15.691714607536191</v>
      </c>
      <c r="H83">
        <f t="shared" si="2"/>
        <v>16.946808507859853</v>
      </c>
      <c r="J83">
        <f t="shared" si="2"/>
        <v>9.7200000000000006</v>
      </c>
      <c r="L83">
        <f t="shared" ref="L83:O83" si="33">2*L58</f>
        <v>13.181090994997415</v>
      </c>
      <c r="M83">
        <f t="shared" si="33"/>
        <v>15.34213377652922</v>
      </c>
      <c r="N83">
        <f t="shared" si="33"/>
        <v>0</v>
      </c>
      <c r="O83">
        <f t="shared" si="33"/>
        <v>17.595706532134876</v>
      </c>
      <c r="Q83">
        <f t="shared" ref="Q83:R83" si="34">2*Q58</f>
        <v>0</v>
      </c>
      <c r="R83">
        <f t="shared" si="34"/>
        <v>17.363932100729272</v>
      </c>
      <c r="S83">
        <f t="shared" ref="S83" si="35">2*S58</f>
        <v>0</v>
      </c>
      <c r="T83">
        <f t="shared" ref="T83" si="36">2*T58</f>
        <v>10.357725507575912</v>
      </c>
    </row>
    <row r="84" spans="1:20">
      <c r="A84" s="1" t="s">
        <v>48</v>
      </c>
      <c r="C84">
        <f t="shared" si="2"/>
        <v>6.8022009342128413</v>
      </c>
      <c r="E84">
        <f t="shared" si="2"/>
        <v>0</v>
      </c>
      <c r="F84">
        <f t="shared" si="2"/>
        <v>9.214982790216375</v>
      </c>
      <c r="H84">
        <f t="shared" si="2"/>
        <v>16.804906137299248</v>
      </c>
      <c r="J84">
        <f t="shared" si="2"/>
        <v>11.601493557724091</v>
      </c>
      <c r="L84">
        <f t="shared" ref="L84:O84" si="37">2*L59</f>
        <v>8.2175498173117276</v>
      </c>
      <c r="M84">
        <f t="shared" si="37"/>
        <v>0</v>
      </c>
      <c r="N84">
        <f t="shared" si="37"/>
        <v>16.788271325056463</v>
      </c>
      <c r="O84">
        <f t="shared" si="37"/>
        <v>14.170342598481151</v>
      </c>
      <c r="Q84">
        <f t="shared" ref="Q84" si="38">2*Q59</f>
        <v>10.852828201203261</v>
      </c>
      <c r="S84">
        <f t="shared" ref="S84" si="39">2*S59</f>
        <v>0</v>
      </c>
      <c r="T84">
        <f t="shared" ref="T84" si="40">2*T59</f>
        <v>13.950058128693845</v>
      </c>
    </row>
    <row r="85" spans="1:20">
      <c r="A85" s="1" t="s">
        <v>49</v>
      </c>
      <c r="C85">
        <f t="shared" si="2"/>
        <v>14.789001822259182</v>
      </c>
      <c r="E85">
        <f t="shared" si="2"/>
        <v>14.111834542812296</v>
      </c>
      <c r="F85">
        <f t="shared" si="2"/>
        <v>14.030161993926923</v>
      </c>
      <c r="H85">
        <f t="shared" si="2"/>
        <v>13.409973663062313</v>
      </c>
      <c r="J85">
        <f t="shared" si="2"/>
        <v>0</v>
      </c>
      <c r="L85">
        <f t="shared" ref="L85:O85" si="41">2*L60</f>
        <v>0</v>
      </c>
      <c r="M85">
        <f t="shared" si="41"/>
        <v>0</v>
      </c>
      <c r="N85">
        <f t="shared" si="41"/>
        <v>0</v>
      </c>
      <c r="O85">
        <f t="shared" si="41"/>
        <v>0</v>
      </c>
      <c r="Q85">
        <f t="shared" ref="Q85" si="42">2*Q60</f>
        <v>0</v>
      </c>
      <c r="S85">
        <f t="shared" ref="S85" si="43">2*S60</f>
        <v>0</v>
      </c>
      <c r="T85">
        <f t="shared" ref="T85" si="44">2*T60</f>
        <v>0</v>
      </c>
    </row>
    <row r="86" spans="1:20">
      <c r="A86" s="1" t="s">
        <v>50</v>
      </c>
      <c r="C86">
        <f t="shared" si="2"/>
        <v>14.12</v>
      </c>
      <c r="E86">
        <f t="shared" si="2"/>
        <v>0</v>
      </c>
      <c r="F86">
        <f t="shared" si="2"/>
        <v>10.89814383540571</v>
      </c>
      <c r="H86">
        <f t="shared" si="2"/>
        <v>15.385644679875609</v>
      </c>
      <c r="J86">
        <f t="shared" si="2"/>
        <v>3.68</v>
      </c>
      <c r="L86">
        <f t="shared" ref="L86:O86" si="45">2*L61</f>
        <v>17.038523450957264</v>
      </c>
      <c r="M86">
        <f t="shared" si="45"/>
        <v>15.241379037201513</v>
      </c>
      <c r="N86">
        <f t="shared" si="45"/>
        <v>0</v>
      </c>
      <c r="O86">
        <f t="shared" si="45"/>
        <v>0</v>
      </c>
      <c r="P86">
        <f>2*P61</f>
        <v>16.063483175541059</v>
      </c>
      <c r="Q86">
        <f t="shared" ref="Q86" si="46">2*Q61</f>
        <v>13.677781198106128</v>
      </c>
      <c r="S86">
        <f t="shared" ref="S86" si="47">2*S61</f>
        <v>0</v>
      </c>
      <c r="T86">
        <f t="shared" ref="T86" si="48">2*T61</f>
        <v>17.212205638903576</v>
      </c>
    </row>
    <row r="87" spans="1:20">
      <c r="A87" s="1" t="s">
        <v>51</v>
      </c>
      <c r="C87">
        <f t="shared" si="2"/>
        <v>12.678004771091341</v>
      </c>
      <c r="E87">
        <f t="shared" si="2"/>
        <v>0</v>
      </c>
      <c r="F87">
        <f t="shared" si="2"/>
        <v>0</v>
      </c>
      <c r="H87">
        <f t="shared" si="2"/>
        <v>15.495571219409044</v>
      </c>
      <c r="J87">
        <f t="shared" si="2"/>
        <v>8.2175498173117276</v>
      </c>
      <c r="L87">
        <f t="shared" ref="L87:O87" si="49">2*L62</f>
        <v>15.431726484497648</v>
      </c>
      <c r="M87">
        <f t="shared" si="49"/>
        <v>6.4389316840037294</v>
      </c>
      <c r="N87">
        <f t="shared" si="49"/>
        <v>0</v>
      </c>
      <c r="O87">
        <f t="shared" si="49"/>
        <v>15.79672547043463</v>
      </c>
      <c r="Q87">
        <f t="shared" ref="Q87" si="50">2*Q62</f>
        <v>15.148803928165497</v>
      </c>
      <c r="S87">
        <f t="shared" ref="S87" si="51">2*S62</f>
        <v>0</v>
      </c>
      <c r="T87">
        <f t="shared" ref="T87" si="52">2*T62</f>
        <v>18.250284206643531</v>
      </c>
    </row>
    <row r="88" spans="1:20">
      <c r="A88" s="1" t="s">
        <v>52</v>
      </c>
      <c r="C88">
        <f t="shared" si="2"/>
        <v>0</v>
      </c>
      <c r="E88">
        <f t="shared" si="2"/>
        <v>16.965500795861157</v>
      </c>
      <c r="F88">
        <f t="shared" si="2"/>
        <v>14.74669018635279</v>
      </c>
      <c r="H88">
        <f t="shared" si="2"/>
        <v>7.5031268148570112</v>
      </c>
      <c r="J88">
        <f t="shared" si="2"/>
        <v>0</v>
      </c>
      <c r="L88">
        <f t="shared" ref="L88:O88" si="53">2*L63</f>
        <v>0</v>
      </c>
      <c r="M88">
        <f t="shared" si="53"/>
        <v>0</v>
      </c>
      <c r="N88">
        <f t="shared" si="53"/>
        <v>0</v>
      </c>
      <c r="O88">
        <f t="shared" si="53"/>
        <v>0</v>
      </c>
      <c r="Q88">
        <f t="shared" ref="Q88" si="54">2*Q63</f>
        <v>0</v>
      </c>
      <c r="S88">
        <f t="shared" ref="S88" si="55">2*S63</f>
        <v>0</v>
      </c>
      <c r="T88">
        <f t="shared" ref="T88" si="56">2*T63</f>
        <v>0</v>
      </c>
    </row>
    <row r="89" spans="1:20">
      <c r="A89" s="1" t="s">
        <v>53</v>
      </c>
      <c r="C89">
        <f t="shared" si="2"/>
        <v>25.362268257448719</v>
      </c>
      <c r="E89">
        <f t="shared" si="2"/>
        <v>0</v>
      </c>
      <c r="F89">
        <f t="shared" si="2"/>
        <v>3.8736087916079671</v>
      </c>
      <c r="H89">
        <f t="shared" si="2"/>
        <v>16.052063852920853</v>
      </c>
      <c r="J89">
        <f t="shared" si="2"/>
        <v>11.98</v>
      </c>
      <c r="L89">
        <f t="shared" ref="L89:O89" si="57">2*L64</f>
        <v>14.352081674364861</v>
      </c>
      <c r="M89">
        <f t="shared" si="57"/>
        <v>0</v>
      </c>
      <c r="N89">
        <f t="shared" si="57"/>
        <v>14.641586818243995</v>
      </c>
      <c r="O89">
        <f t="shared" si="57"/>
        <v>16.45267668728512</v>
      </c>
      <c r="Q89">
        <f t="shared" ref="Q89" si="58">2*Q64</f>
        <v>14.544889565945473</v>
      </c>
      <c r="S89">
        <f t="shared" ref="S89" si="59">2*S64</f>
        <v>0</v>
      </c>
      <c r="T89">
        <f t="shared" ref="T89" si="60">2*T64</f>
        <v>13.89429040118236</v>
      </c>
    </row>
    <row r="90" spans="1:20">
      <c r="A90" s="1" t="s">
        <v>54</v>
      </c>
      <c r="C90">
        <f t="shared" si="2"/>
        <v>12.235174723558135</v>
      </c>
      <c r="E90">
        <f t="shared" si="2"/>
        <v>0</v>
      </c>
      <c r="F90">
        <f t="shared" si="2"/>
        <v>5.6152192257159399</v>
      </c>
      <c r="H90">
        <f t="shared" si="2"/>
        <v>15.676475280564226</v>
      </c>
      <c r="J90">
        <f t="shared" si="2"/>
        <v>7.9727639765532237</v>
      </c>
      <c r="L90">
        <f t="shared" ref="L90:O90" si="61">2*L65</f>
        <v>16.587046009819446</v>
      </c>
      <c r="M90">
        <f t="shared" si="61"/>
        <v>10.073219921120739</v>
      </c>
      <c r="N90">
        <f t="shared" si="61"/>
        <v>0</v>
      </c>
      <c r="O90">
        <f t="shared" si="61"/>
        <v>16.90164421074245</v>
      </c>
      <c r="Q90">
        <f t="shared" ref="Q90" si="62">2*Q65</f>
        <v>3.2339082688433858</v>
      </c>
      <c r="S90">
        <f t="shared" ref="S90" si="63">2*S65</f>
        <v>0</v>
      </c>
      <c r="T90">
        <f t="shared" ref="T90" si="64">2*T65</f>
        <v>18.247367313336525</v>
      </c>
    </row>
  </sheetData>
  <phoneticPr fontId="16" type="noConversion"/>
  <pageMargins left="0.75000000000000011" right="0.75000000000000011" top="1" bottom="1" header="0.5" footer="0.5"/>
  <pageSetup paperSize="9" scale="3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</vt:lpstr>
      <vt:lpstr>résumé</vt:lpstr>
      <vt:lpstr>graphiques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Jean-Luc</cp:lastModifiedBy>
  <cp:lastPrinted>2019-01-23T15:04:31Z</cp:lastPrinted>
  <dcterms:created xsi:type="dcterms:W3CDTF">2017-10-03T13:06:04Z</dcterms:created>
  <dcterms:modified xsi:type="dcterms:W3CDTF">2024-05-14T08:57:32Z</dcterms:modified>
</cp:coreProperties>
</file>