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Faculty Comp Plan\FY25\OPC\"/>
    </mc:Choice>
  </mc:AlternateContent>
  <xr:revisionPtr revIDLastSave="0" documentId="13_ncr:1_{BF727A1C-FD5A-4396-A24D-DBB0C3B7E1FB}" xr6:coauthVersionLast="47" xr6:coauthVersionMax="47" xr10:uidLastSave="{00000000-0000-0000-0000-000000000000}"/>
  <bookViews>
    <workbookView xWindow="14400" yWindow="0" windowWidth="14400" windowHeight="15600" tabRatio="665" xr2:uid="{00000000-000D-0000-FFFF-FFFF00000000}"/>
  </bookViews>
  <sheets>
    <sheet name="Lescano Summary" sheetId="4" r:id="rId1"/>
    <sheet name="RVU's" sheetId="6" r:id="rId2"/>
    <sheet name="Aging of Encounters" sheetId="7" r:id="rId3"/>
    <sheet name="Income Statement" sheetId="3" r:id="rId4"/>
    <sheet name="Visits" sheetId="5" r:id="rId5"/>
    <sheet name="Payer Mix" sheetId="8" r:id="rId6"/>
    <sheet name="MPM Messaging" sheetId="9" r:id="rId7"/>
  </sheets>
  <definedNames>
    <definedName name="CPUP_CPUP_1C1B84C4_5004_4674_B505_75C8275F206B_1" localSheetId="1">'RVU''s'!$A$25:$M$32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3" l="1"/>
  <c r="F15" i="7"/>
  <c r="E15" i="7"/>
  <c r="D15" i="7"/>
  <c r="C15" i="7"/>
  <c r="P31" i="6"/>
  <c r="P27" i="6"/>
  <c r="P23" i="6"/>
  <c r="R20" i="6"/>
  <c r="M12" i="3"/>
  <c r="L12" i="3"/>
  <c r="L5" i="3"/>
  <c r="K12" i="3"/>
  <c r="K5" i="3"/>
  <c r="K22" i="6"/>
  <c r="L22" i="6"/>
  <c r="M22" i="6"/>
  <c r="N22" i="6"/>
  <c r="O22" i="6"/>
  <c r="J22" i="6"/>
  <c r="E22" i="6"/>
  <c r="F22" i="6"/>
  <c r="G22" i="6"/>
  <c r="H22" i="6"/>
  <c r="I22" i="6"/>
  <c r="D22" i="6"/>
  <c r="J12" i="3" l="1"/>
  <c r="J5" i="3"/>
  <c r="I12" i="3" l="1"/>
  <c r="I5" i="3"/>
  <c r="Q18" i="6" l="1"/>
  <c r="P18" i="6"/>
  <c r="H12" i="3" l="1"/>
  <c r="H5" i="3"/>
  <c r="F9" i="7"/>
  <c r="F10" i="7" s="1"/>
  <c r="F11" i="7" s="1"/>
  <c r="F12" i="7" s="1"/>
  <c r="F13" i="7" s="1"/>
  <c r="F14" i="7" s="1"/>
  <c r="E9" i="7"/>
  <c r="E10" i="7" s="1"/>
  <c r="E11" i="7" s="1"/>
  <c r="E12" i="7" s="1"/>
  <c r="E13" i="7" s="1"/>
  <c r="E14" i="7" s="1"/>
  <c r="D9" i="7"/>
  <c r="D10" i="7" s="1"/>
  <c r="D11" i="7" s="1"/>
  <c r="D12" i="7" s="1"/>
  <c r="D13" i="7" s="1"/>
  <c r="D14" i="7" s="1"/>
  <c r="C9" i="7"/>
  <c r="C10" i="7" s="1"/>
  <c r="C11" i="7" s="1"/>
  <c r="C12" i="7" s="1"/>
  <c r="C13" i="7" s="1"/>
  <c r="C14" i="7" s="1"/>
  <c r="F8" i="7"/>
  <c r="E8" i="7"/>
  <c r="D8" i="7"/>
  <c r="C8" i="7"/>
  <c r="G12" i="3"/>
  <c r="G5" i="3"/>
  <c r="Q24" i="8"/>
  <c r="O24" i="8"/>
  <c r="F7" i="7"/>
  <c r="E7" i="7"/>
  <c r="D7" i="7"/>
  <c r="C7" i="7"/>
  <c r="F12" i="3"/>
  <c r="P37" i="6"/>
  <c r="F6" i="7"/>
  <c r="E6" i="7"/>
  <c r="D6" i="7"/>
  <c r="C6" i="7"/>
  <c r="E12" i="3"/>
  <c r="F5" i="7" l="1"/>
  <c r="E5" i="7"/>
  <c r="D5" i="7"/>
  <c r="C5" i="7"/>
  <c r="D12" i="3"/>
  <c r="C12" i="3"/>
  <c r="T3" i="4" l="1"/>
  <c r="T4" i="4"/>
  <c r="T5" i="4"/>
  <c r="T6" i="4"/>
  <c r="T7" i="4"/>
  <c r="T8" i="4"/>
  <c r="T9" i="4"/>
  <c r="T10" i="4"/>
  <c r="T11" i="4"/>
  <c r="T12" i="4"/>
  <c r="T13" i="4"/>
  <c r="T2" i="4"/>
  <c r="Q14" i="4"/>
  <c r="C15" i="9"/>
  <c r="P14" i="9"/>
  <c r="P13" i="9"/>
  <c r="P12" i="9"/>
  <c r="P11" i="9"/>
  <c r="P10" i="9"/>
  <c r="P9" i="9"/>
  <c r="P8" i="9"/>
  <c r="P7" i="9"/>
  <c r="P6" i="9"/>
  <c r="P5" i="9"/>
  <c r="P4" i="9"/>
  <c r="P3" i="9"/>
  <c r="P15" i="9" l="1"/>
  <c r="D15" i="9" s="1"/>
  <c r="T14" i="4" s="1"/>
  <c r="E35" i="6"/>
  <c r="F35" i="6"/>
  <c r="G35" i="6"/>
  <c r="H35" i="6"/>
  <c r="I35" i="6"/>
  <c r="J35" i="6"/>
  <c r="K35" i="6"/>
  <c r="L35" i="6"/>
  <c r="M35" i="6"/>
  <c r="N35" i="6"/>
  <c r="O35" i="6"/>
  <c r="D35" i="6"/>
  <c r="E41" i="6"/>
  <c r="F41" i="6"/>
  <c r="G41" i="6"/>
  <c r="H41" i="6"/>
  <c r="I41" i="6"/>
  <c r="J41" i="6"/>
  <c r="K41" i="6"/>
  <c r="L41" i="6"/>
  <c r="M41" i="6"/>
  <c r="N41" i="6"/>
  <c r="O41" i="6"/>
  <c r="D41" i="6"/>
  <c r="P35" i="6" l="1"/>
  <c r="N18" i="5"/>
  <c r="M18" i="5"/>
  <c r="L18" i="5"/>
  <c r="K18" i="5"/>
  <c r="J18" i="5"/>
  <c r="I18" i="5"/>
  <c r="H18" i="5"/>
  <c r="G18" i="5"/>
  <c r="F18" i="5"/>
  <c r="E18" i="5"/>
  <c r="D18" i="5"/>
  <c r="C18" i="5"/>
  <c r="Q16" i="6" l="1"/>
  <c r="P16" i="6"/>
  <c r="P38" i="6"/>
  <c r="Q7" i="6" l="1"/>
  <c r="P7" i="6"/>
  <c r="P22" i="6" l="1"/>
  <c r="Q9" i="8"/>
  <c r="O9" i="8"/>
  <c r="D20" i="6"/>
  <c r="Q15" i="6"/>
  <c r="P15" i="6"/>
  <c r="Q14" i="6"/>
  <c r="P14" i="6"/>
  <c r="Q13" i="6"/>
  <c r="P13" i="6"/>
  <c r="T20" i="6" l="1"/>
  <c r="Q6" i="6" l="1"/>
  <c r="Q8" i="6"/>
  <c r="Q9" i="6"/>
  <c r="Q10" i="6"/>
  <c r="Q11" i="6"/>
  <c r="Q12" i="6"/>
  <c r="Q17" i="6"/>
  <c r="Q19" i="6"/>
  <c r="Q5" i="6"/>
  <c r="P17" i="6"/>
  <c r="Q20" i="6" l="1"/>
  <c r="K22" i="5" l="1"/>
  <c r="O21" i="5"/>
  <c r="O20" i="5"/>
  <c r="O19" i="5"/>
  <c r="N22" i="5"/>
  <c r="M22" i="5"/>
  <c r="L22" i="5"/>
  <c r="J22" i="5"/>
  <c r="I22" i="5"/>
  <c r="H22" i="5"/>
  <c r="G22" i="5"/>
  <c r="F22" i="5"/>
  <c r="E22" i="5"/>
  <c r="D22" i="5"/>
  <c r="C22" i="5"/>
  <c r="O17" i="5"/>
  <c r="O16" i="5"/>
  <c r="O18" i="5" l="1"/>
  <c r="P16" i="5" s="1"/>
  <c r="O22" i="5" l="1"/>
  <c r="Q18" i="5" s="1"/>
  <c r="P17" i="5"/>
  <c r="P18" i="5" s="1"/>
  <c r="Q21" i="5" l="1"/>
  <c r="Q19" i="5"/>
  <c r="Q20" i="5"/>
  <c r="Q22" i="5" l="1"/>
  <c r="P9" i="6"/>
  <c r="P39" i="6" l="1"/>
  <c r="P40" i="6"/>
  <c r="G4" i="7" l="1"/>
  <c r="O8" i="3" l="1"/>
  <c r="Q17" i="8" l="1"/>
  <c r="O17" i="8"/>
  <c r="Q25" i="8" l="1"/>
  <c r="O25" i="8"/>
  <c r="Q19" i="8" l="1"/>
  <c r="O19" i="8"/>
  <c r="O20" i="3" l="1"/>
  <c r="O15" i="3"/>
  <c r="Q16" i="8" l="1"/>
  <c r="O16" i="8"/>
  <c r="K27" i="8"/>
  <c r="H27" i="8"/>
  <c r="Q23" i="8"/>
  <c r="O23" i="8"/>
  <c r="Q22" i="8"/>
  <c r="O22" i="8"/>
  <c r="O3" i="5" l="1"/>
  <c r="D27" i="8"/>
  <c r="E27" i="8"/>
  <c r="F27" i="8"/>
  <c r="G27" i="8"/>
  <c r="I27" i="8"/>
  <c r="J27" i="8"/>
  <c r="L27" i="8"/>
  <c r="M27" i="8"/>
  <c r="N27" i="8"/>
  <c r="C27" i="8"/>
  <c r="Q18" i="8"/>
  <c r="O18" i="8"/>
  <c r="C8" i="4" l="1"/>
  <c r="B8" i="4"/>
  <c r="B9" i="4" s="1"/>
  <c r="B10" i="4" s="1"/>
  <c r="B11" i="4" s="1"/>
  <c r="B12" i="4" s="1"/>
  <c r="B13" i="4" s="1"/>
  <c r="D8" i="4"/>
  <c r="D9" i="4" s="1"/>
  <c r="D10" i="4" s="1"/>
  <c r="D11" i="4" s="1"/>
  <c r="D12" i="4" s="1"/>
  <c r="D13" i="4" s="1"/>
  <c r="C6" i="4"/>
  <c r="C7" i="4" s="1"/>
  <c r="D2" i="4"/>
  <c r="B5" i="4"/>
  <c r="C5" i="4"/>
  <c r="D3" i="4" l="1"/>
  <c r="D4" i="4" s="1"/>
  <c r="D5" i="4" s="1"/>
  <c r="D6" i="4" s="1"/>
  <c r="D7" i="4" s="1"/>
  <c r="C3" i="4"/>
  <c r="C2" i="4"/>
  <c r="C4" i="4"/>
  <c r="B2" i="4"/>
  <c r="B7" i="4"/>
  <c r="B6" i="4"/>
  <c r="B3" i="4"/>
  <c r="B4" i="4"/>
  <c r="C10" i="4"/>
  <c r="C12" i="4" s="1"/>
  <c r="C9" i="4"/>
  <c r="C11" i="4" s="1"/>
  <c r="C13" i="4" s="1"/>
  <c r="D14" i="4" l="1"/>
  <c r="C14" i="4"/>
  <c r="B14" i="4"/>
  <c r="Q15" i="8"/>
  <c r="O15" i="8"/>
  <c r="Q11" i="8"/>
  <c r="O11" i="8"/>
  <c r="Q13" i="8"/>
  <c r="O13" i="8"/>
  <c r="Q10" i="8"/>
  <c r="O10" i="8"/>
  <c r="Q7" i="8"/>
  <c r="O7" i="8"/>
  <c r="Q6" i="8"/>
  <c r="O6" i="8"/>
  <c r="Q20" i="8"/>
  <c r="O20" i="8"/>
  <c r="Q8" i="8"/>
  <c r="O8" i="8"/>
  <c r="Q5" i="8"/>
  <c r="O5" i="8"/>
  <c r="G5" i="5"/>
  <c r="C16" i="7" l="1"/>
  <c r="O12" i="3"/>
  <c r="O5" i="3"/>
  <c r="O4" i="3"/>
  <c r="O16" i="3"/>
  <c r="E13" i="4" l="1"/>
  <c r="E12" i="4"/>
  <c r="E11" i="4"/>
  <c r="E10" i="4"/>
  <c r="E9" i="4"/>
  <c r="E8" i="4"/>
  <c r="E7" i="4"/>
  <c r="O20" i="6"/>
  <c r="N20" i="6"/>
  <c r="M20" i="6"/>
  <c r="L20" i="6"/>
  <c r="K20" i="6"/>
  <c r="J20" i="6"/>
  <c r="I20" i="6"/>
  <c r="H20" i="6"/>
  <c r="G20" i="6"/>
  <c r="F20" i="6"/>
  <c r="E20" i="6"/>
  <c r="P19" i="6"/>
  <c r="P12" i="6"/>
  <c r="P11" i="6"/>
  <c r="P10" i="6"/>
  <c r="P8" i="6"/>
  <c r="P6" i="6"/>
  <c r="P5" i="6"/>
  <c r="J28" i="6" l="1"/>
  <c r="J29" i="6" s="1"/>
  <c r="I26" i="3"/>
  <c r="F32" i="6"/>
  <c r="F33" i="6" s="1"/>
  <c r="E4" i="4"/>
  <c r="E26" i="3"/>
  <c r="H28" i="6"/>
  <c r="H29" i="6" s="1"/>
  <c r="E6" i="4"/>
  <c r="G26" i="3"/>
  <c r="N24" i="6"/>
  <c r="N25" i="6" s="1"/>
  <c r="M26" i="3"/>
  <c r="I28" i="6"/>
  <c r="I29" i="6" s="1"/>
  <c r="H26" i="3"/>
  <c r="D32" i="6"/>
  <c r="D33" i="6" s="1"/>
  <c r="D24" i="6"/>
  <c r="D25" i="6" s="1"/>
  <c r="E2" i="4"/>
  <c r="C26" i="3"/>
  <c r="K28" i="6"/>
  <c r="K29" i="6" s="1"/>
  <c r="J26" i="3"/>
  <c r="O24" i="6"/>
  <c r="O25" i="6" s="1"/>
  <c r="N26" i="3"/>
  <c r="E32" i="6"/>
  <c r="E33" i="6" s="1"/>
  <c r="E3" i="4"/>
  <c r="D26" i="3"/>
  <c r="L24" i="6"/>
  <c r="L25" i="6" s="1"/>
  <c r="K26" i="3"/>
  <c r="G32" i="6"/>
  <c r="G33" i="6" s="1"/>
  <c r="E5" i="4"/>
  <c r="F26" i="3"/>
  <c r="M24" i="6"/>
  <c r="M25" i="6" s="1"/>
  <c r="L26" i="3"/>
  <c r="P20" i="6"/>
  <c r="S20" i="6"/>
  <c r="L28" i="6"/>
  <c r="L29" i="6" s="1"/>
  <c r="H32" i="6"/>
  <c r="H33" i="6" s="1"/>
  <c r="E24" i="6"/>
  <c r="E25" i="6" s="1"/>
  <c r="M28" i="6"/>
  <c r="M29" i="6" s="1"/>
  <c r="I32" i="6"/>
  <c r="I33" i="6" s="1"/>
  <c r="F24" i="6"/>
  <c r="F25" i="6" s="1"/>
  <c r="N28" i="6"/>
  <c r="N29" i="6" s="1"/>
  <c r="J32" i="6"/>
  <c r="J33" i="6" s="1"/>
  <c r="G24" i="6"/>
  <c r="G25" i="6" s="1"/>
  <c r="O28" i="6"/>
  <c r="O29" i="6" s="1"/>
  <c r="K32" i="6"/>
  <c r="K33" i="6" s="1"/>
  <c r="H24" i="6"/>
  <c r="H25" i="6" s="1"/>
  <c r="D28" i="6"/>
  <c r="D29" i="6" s="1"/>
  <c r="L32" i="6"/>
  <c r="L33" i="6" s="1"/>
  <c r="I24" i="6"/>
  <c r="I25" i="6" s="1"/>
  <c r="E28" i="6"/>
  <c r="E29" i="6" s="1"/>
  <c r="M32" i="6"/>
  <c r="M33" i="6" s="1"/>
  <c r="J24" i="6"/>
  <c r="J25" i="6" s="1"/>
  <c r="F28" i="6"/>
  <c r="F29" i="6" s="1"/>
  <c r="N32" i="6"/>
  <c r="N33" i="6" s="1"/>
  <c r="K24" i="6"/>
  <c r="K25" i="6" s="1"/>
  <c r="G28" i="6"/>
  <c r="G29" i="6" s="1"/>
  <c r="O32" i="6"/>
  <c r="O33" i="6" s="1"/>
  <c r="E14" i="4" l="1"/>
  <c r="P32" i="6"/>
  <c r="U33" i="6" s="1"/>
  <c r="O26" i="3"/>
  <c r="U20" i="6"/>
  <c r="P28" i="6"/>
  <c r="U29" i="6" s="1"/>
  <c r="P24" i="6"/>
  <c r="U25" i="6" s="1"/>
  <c r="P33" i="6" l="1"/>
  <c r="P25" i="6"/>
  <c r="P29" i="6"/>
  <c r="Q26" i="8" l="1"/>
  <c r="O26" i="8"/>
  <c r="Q12" i="8"/>
  <c r="O12" i="8"/>
  <c r="Q21" i="8"/>
  <c r="O21" i="8"/>
  <c r="Q14" i="8"/>
  <c r="O14" i="8"/>
  <c r="Q4" i="8"/>
  <c r="O4" i="8"/>
  <c r="Q3" i="8"/>
  <c r="O3" i="8"/>
  <c r="O8" i="5"/>
  <c r="O7" i="5"/>
  <c r="O6" i="5"/>
  <c r="N5" i="5"/>
  <c r="N9" i="5" s="1"/>
  <c r="M5" i="5"/>
  <c r="M9" i="5" s="1"/>
  <c r="L5" i="5"/>
  <c r="L9" i="5" s="1"/>
  <c r="K5" i="5"/>
  <c r="K9" i="5" s="1"/>
  <c r="J5" i="5"/>
  <c r="J9" i="5" s="1"/>
  <c r="I5" i="5"/>
  <c r="I9" i="5" s="1"/>
  <c r="H5" i="5"/>
  <c r="H9" i="5" s="1"/>
  <c r="G9" i="5"/>
  <c r="F5" i="5"/>
  <c r="F9" i="5" s="1"/>
  <c r="E5" i="5"/>
  <c r="E9" i="5" s="1"/>
  <c r="D5" i="5"/>
  <c r="D9" i="5" s="1"/>
  <c r="C5" i="5"/>
  <c r="C9" i="5" s="1"/>
  <c r="O4" i="5"/>
  <c r="N6" i="3"/>
  <c r="N10" i="3" s="1"/>
  <c r="M6" i="3"/>
  <c r="M10" i="3" s="1"/>
  <c r="L6" i="3"/>
  <c r="K6" i="3"/>
  <c r="K10" i="3" s="1"/>
  <c r="J6" i="3"/>
  <c r="I6" i="3"/>
  <c r="I10" i="3" s="1"/>
  <c r="H6" i="3"/>
  <c r="H10" i="3" s="1"/>
  <c r="G6" i="3"/>
  <c r="F6" i="3"/>
  <c r="E6" i="3"/>
  <c r="D6" i="3"/>
  <c r="C6" i="3"/>
  <c r="O25" i="7"/>
  <c r="O24" i="7"/>
  <c r="T24" i="7" s="1"/>
  <c r="F16" i="7"/>
  <c r="E16" i="7"/>
  <c r="D16" i="7"/>
  <c r="G15" i="7"/>
  <c r="H15" i="7" s="1"/>
  <c r="C34" i="4" s="1"/>
  <c r="B15" i="7"/>
  <c r="G14" i="7"/>
  <c r="H14" i="7" s="1"/>
  <c r="C33" i="4" s="1"/>
  <c r="B14" i="7"/>
  <c r="G13" i="7"/>
  <c r="H13" i="7" s="1"/>
  <c r="C32" i="4" s="1"/>
  <c r="B13" i="7"/>
  <c r="G12" i="7"/>
  <c r="H12" i="7" s="1"/>
  <c r="C31" i="4" s="1"/>
  <c r="B12" i="7"/>
  <c r="G11" i="7"/>
  <c r="H11" i="7" s="1"/>
  <c r="C30" i="4" s="1"/>
  <c r="B11" i="7"/>
  <c r="G10" i="7"/>
  <c r="H10" i="7" s="1"/>
  <c r="C29" i="4" s="1"/>
  <c r="B10" i="7"/>
  <c r="G9" i="7"/>
  <c r="H9" i="7" s="1"/>
  <c r="C28" i="4" s="1"/>
  <c r="B9" i="7"/>
  <c r="G8" i="7"/>
  <c r="H8" i="7" s="1"/>
  <c r="C27" i="4" s="1"/>
  <c r="B8" i="7"/>
  <c r="G7" i="7"/>
  <c r="H7" i="7" s="1"/>
  <c r="C26" i="4" s="1"/>
  <c r="B7" i="7"/>
  <c r="G6" i="7"/>
  <c r="H6" i="7" s="1"/>
  <c r="C25" i="4" s="1"/>
  <c r="B6" i="7"/>
  <c r="G5" i="7"/>
  <c r="H5" i="7" s="1"/>
  <c r="C24" i="4" s="1"/>
  <c r="B5" i="7"/>
  <c r="H4" i="7"/>
  <c r="C23" i="4" s="1"/>
  <c r="B4" i="7"/>
  <c r="B35" i="4"/>
  <c r="E14" i="3" l="1"/>
  <c r="E18" i="3" s="1"/>
  <c r="E10" i="3"/>
  <c r="L28" i="3"/>
  <c r="L10" i="3"/>
  <c r="G14" i="3"/>
  <c r="G18" i="3" s="1"/>
  <c r="G10" i="3"/>
  <c r="F32" i="3"/>
  <c r="F10" i="3"/>
  <c r="D14" i="3"/>
  <c r="D18" i="3" s="1"/>
  <c r="D10" i="3"/>
  <c r="J14" i="3"/>
  <c r="J18" i="3" s="1"/>
  <c r="J10" i="3"/>
  <c r="C14" i="3"/>
  <c r="C18" i="3" s="1"/>
  <c r="C10" i="3"/>
  <c r="N28" i="3"/>
  <c r="I14" i="3"/>
  <c r="I18" i="3" s="1"/>
  <c r="I22" i="3" s="1"/>
  <c r="O5" i="5"/>
  <c r="P3" i="5" s="1"/>
  <c r="O27" i="8"/>
  <c r="C32" i="3"/>
  <c r="C28" i="3"/>
  <c r="F14" i="3"/>
  <c r="F18" i="3" s="1"/>
  <c r="D28" i="3"/>
  <c r="D32" i="3"/>
  <c r="E32" i="3"/>
  <c r="I32" i="3"/>
  <c r="L14" i="3"/>
  <c r="L18" i="3" s="1"/>
  <c r="K14" i="3"/>
  <c r="K18" i="3" s="1"/>
  <c r="K22" i="3" s="1"/>
  <c r="M14" i="3"/>
  <c r="M18" i="3" s="1"/>
  <c r="M22" i="3" s="1"/>
  <c r="J32" i="3"/>
  <c r="N14" i="3"/>
  <c r="N18" i="3" s="1"/>
  <c r="N22" i="3" s="1"/>
  <c r="K32" i="3"/>
  <c r="L32" i="3"/>
  <c r="M32" i="3"/>
  <c r="H32" i="3"/>
  <c r="H28" i="3"/>
  <c r="N32" i="3"/>
  <c r="K28" i="3"/>
  <c r="I28" i="3"/>
  <c r="J28" i="3"/>
  <c r="M28" i="3"/>
  <c r="G32" i="3"/>
  <c r="E28" i="3"/>
  <c r="F28" i="3"/>
  <c r="G28" i="3"/>
  <c r="G16" i="7"/>
  <c r="H16" i="7" s="1"/>
  <c r="T16" i="7" s="1"/>
  <c r="O6" i="3"/>
  <c r="O10" i="3" s="1"/>
  <c r="H14" i="3"/>
  <c r="P9" i="8" l="1"/>
  <c r="P24" i="8"/>
  <c r="J22" i="3"/>
  <c r="L22" i="3"/>
  <c r="G22" i="3"/>
  <c r="E22" i="3"/>
  <c r="D22" i="3"/>
  <c r="P4" i="5"/>
  <c r="P5" i="5" s="1"/>
  <c r="P25" i="8"/>
  <c r="P17" i="8"/>
  <c r="C22" i="3"/>
  <c r="F22" i="3"/>
  <c r="P16" i="8"/>
  <c r="P19" i="8"/>
  <c r="O9" i="5"/>
  <c r="Q8" i="5" s="1"/>
  <c r="O14" i="3"/>
  <c r="P18" i="8"/>
  <c r="P23" i="8"/>
  <c r="P22" i="8"/>
  <c r="P3" i="8"/>
  <c r="P15" i="8"/>
  <c r="P21" i="8"/>
  <c r="P13" i="8"/>
  <c r="P11" i="8"/>
  <c r="P4" i="8"/>
  <c r="P12" i="8"/>
  <c r="P26" i="8"/>
  <c r="P14" i="8"/>
  <c r="P7" i="8"/>
  <c r="P10" i="8"/>
  <c r="P20" i="8"/>
  <c r="P6" i="8"/>
  <c r="P5" i="8"/>
  <c r="P8" i="8"/>
  <c r="O32" i="3"/>
  <c r="H18" i="3"/>
  <c r="H22" i="3" s="1"/>
  <c r="O28" i="3"/>
  <c r="C35" i="4"/>
  <c r="O18" i="3" l="1"/>
  <c r="O22" i="3" s="1"/>
  <c r="Q5" i="5"/>
  <c r="Q6" i="5"/>
  <c r="Q7" i="5"/>
  <c r="P27" i="8"/>
  <c r="Q9" i="5" l="1"/>
</calcChain>
</file>

<file path=xl/sharedStrings.xml><?xml version="1.0" encoding="utf-8"?>
<sst xmlns="http://schemas.openxmlformats.org/spreadsheetml/2006/main" count="333" uniqueCount="165">
  <si>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</si>
  <si>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</si>
  <si>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</si>
  <si>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</si>
  <si>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</si>
  <si>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</si>
  <si>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</si>
  <si>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</si>
  <si>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</si>
  <si>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</si>
  <si>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</si>
  <si>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</si>
  <si>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Total</t>
  </si>
  <si>
    <t>Gross Charges</t>
  </si>
  <si>
    <t>Contractual Adjustments</t>
  </si>
  <si>
    <t>Net Patient Revenue</t>
  </si>
  <si>
    <t>Practice Overhead</t>
  </si>
  <si>
    <t>Total Operating Expenses</t>
  </si>
  <si>
    <t>Net Operating Margin</t>
  </si>
  <si>
    <t>CPT Code</t>
  </si>
  <si>
    <t>Procedure Quantity</t>
  </si>
  <si>
    <t>RVU's</t>
  </si>
  <si>
    <t>65th % Benchmark</t>
  </si>
  <si>
    <t>Imputed CFTE</t>
  </si>
  <si>
    <t>Reported CFTE</t>
  </si>
  <si>
    <t>Imputed: Reported</t>
  </si>
  <si>
    <t>Imputed:Reported</t>
  </si>
  <si>
    <t>New</t>
  </si>
  <si>
    <t>Return</t>
  </si>
  <si>
    <t>Cancelled</t>
  </si>
  <si>
    <t>Total Completed</t>
  </si>
  <si>
    <t>Bump</t>
  </si>
  <si>
    <t xml:space="preserve">No Show </t>
  </si>
  <si>
    <t>% New</t>
  </si>
  <si>
    <t>% Returned</t>
  </si>
  <si>
    <t>% Completed</t>
  </si>
  <si>
    <t>% Cancelled</t>
  </si>
  <si>
    <t>% Bump</t>
  </si>
  <si>
    <t>% No Show</t>
  </si>
  <si>
    <t>Aetna</t>
  </si>
  <si>
    <t>Self Pay</t>
  </si>
  <si>
    <t>Other Operating Revenue</t>
  </si>
  <si>
    <t>Total Operating Revenue</t>
  </si>
  <si>
    <t>Imputed CFTE 65th%</t>
  </si>
  <si>
    <t>70th % Benchmark</t>
  </si>
  <si>
    <t>Imputed CFTE 70th%</t>
  </si>
  <si>
    <t>80th % Benchmark</t>
  </si>
  <si>
    <t>Imputed CFTE 80th%</t>
  </si>
  <si>
    <t>Threshold 25% of Incentive</t>
  </si>
  <si>
    <t>Achieve Productivity Metric 65%</t>
  </si>
  <si>
    <t>Target 50% of Incentive</t>
  </si>
  <si>
    <t>Achieve Productivity Metric &gt;70%</t>
  </si>
  <si>
    <t>HP  100% of Incentive</t>
  </si>
  <si>
    <t>Achieve Productivity Metric &gt;80%</t>
  </si>
  <si>
    <t>Total Effort</t>
  </si>
  <si>
    <t>Auto Closed Encounters</t>
  </si>
  <si>
    <t xml:space="preserve">Quantity </t>
  </si>
  <si>
    <t>Charges</t>
  </si>
  <si>
    <t>Aging of Encounters</t>
  </si>
  <si>
    <t>0-5 Days</t>
  </si>
  <si>
    <t>6-10 Days</t>
  </si>
  <si>
    <t>11-30 Days</t>
  </si>
  <si>
    <t>31+ Days</t>
  </si>
  <si>
    <t>% closed in 10 Days</t>
  </si>
  <si>
    <t xml:space="preserve">Achieve 75% Closed w/i 10 days </t>
  </si>
  <si>
    <t>Month</t>
  </si>
  <si>
    <t>Goal 1 - 65th %</t>
  </si>
  <si>
    <t>Goal 2 - 70th %</t>
  </si>
  <si>
    <t>Goal 3 - 80th %</t>
  </si>
  <si>
    <t>Actual Performance</t>
  </si>
  <si>
    <t>YTD</t>
  </si>
  <si>
    <t>Goal 75 %</t>
  </si>
  <si>
    <t>IBC</t>
  </si>
  <si>
    <t>NPR per RVU</t>
  </si>
  <si>
    <t>Magellan Behavioral Health</t>
  </si>
  <si>
    <t>Aetna Medicare</t>
  </si>
  <si>
    <t>Collection Rate</t>
  </si>
  <si>
    <t>Dues &amp; Licenses</t>
  </si>
  <si>
    <t>Blue Shield</t>
  </si>
  <si>
    <t>Comm Behv Health</t>
  </si>
  <si>
    <t>Medicare</t>
  </si>
  <si>
    <t>Quest Behavioral Health, BH</t>
  </si>
  <si>
    <t>Blue Shield Alt Non-Contigouos</t>
  </si>
  <si>
    <t>Horizon</t>
  </si>
  <si>
    <t>Humana</t>
  </si>
  <si>
    <t>Magellan Behavioral Health- Alt</t>
  </si>
  <si>
    <t>OPC</t>
  </si>
  <si>
    <t>Admin- AC Track</t>
  </si>
  <si>
    <t>PA Health and Wellness Medicaid</t>
  </si>
  <si>
    <t>Railroad Medicare</t>
  </si>
  <si>
    <t>Tricare</t>
  </si>
  <si>
    <t>IET Programmatic Support</t>
  </si>
  <si>
    <t>Salary, EB's &amp; Malpractice</t>
  </si>
  <si>
    <t>Workers Comp</t>
  </si>
  <si>
    <t>Auto Closed Details</t>
  </si>
  <si>
    <t>Service Date</t>
  </si>
  <si>
    <t>Payor</t>
  </si>
  <si>
    <t>Department Name</t>
  </si>
  <si>
    <t>Bill Area name</t>
  </si>
  <si>
    <t>Procedure</t>
  </si>
  <si>
    <t>C_Expected Price</t>
  </si>
  <si>
    <t>Patient MRN</t>
  </si>
  <si>
    <t xml:space="preserve">Billing Provider </t>
  </si>
  <si>
    <t xml:space="preserve">Service Provider </t>
  </si>
  <si>
    <t>Created Date</t>
  </si>
  <si>
    <t>Appointment Status</t>
  </si>
  <si>
    <t>Visit Closed By Name</t>
  </si>
  <si>
    <t>Research</t>
  </si>
  <si>
    <t>Independence Blue Cross</t>
  </si>
  <si>
    <t>RVU's Per CPT (Jul-Dec)</t>
  </si>
  <si>
    <t>RVU's Per CPT (Jan-Jun)</t>
  </si>
  <si>
    <t>G2211</t>
  </si>
  <si>
    <t>Highmark BC BS of PA Managed Care</t>
  </si>
  <si>
    <t>Charity Care</t>
  </si>
  <si>
    <t>MGD Medicare Other</t>
  </si>
  <si>
    <t>Misc Expenses</t>
  </si>
  <si>
    <t>PA MA</t>
  </si>
  <si>
    <t>NO</t>
  </si>
  <si>
    <t>GAP</t>
  </si>
  <si>
    <t>In-Basket Recipient</t>
  </si>
  <si>
    <t>Total Count - MPM Messages</t>
  </si>
  <si>
    <t>% Handled - Less Than 2 BD</t>
  </si>
  <si>
    <t>Handled Messages</t>
  </si>
  <si>
    <t>Unhandled Messages</t>
  </si>
  <si>
    <t>% of Total Messages</t>
  </si>
  <si>
    <t>Count</t>
  </si>
  <si>
    <t>Avg Days Messages Handled</t>
  </si>
  <si>
    <t>% Handled Less Than 2 BD</t>
  </si>
  <si>
    <t>% Handled Greater Than 2 BD</t>
  </si>
  <si>
    <t>Avg Days Messages Unhandled</t>
  </si>
  <si>
    <t>July 2024</t>
  </si>
  <si>
    <t>August 2024</t>
  </si>
  <si>
    <t>September 2024</t>
  </si>
  <si>
    <t>October 2024</t>
  </si>
  <si>
    <t>November 2024</t>
  </si>
  <si>
    <t>December 2024</t>
  </si>
  <si>
    <t>January 2025</t>
  </si>
  <si>
    <t>February 2025</t>
  </si>
  <si>
    <t>March 2025</t>
  </si>
  <si>
    <t>April 2025</t>
  </si>
  <si>
    <t>May 2025</t>
  </si>
  <si>
    <t>June 2025</t>
  </si>
  <si>
    <t>Not Eligible</t>
  </si>
  <si>
    <t>&lt;75%</t>
  </si>
  <si>
    <t>Threshold</t>
  </si>
  <si>
    <t>75%</t>
  </si>
  <si>
    <t>Target</t>
  </si>
  <si>
    <t>76%-89%</t>
  </si>
  <si>
    <t>High Performance</t>
  </si>
  <si>
    <t>90%-100%</t>
  </si>
  <si>
    <t>MPM PSYCH LESCANO, N CLINICAL</t>
  </si>
  <si>
    <t/>
  </si>
  <si>
    <t>Threshold 75%</t>
  </si>
  <si>
    <t>Target 76%</t>
  </si>
  <si>
    <t>HP 90%</t>
  </si>
  <si>
    <t>Visit Analysis - Clinical Practice - Nicolas Lescano - FY 2024 as of 06/30/2024</t>
  </si>
  <si>
    <t>Veterans Administration</t>
  </si>
  <si>
    <t>Mental Health Comm</t>
  </si>
  <si>
    <t>UPHS10</t>
  </si>
  <si>
    <t>wRVUs - Clinical Practice - Nicolas Lescano - FY 2025 as of 06/30/2025</t>
  </si>
  <si>
    <t>Aging of Encounters - Clinical Practice - Nicolas Lescano - FY 2025 as of 06/30/2025</t>
  </si>
  <si>
    <t>Income Statement Analysis - Clinical Practice - Nicolas Lescano - FY 2025 as of 06/30/2025</t>
  </si>
  <si>
    <t>Visit Analysis - Clinical Practice - Nicolas Lescano - FY 2025 as of 06/30/2025</t>
  </si>
  <si>
    <t>Payer Analysis - Clinical Practice - Nicolas Lescano - FY 2025 as of 06/30/2025</t>
  </si>
  <si>
    <t>PSYCH LESCANO, NICOLAS CLINICAL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</si>
</sst>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00_);_(* \(#,##0.000\);_(* &quot;-&quot;??_);_(@_)"/>
    <numFmt numFmtId="167" formatCode="_(&quot;$&quot;* #,##0_);_(&quot;$&quot;* \(#,##0\);_(&quot;$&quot;* &quot;-&quot;??_);_(@_)"/>
    <numFmt numFmtId="168" formatCode="_(* #,##0.0000_);_(* \(#,##0.0000\);_(* &quot;-&quot;??_);_(@_)"/>
    <numFmt numFmtId="169" formatCode="#,##0.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rgb="FFFFFFFF"/>
      <name val="Arial"/>
      <family val="2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8"/>
      <color rgb="FF000000"/>
      <name val="Arial Narrow"/>
      <family val="2"/>
    </font>
  </fonts>
  <fills count="2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1256E"/>
        <bgColor rgb="FFFFFFFF"/>
      </patternFill>
    </fill>
    <fill>
      <patternFill patternType="solid">
        <fgColor rgb="FF008E00"/>
        <bgColor rgb="FFFFFFFF"/>
      </patternFill>
    </fill>
    <fill>
      <patternFill patternType="solid">
        <fgColor rgb="FF95001A"/>
        <bgColor rgb="FFFFFFFF"/>
      </patternFill>
    </fill>
    <fill>
      <patternFill patternType="solid">
        <fgColor rgb="FFF8FBFC"/>
        <bgColor rgb="FFFFFFFF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9" xfId="0" applyFont="1" applyBorder="1" applyAlignment="1">
      <alignment horizontal="center" vertical="center"/>
    </xf>
    <xf numFmtId="43" fontId="2" fillId="0" borderId="9" xfId="1" applyFont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43" fontId="2" fillId="0" borderId="9" xfId="1" applyFont="1" applyBorder="1" applyAlignment="1">
      <alignment horizontal="center" vertical="center"/>
    </xf>
    <xf numFmtId="43" fontId="0" fillId="0" borderId="10" xfId="1" applyFont="1" applyBorder="1"/>
    <xf numFmtId="164" fontId="0" fillId="14" borderId="10" xfId="1" applyNumberFormat="1" applyFont="1" applyFill="1" applyBorder="1"/>
    <xf numFmtId="164" fontId="0" fillId="15" borderId="10" xfId="1" applyNumberFormat="1" applyFont="1" applyFill="1" applyBorder="1"/>
    <xf numFmtId="164" fontId="0" fillId="16" borderId="10" xfId="1" applyNumberFormat="1" applyFont="1" applyFill="1" applyBorder="1"/>
    <xf numFmtId="164" fontId="0" fillId="17" borderId="10" xfId="1" applyNumberFormat="1" applyFont="1" applyFill="1" applyBorder="1"/>
    <xf numFmtId="164" fontId="0" fillId="18" borderId="10" xfId="1" applyNumberFormat="1" applyFont="1" applyFill="1" applyBorder="1"/>
    <xf numFmtId="164" fontId="0" fillId="19" borderId="10" xfId="1" applyNumberFormat="1" applyFont="1" applyFill="1" applyBorder="1"/>
    <xf numFmtId="164" fontId="0" fillId="0" borderId="0" xfId="1" applyNumberFormat="1" applyFont="1" applyBorder="1"/>
    <xf numFmtId="164" fontId="2" fillId="0" borderId="11" xfId="1" applyNumberFormat="1" applyFont="1" applyBorder="1"/>
    <xf numFmtId="43" fontId="2" fillId="16" borderId="12" xfId="1" applyFont="1" applyFill="1" applyBorder="1"/>
    <xf numFmtId="43" fontId="2" fillId="17" borderId="12" xfId="1" applyFont="1" applyFill="1" applyBorder="1"/>
    <xf numFmtId="43" fontId="2" fillId="14" borderId="12" xfId="1" applyFont="1" applyFill="1" applyBorder="1"/>
    <xf numFmtId="43" fontId="0" fillId="0" borderId="13" xfId="1" applyFont="1" applyBorder="1"/>
    <xf numFmtId="43" fontId="0" fillId="0" borderId="0" xfId="1" applyFont="1" applyBorder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0" fillId="0" borderId="13" xfId="1" applyNumberFormat="1" applyFont="1" applyBorder="1"/>
    <xf numFmtId="165" fontId="0" fillId="0" borderId="13" xfId="2" applyNumberFormat="1" applyFont="1" applyBorder="1"/>
    <xf numFmtId="0" fontId="2" fillId="0" borderId="0" xfId="0" applyFont="1"/>
    <xf numFmtId="0" fontId="0" fillId="0" borderId="8" xfId="0" applyBorder="1"/>
    <xf numFmtId="0" fontId="0" fillId="0" borderId="7" xfId="0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4" xfId="0" applyBorder="1"/>
    <xf numFmtId="164" fontId="0" fillId="0" borderId="14" xfId="1" applyNumberFormat="1" applyFont="1" applyBorder="1"/>
    <xf numFmtId="43" fontId="0" fillId="0" borderId="14" xfId="1" applyFont="1" applyBorder="1"/>
    <xf numFmtId="0" fontId="0" fillId="0" borderId="17" xfId="0" applyBorder="1"/>
    <xf numFmtId="165" fontId="0" fillId="0" borderId="0" xfId="2" applyNumberFormat="1" applyFont="1" applyBorder="1"/>
    <xf numFmtId="9" fontId="0" fillId="0" borderId="0" xfId="2" applyFont="1" applyBorder="1"/>
    <xf numFmtId="164" fontId="3" fillId="0" borderId="0" xfId="1" applyNumberFormat="1" applyFont="1" applyBorder="1"/>
    <xf numFmtId="9" fontId="3" fillId="0" borderId="0" xfId="2" applyFont="1" applyBorder="1"/>
    <xf numFmtId="43" fontId="3" fillId="0" borderId="0" xfId="1" applyFont="1" applyBorder="1"/>
    <xf numFmtId="0" fontId="0" fillId="21" borderId="0" xfId="0" applyFill="1"/>
    <xf numFmtId="164" fontId="0" fillId="21" borderId="0" xfId="1" applyNumberFormat="1" applyFont="1" applyFill="1"/>
    <xf numFmtId="43" fontId="0" fillId="21" borderId="0" xfId="1" applyFont="1" applyFill="1"/>
    <xf numFmtId="43" fontId="0" fillId="0" borderId="8" xfId="1" applyFont="1" applyBorder="1"/>
    <xf numFmtId="164" fontId="0" fillId="0" borderId="8" xfId="1" applyNumberFormat="1" applyFont="1" applyBorder="1"/>
    <xf numFmtId="43" fontId="0" fillId="0" borderId="7" xfId="1" applyFont="1" applyBorder="1"/>
    <xf numFmtId="43" fontId="2" fillId="0" borderId="0" xfId="1" applyFont="1" applyBorder="1"/>
    <xf numFmtId="10" fontId="2" fillId="20" borderId="18" xfId="2" applyNumberFormat="1" applyFont="1" applyFill="1" applyBorder="1"/>
    <xf numFmtId="164" fontId="1" fillId="0" borderId="0" xfId="1" applyNumberFormat="1" applyFont="1" applyBorder="1"/>
    <xf numFmtId="165" fontId="1" fillId="0" borderId="0" xfId="2" applyNumberFormat="1" applyFont="1" applyBorder="1"/>
    <xf numFmtId="43" fontId="1" fillId="0" borderId="0" xfId="1" applyFont="1" applyBorder="1"/>
    <xf numFmtId="0" fontId="2" fillId="2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43" fontId="0" fillId="0" borderId="10" xfId="1" applyFont="1" applyFill="1" applyBorder="1"/>
    <xf numFmtId="43" fontId="5" fillId="22" borderId="3" xfId="1" applyFont="1" applyFill="1" applyBorder="1"/>
    <xf numFmtId="0" fontId="5" fillId="22" borderId="4" xfId="0" applyFont="1" applyFill="1" applyBorder="1"/>
    <xf numFmtId="43" fontId="6" fillId="0" borderId="0" xfId="1" applyFont="1" applyBorder="1"/>
    <xf numFmtId="0" fontId="6" fillId="0" borderId="16" xfId="0" applyFont="1" applyBorder="1"/>
    <xf numFmtId="0" fontId="6" fillId="22" borderId="4" xfId="0" applyFont="1" applyFill="1" applyBorder="1"/>
    <xf numFmtId="43" fontId="2" fillId="0" borderId="0" xfId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43" fontId="2" fillId="0" borderId="14" xfId="1" applyFont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43" fontId="0" fillId="0" borderId="15" xfId="1" applyFont="1" applyBorder="1"/>
    <xf numFmtId="43" fontId="0" fillId="0" borderId="0" xfId="1" applyFont="1" applyBorder="1" applyAlignment="1">
      <alignment horizontal="center"/>
    </xf>
    <xf numFmtId="164" fontId="0" fillId="0" borderId="0" xfId="1" applyNumberFormat="1" applyFont="1" applyBorder="1" applyAlignment="1"/>
    <xf numFmtId="167" fontId="0" fillId="0" borderId="0" xfId="3" applyNumberFormat="1" applyFont="1" applyBorder="1"/>
    <xf numFmtId="43" fontId="2" fillId="0" borderId="0" xfId="1" applyFont="1" applyBorder="1" applyAlignment="1">
      <alignment horizontal="center"/>
    </xf>
    <xf numFmtId="16" fontId="2" fillId="0" borderId="0" xfId="1" quotePrefix="1" applyNumberFormat="1" applyFont="1" applyBorder="1" applyAlignment="1">
      <alignment horizontal="center"/>
    </xf>
    <xf numFmtId="43" fontId="2" fillId="0" borderId="0" xfId="1" quotePrefix="1" applyFont="1" applyBorder="1" applyAlignment="1">
      <alignment horizontal="center"/>
    </xf>
    <xf numFmtId="10" fontId="0" fillId="0" borderId="0" xfId="2" applyNumberFormat="1" applyFont="1" applyBorder="1"/>
    <xf numFmtId="43" fontId="0" fillId="0" borderId="0" xfId="0" applyNumberFormat="1"/>
    <xf numFmtId="9" fontId="0" fillId="0" borderId="0" xfId="0" applyNumberFormat="1"/>
    <xf numFmtId="10" fontId="0" fillId="0" borderId="0" xfId="0" applyNumberFormat="1"/>
    <xf numFmtId="0" fontId="5" fillId="22" borderId="5" xfId="0" applyFont="1" applyFill="1" applyBorder="1" applyAlignment="1">
      <alignment horizontal="center"/>
    </xf>
    <xf numFmtId="43" fontId="0" fillId="0" borderId="19" xfId="1" applyFont="1" applyBorder="1"/>
    <xf numFmtId="167" fontId="0" fillId="0" borderId="14" xfId="3" applyNumberFormat="1" applyFont="1" applyBorder="1"/>
    <xf numFmtId="43" fontId="2" fillId="0" borderId="8" xfId="1" applyFont="1" applyBorder="1" applyAlignment="1">
      <alignment horizontal="center" vertical="center"/>
    </xf>
    <xf numFmtId="16" fontId="2" fillId="0" borderId="8" xfId="1" quotePrefix="1" applyNumberFormat="1" applyFont="1" applyBorder="1" applyAlignment="1">
      <alignment horizontal="center" vertical="center"/>
    </xf>
    <xf numFmtId="43" fontId="2" fillId="0" borderId="8" xfId="1" quotePrefix="1" applyFont="1" applyBorder="1" applyAlignment="1">
      <alignment horizontal="center" vertical="center"/>
    </xf>
    <xf numFmtId="43" fontId="2" fillId="0" borderId="8" xfId="1" applyFont="1" applyBorder="1" applyAlignment="1">
      <alignment horizontal="center" vertical="center" wrapText="1"/>
    </xf>
    <xf numFmtId="43" fontId="0" fillId="0" borderId="8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3" fontId="0" fillId="0" borderId="15" xfId="1" applyFont="1" applyFill="1" applyBorder="1"/>
    <xf numFmtId="43" fontId="0" fillId="0" borderId="0" xfId="1" applyFont="1" applyFill="1" applyBorder="1"/>
    <xf numFmtId="0" fontId="0" fillId="0" borderId="15" xfId="0" applyBorder="1"/>
    <xf numFmtId="43" fontId="0" fillId="21" borderId="19" xfId="1" applyFont="1" applyFill="1" applyBorder="1"/>
    <xf numFmtId="43" fontId="0" fillId="21" borderId="14" xfId="1" applyFont="1" applyFill="1" applyBorder="1"/>
    <xf numFmtId="0" fontId="0" fillId="21" borderId="14" xfId="0" applyFill="1" applyBorder="1"/>
    <xf numFmtId="0" fontId="0" fillId="21" borderId="17" xfId="0" applyFill="1" applyBorder="1"/>
    <xf numFmtId="0" fontId="0" fillId="0" borderId="6" xfId="0" applyBorder="1"/>
    <xf numFmtId="0" fontId="0" fillId="0" borderId="19" xfId="0" applyBorder="1"/>
    <xf numFmtId="164" fontId="0" fillId="0" borderId="0" xfId="0" applyNumberFormat="1"/>
    <xf numFmtId="0" fontId="2" fillId="0" borderId="12" xfId="0" applyFont="1" applyBorder="1" applyAlignment="1">
      <alignment horizontal="center"/>
    </xf>
    <xf numFmtId="164" fontId="3" fillId="0" borderId="1" xfId="1" applyNumberFormat="1" applyFont="1" applyBorder="1"/>
    <xf numFmtId="164" fontId="0" fillId="17" borderId="20" xfId="1" applyNumberFormat="1" applyFont="1" applyFill="1" applyBorder="1"/>
    <xf numFmtId="164" fontId="0" fillId="18" borderId="20" xfId="1" applyNumberFormat="1" applyFont="1" applyFill="1" applyBorder="1"/>
    <xf numFmtId="164" fontId="2" fillId="8" borderId="11" xfId="1" applyNumberFormat="1" applyFont="1" applyFill="1" applyBorder="1"/>
    <xf numFmtId="0" fontId="2" fillId="3" borderId="21" xfId="0" applyFont="1" applyFill="1" applyBorder="1"/>
    <xf numFmtId="0" fontId="2" fillId="4" borderId="21" xfId="0" applyFont="1" applyFill="1" applyBorder="1"/>
    <xf numFmtId="0" fontId="2" fillId="5" borderId="21" xfId="0" applyFont="1" applyFill="1" applyBorder="1"/>
    <xf numFmtId="0" fontId="2" fillId="6" borderId="21" xfId="0" applyFont="1" applyFill="1" applyBorder="1"/>
    <xf numFmtId="0" fontId="2" fillId="7" borderId="21" xfId="0" applyFont="1" applyFill="1" applyBorder="1"/>
    <xf numFmtId="0" fontId="2" fillId="2" borderId="21" xfId="0" applyFont="1" applyFill="1" applyBorder="1"/>
    <xf numFmtId="166" fontId="2" fillId="15" borderId="12" xfId="1" applyNumberFormat="1" applyFont="1" applyFill="1" applyBorder="1"/>
    <xf numFmtId="166" fontId="0" fillId="0" borderId="0" xfId="1" applyNumberFormat="1" applyFont="1" applyBorder="1"/>
    <xf numFmtId="0" fontId="2" fillId="0" borderId="0" xfId="0" applyFont="1" applyAlignment="1">
      <alignment vertical="center"/>
    </xf>
    <xf numFmtId="0" fontId="0" fillId="0" borderId="1" xfId="0" applyBorder="1"/>
    <xf numFmtId="164" fontId="2" fillId="0" borderId="13" xfId="1" applyNumberFormat="1" applyFont="1" applyBorder="1"/>
    <xf numFmtId="165" fontId="2" fillId="0" borderId="13" xfId="1" applyNumberFormat="1" applyFont="1" applyBorder="1"/>
    <xf numFmtId="9" fontId="2" fillId="0" borderId="0" xfId="2" applyFont="1" applyBorder="1"/>
    <xf numFmtId="43" fontId="0" fillId="0" borderId="1" xfId="1" applyFont="1" applyBorder="1"/>
    <xf numFmtId="10" fontId="0" fillId="0" borderId="1" xfId="2" applyNumberFormat="1" applyFont="1" applyBorder="1"/>
    <xf numFmtId="43" fontId="2" fillId="16" borderId="6" xfId="1" applyFont="1" applyFill="1" applyBorder="1"/>
    <xf numFmtId="43" fontId="2" fillId="16" borderId="8" xfId="1" applyFont="1" applyFill="1" applyBorder="1"/>
    <xf numFmtId="43" fontId="2" fillId="16" borderId="7" xfId="1" applyFont="1" applyFill="1" applyBorder="1"/>
    <xf numFmtId="43" fontId="0" fillId="0" borderId="22" xfId="1" applyFont="1" applyBorder="1"/>
    <xf numFmtId="43" fontId="0" fillId="17" borderId="23" xfId="1" applyFont="1" applyFill="1" applyBorder="1"/>
    <xf numFmtId="166" fontId="0" fillId="17" borderId="16" xfId="1" applyNumberFormat="1" applyFont="1" applyFill="1" applyBorder="1"/>
    <xf numFmtId="43" fontId="0" fillId="0" borderId="24" xfId="1" applyFont="1" applyBorder="1"/>
    <xf numFmtId="10" fontId="2" fillId="22" borderId="25" xfId="2" applyNumberFormat="1" applyFont="1" applyFill="1" applyBorder="1"/>
    <xf numFmtId="43" fontId="0" fillId="17" borderId="16" xfId="1" applyFont="1" applyFill="1" applyBorder="1"/>
    <xf numFmtId="43" fontId="0" fillId="0" borderId="16" xfId="1" applyFont="1" applyFill="1" applyBorder="1"/>
    <xf numFmtId="43" fontId="2" fillId="0" borderId="19" xfId="1" applyFont="1" applyBorder="1"/>
    <xf numFmtId="166" fontId="0" fillId="0" borderId="14" xfId="0" applyNumberFormat="1" applyBorder="1"/>
    <xf numFmtId="166" fontId="0" fillId="14" borderId="17" xfId="1" applyNumberFormat="1" applyFont="1" applyFill="1" applyBorder="1"/>
    <xf numFmtId="0" fontId="7" fillId="0" borderId="15" xfId="0" applyFont="1" applyBorder="1"/>
    <xf numFmtId="10" fontId="0" fillId="0" borderId="2" xfId="2" applyNumberFormat="1" applyFont="1" applyBorder="1"/>
    <xf numFmtId="43" fontId="2" fillId="0" borderId="0" xfId="2" applyNumberFormat="1" applyFont="1" applyBorder="1"/>
    <xf numFmtId="43" fontId="1" fillId="0" borderId="1" xfId="1" applyFont="1" applyFill="1" applyBorder="1"/>
    <xf numFmtId="43" fontId="1" fillId="0" borderId="19" xfId="1" applyFont="1" applyBorder="1"/>
    <xf numFmtId="43" fontId="1" fillId="0" borderId="14" xfId="1" applyFont="1" applyBorder="1"/>
    <xf numFmtId="43" fontId="1" fillId="0" borderId="14" xfId="2" applyNumberFormat="1" applyFont="1" applyBorder="1"/>
    <xf numFmtId="43" fontId="1" fillId="0" borderId="24" xfId="1" applyFont="1" applyBorder="1"/>
    <xf numFmtId="43" fontId="1" fillId="0" borderId="1" xfId="1" applyFont="1" applyBorder="1"/>
    <xf numFmtId="43" fontId="2" fillId="0" borderId="0" xfId="2" applyNumberFormat="1" applyFont="1" applyFill="1" applyBorder="1"/>
    <xf numFmtId="43" fontId="1" fillId="0" borderId="0" xfId="2" applyNumberFormat="1" applyFont="1" applyFill="1" applyBorder="1"/>
    <xf numFmtId="168" fontId="2" fillId="0" borderId="0" xfId="1" applyNumberFormat="1" applyFont="1" applyFill="1" applyBorder="1"/>
    <xf numFmtId="43" fontId="1" fillId="0" borderId="25" xfId="1" applyFont="1" applyFill="1" applyBorder="1"/>
    <xf numFmtId="43" fontId="1" fillId="0" borderId="15" xfId="1" applyFont="1" applyBorder="1"/>
    <xf numFmtId="43" fontId="1" fillId="0" borderId="0" xfId="1" applyFont="1" applyFill="1" applyBorder="1"/>
    <xf numFmtId="43" fontId="1" fillId="0" borderId="16" xfId="1" applyFont="1" applyFill="1" applyBorder="1"/>
    <xf numFmtId="43" fontId="2" fillId="22" borderId="6" xfId="1" applyFont="1" applyFill="1" applyBorder="1"/>
    <xf numFmtId="43" fontId="2" fillId="22" borderId="8" xfId="1" applyFont="1" applyFill="1" applyBorder="1"/>
    <xf numFmtId="43" fontId="2" fillId="22" borderId="7" xfId="1" applyFont="1" applyFill="1" applyBorder="1"/>
    <xf numFmtId="43" fontId="1" fillId="0" borderId="17" xfId="2" applyNumberFormat="1" applyFont="1" applyBorder="1"/>
    <xf numFmtId="43" fontId="2" fillId="22" borderId="24" xfId="1" applyFont="1" applyFill="1" applyBorder="1"/>
    <xf numFmtId="43" fontId="2" fillId="22" borderId="1" xfId="1" applyFont="1" applyFill="1" applyBorder="1"/>
    <xf numFmtId="43" fontId="2" fillId="22" borderId="25" xfId="1" applyFont="1" applyFill="1" applyBorder="1"/>
    <xf numFmtId="0" fontId="6" fillId="0" borderId="0" xfId="0" applyFont="1"/>
    <xf numFmtId="0" fontId="2" fillId="0" borderId="0" xfId="0" applyFont="1" applyAlignment="1">
      <alignment horizontal="center"/>
    </xf>
    <xf numFmtId="49" fontId="8" fillId="24" borderId="26" xfId="0" applyNumberFormat="1" applyFont="1" applyFill="1" applyBorder="1" applyAlignment="1">
      <alignment horizontal="center" wrapText="1"/>
    </xf>
    <xf numFmtId="49" fontId="8" fillId="25" borderId="26" xfId="0" applyNumberFormat="1" applyFont="1" applyFill="1" applyBorder="1" applyAlignment="1">
      <alignment horizontal="center" wrapText="1"/>
    </xf>
    <xf numFmtId="0" fontId="0" fillId="0" borderId="0" xfId="0" quotePrefix="1"/>
    <xf numFmtId="49" fontId="10" fillId="26" borderId="27" xfId="0" applyNumberFormat="1" applyFont="1" applyFill="1" applyBorder="1" applyAlignment="1">
      <alignment horizontal="left"/>
    </xf>
    <xf numFmtId="0" fontId="10" fillId="26" borderId="27" xfId="0" applyFont="1" applyFill="1" applyBorder="1" applyAlignment="1">
      <alignment horizontal="center"/>
    </xf>
    <xf numFmtId="169" fontId="10" fillId="26" borderId="27" xfId="0" applyNumberFormat="1" applyFont="1" applyFill="1" applyBorder="1" applyAlignment="1">
      <alignment horizontal="center"/>
    </xf>
    <xf numFmtId="43" fontId="10" fillId="26" borderId="27" xfId="1" applyFont="1" applyFill="1" applyBorder="1" applyAlignment="1">
      <alignment horizontal="center"/>
    </xf>
    <xf numFmtId="168" fontId="10" fillId="26" borderId="27" xfId="1" applyNumberFormat="1" applyFont="1" applyFill="1" applyBorder="1" applyAlignment="1">
      <alignment horizontal="center"/>
    </xf>
    <xf numFmtId="10" fontId="0" fillId="0" borderId="0" xfId="2" applyNumberFormat="1" applyFont="1"/>
    <xf numFmtId="9" fontId="0" fillId="0" borderId="0" xfId="0" quotePrefix="1" applyNumberFormat="1"/>
    <xf numFmtId="0" fontId="11" fillId="0" borderId="28" xfId="0" applyFont="1" applyBorder="1" applyAlignment="1">
      <alignment vertical="center" wrapText="1" readingOrder="1"/>
    </xf>
    <xf numFmtId="43" fontId="0" fillId="0" borderId="13" xfId="1" applyFont="1" applyFill="1" applyBorder="1"/>
    <xf numFmtId="166" fontId="0" fillId="0" borderId="0" xfId="1" applyNumberFormat="1" applyFont="1" applyFill="1" applyBorder="1"/>
    <xf numFmtId="0" fontId="2" fillId="0" borderId="2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22" borderId="3" xfId="0" applyFont="1" applyFill="1" applyBorder="1" applyAlignment="1">
      <alignment horizontal="center"/>
    </xf>
    <xf numFmtId="0" fontId="5" fillId="22" borderId="4" xfId="0" applyFont="1" applyFill="1" applyBorder="1" applyAlignment="1">
      <alignment horizontal="center"/>
    </xf>
    <xf numFmtId="0" fontId="5" fillId="22" borderId="5" xfId="0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43" fontId="4" fillId="0" borderId="16" xfId="1" applyFont="1" applyFill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5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49" fontId="8" fillId="23" borderId="26" xfId="0" applyNumberFormat="1" applyFont="1" applyFill="1" applyBorder="1" applyAlignment="1">
      <alignment horizontal="center" vertical="center" wrapText="1"/>
    </xf>
    <xf numFmtId="49" fontId="9" fillId="24" borderId="26" xfId="0" applyNumberFormat="1" applyFont="1" applyFill="1" applyBorder="1" applyAlignment="1">
      <alignment horizontal="center" wrapText="1"/>
    </xf>
    <xf numFmtId="49" fontId="9" fillId="25" borderId="26" xfId="0" applyNumberFormat="1" applyFont="1" applyFill="1" applyBorder="1" applyAlignment="1">
      <alignment horizontal="center" wrapText="1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0"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Nicolas Lescano</a:t>
            </a:r>
            <a:r>
              <a:rPr lang="en-US" baseline="0"/>
              <a:t> </a:t>
            </a:r>
            <a:r>
              <a:rPr lang="en-US"/>
              <a:t>wRVU Performance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'Lescano Summary'!$E$1</c:f>
              <c:strCache>
                <c:ptCount val="1"/>
                <c:pt idx="0">
                  <c:v>Actual Performance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'Lescano Summary'!$A$2:$A$14</c:f>
              <c:strCache>
                <c:ptCount val="1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  <c:pt idx="12">
                  <c:v>YTD</c:v>
                </c:pt>
              </c:strCache>
            </c:strRef>
          </c:cat>
          <c:val>
            <c:numRef>
              <c:f>'Lescano Summary'!$E$2:$E$14</c:f>
              <c:numCache>
                <c:formatCode>_(* #,##0.00_);_(* \(#,##0.00\);_(* "-"??_);_(@_)</c:formatCode>
                <c:ptCount val="13"/>
                <c:pt idx="0">
                  <c:v>432.5</c:v>
                </c:pt>
                <c:pt idx="1">
                  <c:v>386.86</c:v>
                </c:pt>
                <c:pt idx="2">
                  <c:v>372.57000000000005</c:v>
                </c:pt>
                <c:pt idx="3">
                  <c:v>465.27</c:v>
                </c:pt>
                <c:pt idx="4">
                  <c:v>365.51</c:v>
                </c:pt>
                <c:pt idx="5">
                  <c:v>373.76</c:v>
                </c:pt>
                <c:pt idx="6">
                  <c:v>228.82999999999998</c:v>
                </c:pt>
                <c:pt idx="7">
                  <c:v>480.31000000000006</c:v>
                </c:pt>
                <c:pt idx="8">
                  <c:v>439.02</c:v>
                </c:pt>
                <c:pt idx="9">
                  <c:v>429.74</c:v>
                </c:pt>
                <c:pt idx="10">
                  <c:v>491.40999999999997</c:v>
                </c:pt>
                <c:pt idx="11">
                  <c:v>226.24999999999997</c:v>
                </c:pt>
                <c:pt idx="12">
                  <c:v>391.0025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9-4A24-BF4A-C1BA3385D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470824"/>
        <c:axId val="414472136"/>
      </c:barChart>
      <c:lineChart>
        <c:grouping val="standard"/>
        <c:varyColors val="0"/>
        <c:ser>
          <c:idx val="0"/>
          <c:order val="0"/>
          <c:tx>
            <c:strRef>
              <c:f>'Lescano Summary'!$B$1</c:f>
              <c:strCache>
                <c:ptCount val="1"/>
                <c:pt idx="0">
                  <c:v>Goal 1 - 65th %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'Lescano Summary'!$A$2:$A$14</c:f>
              <c:strCache>
                <c:ptCount val="1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  <c:pt idx="12">
                  <c:v>YTD</c:v>
                </c:pt>
              </c:strCache>
            </c:strRef>
          </c:cat>
          <c:val>
            <c:numRef>
              <c:f>'Lescano Summary'!$B$2:$B$14</c:f>
              <c:numCache>
                <c:formatCode>_(* #,##0.00_);_(* \(#,##0.00\);_(* "-"??_);_(@_)</c:formatCode>
                <c:ptCount val="13"/>
                <c:pt idx="0">
                  <c:v>355.40100000000001</c:v>
                </c:pt>
                <c:pt idx="1">
                  <c:v>355.40100000000001</c:v>
                </c:pt>
                <c:pt idx="2">
                  <c:v>355.40100000000001</c:v>
                </c:pt>
                <c:pt idx="3">
                  <c:v>355.40100000000001</c:v>
                </c:pt>
                <c:pt idx="4">
                  <c:v>355.40100000000001</c:v>
                </c:pt>
                <c:pt idx="5">
                  <c:v>355.40100000000001</c:v>
                </c:pt>
                <c:pt idx="6">
                  <c:v>365.77800000000002</c:v>
                </c:pt>
                <c:pt idx="7">
                  <c:v>365.77800000000002</c:v>
                </c:pt>
                <c:pt idx="8">
                  <c:v>365.77800000000002</c:v>
                </c:pt>
                <c:pt idx="9">
                  <c:v>365.77800000000002</c:v>
                </c:pt>
                <c:pt idx="10">
                  <c:v>365.77800000000002</c:v>
                </c:pt>
                <c:pt idx="11">
                  <c:v>365.77800000000002</c:v>
                </c:pt>
                <c:pt idx="12">
                  <c:v>360.5895000000001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9-4A24-BF4A-C1BA3385D7E9}"/>
            </c:ext>
          </c:extLst>
        </c:ser>
        <c:ser>
          <c:idx val="1"/>
          <c:order val="1"/>
          <c:tx>
            <c:strRef>
              <c:f>'Lescano Summary'!$C$1</c:f>
              <c:strCache>
                <c:ptCount val="1"/>
                <c:pt idx="0">
                  <c:v>Goal 2 - 70th %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'Lescano Summary'!$A$2:$A$14</c:f>
              <c:strCache>
                <c:ptCount val="1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  <c:pt idx="12">
                  <c:v>YTD</c:v>
                </c:pt>
              </c:strCache>
            </c:strRef>
          </c:cat>
          <c:val>
            <c:numRef>
              <c:f>'Lescano Summary'!$C$2:$C$14</c:f>
              <c:numCache>
                <c:formatCode>_(* #,##0.00_);_(* \(#,##0.00\);_(* "-"??_);_(@_)</c:formatCode>
                <c:ptCount val="13"/>
                <c:pt idx="0">
                  <c:v>376.96500000000003</c:v>
                </c:pt>
                <c:pt idx="1">
                  <c:v>376.96500000000003</c:v>
                </c:pt>
                <c:pt idx="2">
                  <c:v>376.96500000000003</c:v>
                </c:pt>
                <c:pt idx="3">
                  <c:v>376.96500000000003</c:v>
                </c:pt>
                <c:pt idx="4">
                  <c:v>376.96500000000003</c:v>
                </c:pt>
                <c:pt idx="5">
                  <c:v>376.96500000000003</c:v>
                </c:pt>
                <c:pt idx="6">
                  <c:v>389.31299999999999</c:v>
                </c:pt>
                <c:pt idx="7">
                  <c:v>389.31299999999999</c:v>
                </c:pt>
                <c:pt idx="8">
                  <c:v>389.31299999999999</c:v>
                </c:pt>
                <c:pt idx="9">
                  <c:v>389.31299999999999</c:v>
                </c:pt>
                <c:pt idx="10">
                  <c:v>389.31299999999999</c:v>
                </c:pt>
                <c:pt idx="11">
                  <c:v>389.31299999999999</c:v>
                </c:pt>
                <c:pt idx="12">
                  <c:v>383.13900000000007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9-4A24-BF4A-C1BA3385D7E9}"/>
            </c:ext>
          </c:extLst>
        </c:ser>
        <c:ser>
          <c:idx val="2"/>
          <c:order val="2"/>
          <c:tx>
            <c:strRef>
              <c:f>'Lescano Summary'!$D$1</c:f>
              <c:strCache>
                <c:ptCount val="1"/>
                <c:pt idx="0">
                  <c:v>Goal 3 - 80th %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strRef>
              <c:f>'Lescano Summary'!$A$2:$A$14</c:f>
              <c:strCache>
                <c:ptCount val="1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  <c:pt idx="12">
                  <c:v>YTD</c:v>
                </c:pt>
              </c:strCache>
            </c:strRef>
          </c:cat>
          <c:val>
            <c:numRef>
              <c:f>'Lescano Summary'!$D$2:$D$14</c:f>
              <c:numCache>
                <c:formatCode>_(* #,##0.00_);_(* \(#,##0.00\);_(* "-"??_);_(@_)</c:formatCode>
                <c:ptCount val="13"/>
                <c:pt idx="0">
                  <c:v>458.93700000000001</c:v>
                </c:pt>
                <c:pt idx="1">
                  <c:v>458.93700000000001</c:v>
                </c:pt>
                <c:pt idx="2">
                  <c:v>458.93700000000001</c:v>
                </c:pt>
                <c:pt idx="3">
                  <c:v>458.93700000000001</c:v>
                </c:pt>
                <c:pt idx="4">
                  <c:v>458.93700000000001</c:v>
                </c:pt>
                <c:pt idx="5">
                  <c:v>458.93700000000001</c:v>
                </c:pt>
                <c:pt idx="6">
                  <c:v>446.58</c:v>
                </c:pt>
                <c:pt idx="7">
                  <c:v>446.58</c:v>
                </c:pt>
                <c:pt idx="8">
                  <c:v>446.58</c:v>
                </c:pt>
                <c:pt idx="9">
                  <c:v>446.58</c:v>
                </c:pt>
                <c:pt idx="10">
                  <c:v>446.58</c:v>
                </c:pt>
                <c:pt idx="11">
                  <c:v>446.58</c:v>
                </c:pt>
                <c:pt idx="12">
                  <c:v>452.75849999999997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A9-4A24-BF4A-C1BA3385D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70824"/>
        <c:axId val="414472136"/>
      </c:lineChart>
      <c:catAx>
        <c:axId val="41447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72136"/>
        <c:crosses val="autoZero"/>
        <c:auto val="1"/>
        <c:lblAlgn val="ctr"/>
        <c:lblOffset val="100"/>
        <c:noMultiLvlLbl val="0"/>
      </c:catAx>
      <c:valAx>
        <c:axId val="414472136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70824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Nicolas lescano </a:t>
            </a:r>
            <a:r>
              <a:rPr lang="en-US"/>
              <a:t>Closed encounter Summary</a:t>
            </a:r>
          </a:p>
        </c:rich>
      </c:tx>
      <c:layout>
        <c:manualLayout>
          <c:xMode val="edge"/>
          <c:yMode val="edge"/>
          <c:x val="0.21500361640238011"/>
          <c:y val="2.0460352562484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'Lescano Summary'!$C$22</c:f>
              <c:strCache>
                <c:ptCount val="1"/>
                <c:pt idx="0">
                  <c:v>Actual Performance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'Lescano Summary'!$A$23:$A$35</c:f>
              <c:strCache>
                <c:ptCount val="1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  <c:pt idx="12">
                  <c:v>YTD</c:v>
                </c:pt>
              </c:strCache>
            </c:strRef>
          </c:cat>
          <c:val>
            <c:numRef>
              <c:f>'Lescano Summary'!$C$23:$C$35</c:f>
              <c:numCache>
                <c:formatCode>0.00%</c:formatCode>
                <c:ptCount val="13"/>
                <c:pt idx="0">
                  <c:v>0.99347515679505483</c:v>
                </c:pt>
                <c:pt idx="1">
                  <c:v>0.96535887951456711</c:v>
                </c:pt>
                <c:pt idx="2">
                  <c:v>0.99533407988055245</c:v>
                </c:pt>
                <c:pt idx="3">
                  <c:v>0.97546632210184536</c:v>
                </c:pt>
                <c:pt idx="4">
                  <c:v>1</c:v>
                </c:pt>
                <c:pt idx="5">
                  <c:v>0.97525541479362488</c:v>
                </c:pt>
                <c:pt idx="6">
                  <c:v>0.97068594879812387</c:v>
                </c:pt>
                <c:pt idx="7">
                  <c:v>0.98374597753989623</c:v>
                </c:pt>
                <c:pt idx="8">
                  <c:v>0.98982100140229312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%">
                  <c:v>0.98771031166201051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9-4FBE-84F5-71F993F77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470824"/>
        <c:axId val="414472136"/>
      </c:barChart>
      <c:lineChart>
        <c:grouping val="standard"/>
        <c:varyColors val="0"/>
        <c:ser>
          <c:idx val="0"/>
          <c:order val="0"/>
          <c:tx>
            <c:strRef>
              <c:f>'Lescano Summary'!$B$22</c:f>
              <c:strCache>
                <c:ptCount val="1"/>
                <c:pt idx="0">
                  <c:v>Goal 75 %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'Lescano Summary'!$A$23:$A$35</c:f>
              <c:strCache>
                <c:ptCount val="1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  <c:pt idx="12">
                  <c:v>YTD</c:v>
                </c:pt>
              </c:strCache>
            </c:strRef>
          </c:cat>
          <c:val>
            <c:numRef>
              <c:f>'Lescano Summary'!$B$23:$B$35</c:f>
              <c:numCache>
                <c:formatCode>0%</c:formatCode>
                <c:ptCount val="13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9-4FBE-84F5-71F993F77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70824"/>
        <c:axId val="414472136"/>
      </c:lineChart>
      <c:catAx>
        <c:axId val="41447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72136"/>
        <c:crosses val="autoZero"/>
        <c:auto val="1"/>
        <c:lblAlgn val="ctr"/>
        <c:lblOffset val="100"/>
        <c:noMultiLvlLbl val="0"/>
      </c:catAx>
      <c:valAx>
        <c:axId val="414472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70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Nicolas Lescano MPM MESSAGING </a:t>
            </a:r>
          </a:p>
          <a:p>
            <a:pPr>
              <a:defRPr/>
            </a:pPr>
            <a:r>
              <a:rPr lang="en-US"/>
              <a:t>% Handled</a:t>
            </a:r>
            <a:r>
              <a:rPr lang="en-US" baseline="0"/>
              <a:t> &lt; 2 BD </a:t>
            </a:r>
            <a:r>
              <a:rPr lang="en-US"/>
              <a:t>Summary</a:t>
            </a:r>
          </a:p>
        </c:rich>
      </c:tx>
      <c:layout>
        <c:manualLayout>
          <c:xMode val="edge"/>
          <c:yMode val="edge"/>
          <c:x val="0.21500361640238011"/>
          <c:y val="2.0460352562484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'Lescano Summary'!$T$1</c:f>
              <c:strCache>
                <c:ptCount val="1"/>
                <c:pt idx="0">
                  <c:v>Actual Performance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'Lescano Summary'!$P$2:$P$14</c:f>
              <c:strCache>
                <c:ptCount val="1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  <c:pt idx="12">
                  <c:v>YTD</c:v>
                </c:pt>
              </c:strCache>
            </c:strRef>
          </c:cat>
          <c:val>
            <c:numRef>
              <c:f>'Lescano Summary'!$T$2:$T$14</c:f>
              <c:numCache>
                <c:formatCode>0.00%</c:formatCode>
                <c:ptCount val="13"/>
                <c:pt idx="0">
                  <c:v>0.88888888888888895</c:v>
                </c:pt>
                <c:pt idx="1">
                  <c:v>0.69747899159663895</c:v>
                </c:pt>
                <c:pt idx="2">
                  <c:v>0.78102189781021902</c:v>
                </c:pt>
                <c:pt idx="3">
                  <c:v>0.76300578034682098</c:v>
                </c:pt>
                <c:pt idx="4">
                  <c:v>0.65690000000000004</c:v>
                </c:pt>
                <c:pt idx="5">
                  <c:v>0.62275449101796398</c:v>
                </c:pt>
                <c:pt idx="6">
                  <c:v>0.78169014084507005</c:v>
                </c:pt>
                <c:pt idx="7">
                  <c:v>0.668604651162791</c:v>
                </c:pt>
                <c:pt idx="8">
                  <c:v>0.660377358490566</c:v>
                </c:pt>
                <c:pt idx="9">
                  <c:v>0.72955974842767302</c:v>
                </c:pt>
                <c:pt idx="10">
                  <c:v>0.63241106719367601</c:v>
                </c:pt>
                <c:pt idx="11">
                  <c:v>0.70338983050847503</c:v>
                </c:pt>
                <c:pt idx="12">
                  <c:v>0.70543120790300851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4-44D9-8A72-BB87EACB8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470824"/>
        <c:axId val="414472136"/>
      </c:barChart>
      <c:lineChart>
        <c:grouping val="standard"/>
        <c:varyColors val="0"/>
        <c:ser>
          <c:idx val="0"/>
          <c:order val="0"/>
          <c:tx>
            <c:strRef>
              <c:f>'Lescano Summary'!$Q$1</c:f>
              <c:strCache>
                <c:ptCount val="1"/>
                <c:pt idx="0">
                  <c:v>Threshold 75%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'Lescano Summary'!$P$2:$P$14</c:f>
              <c:strCache>
                <c:ptCount val="1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  <c:pt idx="12">
                  <c:v>YTD</c:v>
                </c:pt>
              </c:strCache>
            </c:strRef>
          </c:cat>
          <c:val>
            <c:numRef>
              <c:f>'Lescano Summary'!$Q$2:$Q$14</c:f>
              <c:numCache>
                <c:formatCode>0%</c:formatCode>
                <c:ptCount val="13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4-44D9-8A72-BB87EACB85C4}"/>
            </c:ext>
          </c:extLst>
        </c:ser>
        <c:ser>
          <c:idx val="1"/>
          <c:order val="1"/>
          <c:tx>
            <c:strRef>
              <c:f>'Lescano Summary'!$R$1</c:f>
              <c:strCache>
                <c:ptCount val="1"/>
                <c:pt idx="0">
                  <c:v>Target 76%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'Lescano Summary'!$P$2:$P$14</c:f>
              <c:strCache>
                <c:ptCount val="1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  <c:pt idx="12">
                  <c:v>YTD</c:v>
                </c:pt>
              </c:strCache>
            </c:strRef>
          </c:cat>
          <c:val>
            <c:numRef>
              <c:f>'Lescano Summary'!$R$2:$R$14</c:f>
              <c:numCache>
                <c:formatCode>0%</c:formatCode>
                <c:ptCount val="13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4-44D9-8A72-BB87EACB85C4}"/>
            </c:ext>
          </c:extLst>
        </c:ser>
        <c:ser>
          <c:idx val="2"/>
          <c:order val="2"/>
          <c:tx>
            <c:strRef>
              <c:f>'Lescano Summary'!$S$1</c:f>
              <c:strCache>
                <c:ptCount val="1"/>
                <c:pt idx="0">
                  <c:v>HP 90%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strRef>
              <c:f>'Lescano Summary'!$P$2:$P$14</c:f>
              <c:strCache>
                <c:ptCount val="1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  <c:pt idx="12">
                  <c:v>YTD</c:v>
                </c:pt>
              </c:strCache>
            </c:strRef>
          </c:cat>
          <c:val>
            <c:numRef>
              <c:f>'Lescano Summary'!$S$2:$S$14</c:f>
              <c:numCache>
                <c:formatCode>0%</c:formatCode>
                <c:ptCount val="13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4-44D9-8A72-BB87EACB8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70824"/>
        <c:axId val="414472136"/>
      </c:lineChart>
      <c:catAx>
        <c:axId val="41447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72136"/>
        <c:crosses val="autoZero"/>
        <c:auto val="1"/>
        <c:lblAlgn val="ctr"/>
        <c:lblOffset val="100"/>
        <c:noMultiLvlLbl val="0"/>
      </c:catAx>
      <c:valAx>
        <c:axId val="414472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70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476249</xdr:colOff>
      <xdr:row>19</xdr:row>
      <xdr:rowOff>90965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190499</xdr:rowOff>
    </xdr:from>
    <xdr:to>
      <xdr:col>11</xdr:col>
      <xdr:colOff>428626</xdr:colOff>
      <xdr:row>39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0</xdr:row>
      <xdr:rowOff>0</xdr:rowOff>
    </xdr:from>
    <xdr:to>
      <xdr:col>24</xdr:col>
      <xdr:colOff>392905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20AF0-423D-47CA-AB14-CCDB20F5B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5" Type="http://schemas.openxmlformats.org/officeDocument/2006/relationships/customProperty" Target="../customProperty4.bin"/><Relationship Id="rId10" Type="http://schemas.openxmlformats.org/officeDocument/2006/relationships/customProperty" Target="../customProperty9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zoomScale="80" zoomScaleNormal="80" workbookViewId="0">
      <selection activeCell="O27" sqref="O27"/>
    </sheetView>
  </sheetViews>
  <sheetFormatPr defaultRowHeight="15" x14ac:dyDescent="0.25"/>
  <cols>
    <col min="1" max="1" width="10.85546875" bestFit="1" customWidth="1"/>
    <col min="2" max="4" width="14" bestFit="1" customWidth="1"/>
    <col min="5" max="5" width="18.7109375" bestFit="1" customWidth="1"/>
    <col min="14" max="14" width="30.140625" bestFit="1" customWidth="1"/>
  </cols>
  <sheetData>
    <row r="1" spans="1:20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P1" t="s">
        <v>65</v>
      </c>
      <c r="Q1" t="s">
        <v>152</v>
      </c>
      <c r="R1" t="s">
        <v>153</v>
      </c>
      <c r="S1" t="s">
        <v>154</v>
      </c>
      <c r="T1" t="s">
        <v>69</v>
      </c>
    </row>
    <row r="2" spans="1:20" x14ac:dyDescent="0.25">
      <c r="A2" t="s">
        <v>0</v>
      </c>
      <c r="B2" s="89">
        <f>+B5</f>
        <v>355.40100000000001</v>
      </c>
      <c r="C2" s="89">
        <f>+C5</f>
        <v>376.96500000000003</v>
      </c>
      <c r="D2" s="89">
        <f>'RVU''s'!H31*'RVU''s'!H35</f>
        <v>458.93700000000001</v>
      </c>
      <c r="E2" s="89">
        <f>'RVU''s'!D22</f>
        <v>432.5</v>
      </c>
      <c r="P2" t="s">
        <v>0</v>
      </c>
      <c r="Q2" s="90">
        <v>0.75</v>
      </c>
      <c r="R2" s="90">
        <v>0.76</v>
      </c>
      <c r="S2" s="90">
        <v>0.9</v>
      </c>
      <c r="T2" s="91">
        <f>'MPM Messaging'!$D3</f>
        <v>0.88888888888888895</v>
      </c>
    </row>
    <row r="3" spans="1:20" x14ac:dyDescent="0.25">
      <c r="A3" t="s">
        <v>1</v>
      </c>
      <c r="B3" s="89">
        <f>+B5</f>
        <v>355.40100000000001</v>
      </c>
      <c r="C3" s="89">
        <f>+C5</f>
        <v>376.96500000000003</v>
      </c>
      <c r="D3" s="89">
        <f>+D2</f>
        <v>458.93700000000001</v>
      </c>
      <c r="E3" s="89">
        <f>'RVU''s'!E22</f>
        <v>386.86</v>
      </c>
      <c r="P3" t="s">
        <v>1</v>
      </c>
      <c r="Q3" s="90">
        <v>0.75</v>
      </c>
      <c r="R3" s="90">
        <v>0.76</v>
      </c>
      <c r="S3" s="90">
        <v>0.9</v>
      </c>
      <c r="T3" s="91">
        <f>'MPM Messaging'!$D4</f>
        <v>0.69747899159663895</v>
      </c>
    </row>
    <row r="4" spans="1:20" x14ac:dyDescent="0.25">
      <c r="A4" t="s">
        <v>2</v>
      </c>
      <c r="B4" s="89">
        <f>+B5</f>
        <v>355.40100000000001</v>
      </c>
      <c r="C4" s="89">
        <f>+C5</f>
        <v>376.96500000000003</v>
      </c>
      <c r="D4" s="89">
        <f t="shared" ref="D4:D7" si="0">+D3</f>
        <v>458.93700000000001</v>
      </c>
      <c r="E4" s="89">
        <f>'RVU''s'!F22</f>
        <v>372.57000000000005</v>
      </c>
      <c r="P4" t="s">
        <v>2</v>
      </c>
      <c r="Q4" s="90">
        <v>0.75</v>
      </c>
      <c r="R4" s="90">
        <v>0.76</v>
      </c>
      <c r="S4" s="90">
        <v>0.9</v>
      </c>
      <c r="T4" s="91">
        <f>'MPM Messaging'!$D5</f>
        <v>0.78102189781021902</v>
      </c>
    </row>
    <row r="5" spans="1:20" x14ac:dyDescent="0.25">
      <c r="A5" t="s">
        <v>3</v>
      </c>
      <c r="B5" s="89">
        <f>'RVU''s'!G23*'RVU''s'!G35</f>
        <v>355.40100000000001</v>
      </c>
      <c r="C5" s="89">
        <f>+'RVU''s'!G27*'RVU''s'!G35</f>
        <v>376.96500000000003</v>
      </c>
      <c r="D5" s="89">
        <f t="shared" si="0"/>
        <v>458.93700000000001</v>
      </c>
      <c r="E5" s="89">
        <f>'RVU''s'!G22</f>
        <v>465.27</v>
      </c>
      <c r="P5" t="s">
        <v>3</v>
      </c>
      <c r="Q5" s="90">
        <v>0.75</v>
      </c>
      <c r="R5" s="90">
        <v>0.76</v>
      </c>
      <c r="S5" s="90">
        <v>0.9</v>
      </c>
      <c r="T5" s="91">
        <f>'MPM Messaging'!$D6</f>
        <v>0.76300578034682098</v>
      </c>
    </row>
    <row r="6" spans="1:20" x14ac:dyDescent="0.25">
      <c r="A6" t="s">
        <v>4</v>
      </c>
      <c r="B6" s="89">
        <f>+B5</f>
        <v>355.40100000000001</v>
      </c>
      <c r="C6" s="89">
        <f>+'RVU''s'!H27*'RVU''s'!H35</f>
        <v>376.96500000000003</v>
      </c>
      <c r="D6" s="89">
        <f t="shared" si="0"/>
        <v>458.93700000000001</v>
      </c>
      <c r="E6" s="89">
        <f>'RVU''s'!H22</f>
        <v>365.51</v>
      </c>
      <c r="P6" t="s">
        <v>4</v>
      </c>
      <c r="Q6" s="90">
        <v>0.75</v>
      </c>
      <c r="R6" s="90">
        <v>0.76</v>
      </c>
      <c r="S6" s="90">
        <v>0.9</v>
      </c>
      <c r="T6" s="91">
        <f>'MPM Messaging'!$D7</f>
        <v>0.65690000000000004</v>
      </c>
    </row>
    <row r="7" spans="1:20" x14ac:dyDescent="0.25">
      <c r="A7" t="s">
        <v>5</v>
      </c>
      <c r="B7" s="89">
        <f>+B5</f>
        <v>355.40100000000001</v>
      </c>
      <c r="C7" s="89">
        <f>+C6</f>
        <v>376.96500000000003</v>
      </c>
      <c r="D7" s="89">
        <f t="shared" si="0"/>
        <v>458.93700000000001</v>
      </c>
      <c r="E7" s="89">
        <f>'RVU''s'!I22</f>
        <v>373.76</v>
      </c>
      <c r="P7" t="s">
        <v>5</v>
      </c>
      <c r="Q7" s="90">
        <v>0.75</v>
      </c>
      <c r="R7" s="90">
        <v>0.76</v>
      </c>
      <c r="S7" s="90">
        <v>0.9</v>
      </c>
      <c r="T7" s="91">
        <f>'MPM Messaging'!$D8</f>
        <v>0.62275449101796398</v>
      </c>
    </row>
    <row r="8" spans="1:20" x14ac:dyDescent="0.25">
      <c r="A8" t="s">
        <v>6</v>
      </c>
      <c r="B8" s="89">
        <f>'RVU''s'!J23*'RVU''s'!J35</f>
        <v>365.77800000000002</v>
      </c>
      <c r="C8" s="89">
        <f>+'RVU''s'!J27*'RVU''s'!J35</f>
        <v>389.31299999999999</v>
      </c>
      <c r="D8" s="89">
        <f>+'RVU''s'!J31*'RVU''s'!J35</f>
        <v>446.58</v>
      </c>
      <c r="E8" s="89">
        <f>'RVU''s'!J22</f>
        <v>228.82999999999998</v>
      </c>
      <c r="P8" t="s">
        <v>6</v>
      </c>
      <c r="Q8" s="90">
        <v>0.75</v>
      </c>
      <c r="R8" s="90">
        <v>0.76</v>
      </c>
      <c r="S8" s="90">
        <v>0.9</v>
      </c>
      <c r="T8" s="91">
        <f>'MPM Messaging'!$D9</f>
        <v>0.78169014084507005</v>
      </c>
    </row>
    <row r="9" spans="1:20" x14ac:dyDescent="0.25">
      <c r="A9" t="s">
        <v>7</v>
      </c>
      <c r="B9" s="89">
        <f>+B8</f>
        <v>365.77800000000002</v>
      </c>
      <c r="C9" s="89">
        <f>+C8</f>
        <v>389.31299999999999</v>
      </c>
      <c r="D9" s="89">
        <f t="shared" ref="D9:D13" si="1">+D8</f>
        <v>446.58</v>
      </c>
      <c r="E9" s="89">
        <f>'RVU''s'!K22</f>
        <v>480.31000000000006</v>
      </c>
      <c r="P9" t="s">
        <v>7</v>
      </c>
      <c r="Q9" s="90">
        <v>0.75</v>
      </c>
      <c r="R9" s="90">
        <v>0.76</v>
      </c>
      <c r="S9" s="90">
        <v>0.9</v>
      </c>
      <c r="T9" s="91">
        <f>'MPM Messaging'!$D10</f>
        <v>0.668604651162791</v>
      </c>
    </row>
    <row r="10" spans="1:20" x14ac:dyDescent="0.25">
      <c r="A10" t="s">
        <v>8</v>
      </c>
      <c r="B10" s="89">
        <f>+B9</f>
        <v>365.77800000000002</v>
      </c>
      <c r="C10" s="89">
        <f>+C8</f>
        <v>389.31299999999999</v>
      </c>
      <c r="D10" s="89">
        <f t="shared" si="1"/>
        <v>446.58</v>
      </c>
      <c r="E10" s="89">
        <f>'RVU''s'!L22</f>
        <v>439.02</v>
      </c>
      <c r="P10" t="s">
        <v>8</v>
      </c>
      <c r="Q10" s="90">
        <v>0.75</v>
      </c>
      <c r="R10" s="90">
        <v>0.76</v>
      </c>
      <c r="S10" s="90">
        <v>0.9</v>
      </c>
      <c r="T10" s="91">
        <f>'MPM Messaging'!$D11</f>
        <v>0.660377358490566</v>
      </c>
    </row>
    <row r="11" spans="1:20" x14ac:dyDescent="0.25">
      <c r="A11" t="s">
        <v>9</v>
      </c>
      <c r="B11" s="89">
        <f>+B10</f>
        <v>365.77800000000002</v>
      </c>
      <c r="C11" s="89">
        <f t="shared" ref="C11:C13" si="2">+C9</f>
        <v>389.31299999999999</v>
      </c>
      <c r="D11" s="89">
        <f t="shared" si="1"/>
        <v>446.58</v>
      </c>
      <c r="E11" s="89">
        <f>'RVU''s'!M22</f>
        <v>429.74</v>
      </c>
      <c r="P11" t="s">
        <v>9</v>
      </c>
      <c r="Q11" s="90">
        <v>0.75</v>
      </c>
      <c r="R11" s="90">
        <v>0.76</v>
      </c>
      <c r="S11" s="90">
        <v>0.9</v>
      </c>
      <c r="T11" s="91">
        <f>'MPM Messaging'!$D12</f>
        <v>0.72955974842767302</v>
      </c>
    </row>
    <row r="12" spans="1:20" x14ac:dyDescent="0.25">
      <c r="A12" t="s">
        <v>10</v>
      </c>
      <c r="B12" s="89">
        <f>+B11</f>
        <v>365.77800000000002</v>
      </c>
      <c r="C12" s="89">
        <f t="shared" si="2"/>
        <v>389.31299999999999</v>
      </c>
      <c r="D12" s="89">
        <f t="shared" si="1"/>
        <v>446.58</v>
      </c>
      <c r="E12" s="89">
        <f>'RVU''s'!N22</f>
        <v>491.40999999999997</v>
      </c>
      <c r="P12" t="s">
        <v>10</v>
      </c>
      <c r="Q12" s="90">
        <v>0.75</v>
      </c>
      <c r="R12" s="90">
        <v>0.76</v>
      </c>
      <c r="S12" s="90">
        <v>0.9</v>
      </c>
      <c r="T12" s="91">
        <f>'MPM Messaging'!$D13</f>
        <v>0.63241106719367601</v>
      </c>
    </row>
    <row r="13" spans="1:20" x14ac:dyDescent="0.25">
      <c r="A13" t="s">
        <v>11</v>
      </c>
      <c r="B13" s="89">
        <f>+B12</f>
        <v>365.77800000000002</v>
      </c>
      <c r="C13" s="89">
        <f t="shared" si="2"/>
        <v>389.31299999999999</v>
      </c>
      <c r="D13" s="89">
        <f t="shared" si="1"/>
        <v>446.58</v>
      </c>
      <c r="E13" s="89">
        <f>'RVU''s'!O22</f>
        <v>226.24999999999997</v>
      </c>
      <c r="P13" t="s">
        <v>11</v>
      </c>
      <c r="Q13" s="90">
        <v>0.75</v>
      </c>
      <c r="R13" s="90">
        <v>0.76</v>
      </c>
      <c r="S13" s="90">
        <v>0.9</v>
      </c>
      <c r="T13" s="91">
        <f>'MPM Messaging'!$D14</f>
        <v>0.70338983050847503</v>
      </c>
    </row>
    <row r="14" spans="1:20" x14ac:dyDescent="0.25">
      <c r="A14" t="s">
        <v>70</v>
      </c>
      <c r="B14" s="89">
        <f>AVERAGE(B2:B13)</f>
        <v>360.5895000000001</v>
      </c>
      <c r="C14" s="89">
        <f t="shared" ref="C14:E14" si="3">AVERAGE(C2:C13)</f>
        <v>383.13900000000007</v>
      </c>
      <c r="D14" s="89">
        <f t="shared" si="3"/>
        <v>452.75849999999997</v>
      </c>
      <c r="E14" s="89">
        <f t="shared" si="3"/>
        <v>391.0025</v>
      </c>
      <c r="P14" t="s">
        <v>70</v>
      </c>
      <c r="Q14" s="90">
        <f>AVERAGE(Q2:Q13)</f>
        <v>0.75</v>
      </c>
      <c r="R14" s="90">
        <v>0.76</v>
      </c>
      <c r="S14" s="90">
        <v>0.9</v>
      </c>
      <c r="T14" s="91">
        <f>'MPM Messaging'!$D15</f>
        <v>0.70543120790300851</v>
      </c>
    </row>
    <row r="22" spans="1:5" x14ac:dyDescent="0.25">
      <c r="A22" t="s">
        <v>65</v>
      </c>
      <c r="B22" t="s">
        <v>71</v>
      </c>
      <c r="C22" t="s">
        <v>69</v>
      </c>
    </row>
    <row r="23" spans="1:5" x14ac:dyDescent="0.25">
      <c r="A23" t="s">
        <v>0</v>
      </c>
      <c r="B23" s="90">
        <v>0.75</v>
      </c>
      <c r="C23" s="91">
        <f>'Aging of Encounters'!H4</f>
        <v>0.99347515679505483</v>
      </c>
      <c r="D23" s="89"/>
      <c r="E23" s="89"/>
    </row>
    <row r="24" spans="1:5" x14ac:dyDescent="0.25">
      <c r="A24" t="s">
        <v>1</v>
      </c>
      <c r="B24" s="90">
        <v>0.75</v>
      </c>
      <c r="C24" s="91">
        <f>'Aging of Encounters'!H5</f>
        <v>0.96535887951456711</v>
      </c>
      <c r="D24" s="89"/>
      <c r="E24" s="89"/>
    </row>
    <row r="25" spans="1:5" x14ac:dyDescent="0.25">
      <c r="A25" t="s">
        <v>2</v>
      </c>
      <c r="B25" s="90">
        <v>0.75</v>
      </c>
      <c r="C25" s="91">
        <f>'Aging of Encounters'!H6</f>
        <v>0.99533407988055245</v>
      </c>
      <c r="D25" s="89"/>
    </row>
    <row r="26" spans="1:5" x14ac:dyDescent="0.25">
      <c r="A26" t="s">
        <v>3</v>
      </c>
      <c r="B26" s="90">
        <v>0.75</v>
      </c>
      <c r="C26" s="91">
        <f>'Aging of Encounters'!H7</f>
        <v>0.97546632210184536</v>
      </c>
      <c r="D26" s="89"/>
    </row>
    <row r="27" spans="1:5" x14ac:dyDescent="0.25">
      <c r="A27" t="s">
        <v>4</v>
      </c>
      <c r="B27" s="90">
        <v>0.75</v>
      </c>
      <c r="C27" s="91">
        <f>'Aging of Encounters'!H8</f>
        <v>1</v>
      </c>
      <c r="D27" s="89"/>
    </row>
    <row r="28" spans="1:5" x14ac:dyDescent="0.25">
      <c r="A28" t="s">
        <v>5</v>
      </c>
      <c r="B28" s="90">
        <v>0.75</v>
      </c>
      <c r="C28" s="91">
        <f>'Aging of Encounters'!H9</f>
        <v>0.97525541479362488</v>
      </c>
      <c r="D28" s="89"/>
    </row>
    <row r="29" spans="1:5" x14ac:dyDescent="0.25">
      <c r="A29" t="s">
        <v>6</v>
      </c>
      <c r="B29" s="90">
        <v>0.75</v>
      </c>
      <c r="C29" s="91">
        <f>'Aging of Encounters'!H10</f>
        <v>0.97068594879812387</v>
      </c>
      <c r="D29" s="89"/>
    </row>
    <row r="30" spans="1:5" x14ac:dyDescent="0.25">
      <c r="A30" t="s">
        <v>7</v>
      </c>
      <c r="B30" s="90">
        <v>0.75</v>
      </c>
      <c r="C30" s="91">
        <f>'Aging of Encounters'!H11</f>
        <v>0.98374597753989623</v>
      </c>
      <c r="D30" s="89"/>
    </row>
    <row r="31" spans="1:5" x14ac:dyDescent="0.25">
      <c r="A31" t="s">
        <v>8</v>
      </c>
      <c r="B31" s="90">
        <v>0.75</v>
      </c>
      <c r="C31" s="91">
        <f>'Aging of Encounters'!H12</f>
        <v>0.98982100140229312</v>
      </c>
      <c r="D31" s="89"/>
    </row>
    <row r="32" spans="1:5" x14ac:dyDescent="0.25">
      <c r="A32" t="s">
        <v>9</v>
      </c>
      <c r="B32" s="90">
        <v>0.75</v>
      </c>
      <c r="C32" s="91">
        <f>'Aging of Encounters'!H13</f>
        <v>1</v>
      </c>
      <c r="D32" s="89"/>
    </row>
    <row r="33" spans="1:4" x14ac:dyDescent="0.25">
      <c r="A33" t="s">
        <v>10</v>
      </c>
      <c r="B33" s="90">
        <v>0.75</v>
      </c>
      <c r="C33" s="91">
        <f>'Aging of Encounters'!H14</f>
        <v>1</v>
      </c>
      <c r="D33" s="89"/>
    </row>
    <row r="34" spans="1:4" x14ac:dyDescent="0.25">
      <c r="A34" t="s">
        <v>11</v>
      </c>
      <c r="B34" s="90">
        <v>0.75</v>
      </c>
      <c r="C34" s="91">
        <f>'Aging of Encounters'!H15</f>
        <v>1</v>
      </c>
      <c r="D34" s="89"/>
    </row>
    <row r="35" spans="1:4" x14ac:dyDescent="0.25">
      <c r="A35" t="s">
        <v>70</v>
      </c>
      <c r="B35" s="90">
        <f>AVERAGE(B23:B34)</f>
        <v>0.75</v>
      </c>
      <c r="C35" s="90">
        <f>'Aging of Encounters'!H16</f>
        <v>0.98771031166201051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5"/>
  <sheetViews>
    <sheetView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20" sqref="O20"/>
    </sheetView>
  </sheetViews>
  <sheetFormatPr defaultRowHeight="15" x14ac:dyDescent="0.25"/>
  <cols>
    <col min="1" max="1" width="9.28515625" bestFit="1" customWidth="1"/>
    <col min="2" max="2" width="12.85546875" customWidth="1"/>
    <col min="3" max="4" width="12.5703125" customWidth="1"/>
    <col min="5" max="15" width="12.42578125" customWidth="1"/>
    <col min="16" max="18" width="10" customWidth="1"/>
    <col min="19" max="21" width="12.5703125" customWidth="1"/>
  </cols>
  <sheetData>
    <row r="1" spans="1:34" ht="15.75" thickBot="1" x14ac:dyDescent="0.3">
      <c r="A1" s="185" t="s">
        <v>159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7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1:34" ht="15.75" thickBot="1" x14ac:dyDescent="0.3">
      <c r="A2" s="51"/>
      <c r="B2" s="51"/>
      <c r="C2" s="51"/>
      <c r="D2" s="51"/>
      <c r="E2" s="52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  <c r="R2" s="51"/>
      <c r="S2" s="51"/>
      <c r="T2" s="51"/>
      <c r="U2" s="53"/>
    </row>
    <row r="3" spans="1:34" ht="15.75" thickBot="1" x14ac:dyDescent="0.3">
      <c r="A3" s="54"/>
      <c r="B3" s="54"/>
      <c r="C3" s="54"/>
      <c r="D3" s="59" t="s">
        <v>0</v>
      </c>
      <c r="E3" s="60" t="s">
        <v>1</v>
      </c>
      <c r="F3" s="61" t="s">
        <v>2</v>
      </c>
      <c r="G3" s="62" t="s">
        <v>3</v>
      </c>
      <c r="H3" s="63" t="s">
        <v>4</v>
      </c>
      <c r="I3" s="64" t="s">
        <v>5</v>
      </c>
      <c r="J3" s="59" t="s">
        <v>6</v>
      </c>
      <c r="K3" s="60" t="s">
        <v>7</v>
      </c>
      <c r="L3" s="61" t="s">
        <v>8</v>
      </c>
      <c r="M3" s="62" t="s">
        <v>9</v>
      </c>
      <c r="N3" s="63" t="s">
        <v>10</v>
      </c>
      <c r="O3" s="64" t="s">
        <v>11</v>
      </c>
      <c r="P3" s="185" t="s">
        <v>12</v>
      </c>
      <c r="Q3" s="186"/>
      <c r="R3" s="186"/>
      <c r="S3" s="186"/>
      <c r="T3" s="186"/>
      <c r="U3" s="187"/>
    </row>
    <row r="4" spans="1:34" ht="45.75" thickBot="1" x14ac:dyDescent="0.3">
      <c r="A4" s="5" t="s">
        <v>19</v>
      </c>
      <c r="B4" s="6" t="s">
        <v>109</v>
      </c>
      <c r="C4" s="6" t="s">
        <v>110</v>
      </c>
      <c r="D4" s="7" t="s">
        <v>20</v>
      </c>
      <c r="E4" s="8" t="s">
        <v>20</v>
      </c>
      <c r="F4" s="9" t="s">
        <v>20</v>
      </c>
      <c r="G4" s="10" t="s">
        <v>20</v>
      </c>
      <c r="H4" s="11" t="s">
        <v>20</v>
      </c>
      <c r="I4" s="12" t="s">
        <v>20</v>
      </c>
      <c r="J4" s="7" t="s">
        <v>20</v>
      </c>
      <c r="K4" s="8" t="s">
        <v>20</v>
      </c>
      <c r="L4" s="9" t="s">
        <v>20</v>
      </c>
      <c r="M4" s="10" t="s">
        <v>20</v>
      </c>
      <c r="N4" s="11" t="s">
        <v>20</v>
      </c>
      <c r="O4" s="12" t="s">
        <v>20</v>
      </c>
      <c r="P4" s="13" t="s">
        <v>20</v>
      </c>
      <c r="Q4" s="14" t="s">
        <v>21</v>
      </c>
      <c r="R4" s="13" t="s">
        <v>22</v>
      </c>
      <c r="S4" s="13" t="s">
        <v>23</v>
      </c>
      <c r="T4" s="13" t="s">
        <v>24</v>
      </c>
      <c r="U4" s="13" t="s">
        <v>25</v>
      </c>
    </row>
    <row r="5" spans="1:34" x14ac:dyDescent="0.25">
      <c r="A5">
        <v>1030</v>
      </c>
      <c r="B5" s="15">
        <v>0</v>
      </c>
      <c r="C5" s="65">
        <v>0</v>
      </c>
      <c r="D5" s="16">
        <v>2</v>
      </c>
      <c r="E5" s="17">
        <v>2</v>
      </c>
      <c r="F5" s="18"/>
      <c r="G5" s="19">
        <v>3</v>
      </c>
      <c r="H5" s="20">
        <v>1</v>
      </c>
      <c r="I5" s="21"/>
      <c r="J5" s="16"/>
      <c r="K5" s="17"/>
      <c r="L5" s="18"/>
      <c r="M5" s="19"/>
      <c r="N5" s="20"/>
      <c r="O5" s="21"/>
      <c r="P5" s="22">
        <f>+D5+E5+F5+G5+H5+I5+J5+K5+L5+M5+N5+O5</f>
        <v>8</v>
      </c>
      <c r="Q5" s="15">
        <f>+((SUM(D5:I5))*B5)+((SUM(J5:O5))*C5)</f>
        <v>0</v>
      </c>
      <c r="U5" s="38"/>
    </row>
    <row r="6" spans="1:34" x14ac:dyDescent="0.25">
      <c r="A6">
        <v>90792</v>
      </c>
      <c r="B6" s="15">
        <v>4.16</v>
      </c>
      <c r="C6" s="65">
        <v>4.16</v>
      </c>
      <c r="D6" s="16">
        <v>22</v>
      </c>
      <c r="E6" s="17">
        <v>28</v>
      </c>
      <c r="F6" s="18">
        <v>19</v>
      </c>
      <c r="G6" s="19">
        <v>23</v>
      </c>
      <c r="H6" s="20">
        <v>12</v>
      </c>
      <c r="I6" s="21">
        <v>18</v>
      </c>
      <c r="J6" s="16">
        <v>6</v>
      </c>
      <c r="K6" s="17">
        <v>21</v>
      </c>
      <c r="L6" s="18">
        <v>18</v>
      </c>
      <c r="M6" s="19">
        <v>20</v>
      </c>
      <c r="N6" s="20">
        <v>12</v>
      </c>
      <c r="O6" s="21">
        <v>8</v>
      </c>
      <c r="P6" s="22">
        <f>+D6+E6+F6+G6+H6+I6+J6+K6+L6+M6+N6+O6</f>
        <v>207</v>
      </c>
      <c r="Q6" s="15">
        <f>+((SUM(D6:I6))*B6)+((SUM(J6:O6))*C6)</f>
        <v>861.12000000000012</v>
      </c>
      <c r="U6" s="38"/>
    </row>
    <row r="7" spans="1:34" hidden="1" x14ac:dyDescent="0.25">
      <c r="A7">
        <v>90832</v>
      </c>
      <c r="B7" s="65">
        <v>1.7</v>
      </c>
      <c r="C7" s="65">
        <v>1.7</v>
      </c>
      <c r="D7" s="16"/>
      <c r="E7" s="17"/>
      <c r="F7" s="18"/>
      <c r="G7" s="19"/>
      <c r="H7" s="20"/>
      <c r="I7" s="21"/>
      <c r="J7" s="16"/>
      <c r="K7" s="17"/>
      <c r="L7" s="18"/>
      <c r="M7" s="19"/>
      <c r="N7" s="20"/>
      <c r="O7" s="21"/>
      <c r="P7" s="22">
        <f t="shared" ref="P7" si="0">+D7+E7+F7+G7+H7+I7+J7+K7+L7+M7+N7+O7</f>
        <v>0</v>
      </c>
      <c r="Q7" s="15">
        <f t="shared" ref="Q7" si="1">+((SUM(D7:I7))*B7)+((SUM(J7:O7))*C7)</f>
        <v>0</v>
      </c>
      <c r="U7" s="38"/>
    </row>
    <row r="8" spans="1:34" x14ac:dyDescent="0.25">
      <c r="A8">
        <v>90833</v>
      </c>
      <c r="B8" s="15">
        <v>1.57</v>
      </c>
      <c r="C8" s="65">
        <v>1.64</v>
      </c>
      <c r="D8" s="16">
        <v>76</v>
      </c>
      <c r="E8" s="17">
        <v>62</v>
      </c>
      <c r="F8" s="18">
        <v>66</v>
      </c>
      <c r="G8" s="19">
        <v>85</v>
      </c>
      <c r="H8" s="20">
        <v>70</v>
      </c>
      <c r="I8" s="21">
        <v>71</v>
      </c>
      <c r="J8" s="16">
        <v>46</v>
      </c>
      <c r="K8" s="17">
        <v>93</v>
      </c>
      <c r="L8" s="18">
        <v>81</v>
      </c>
      <c r="M8" s="19">
        <v>85</v>
      </c>
      <c r="N8" s="20">
        <v>103</v>
      </c>
      <c r="O8" s="21">
        <v>46</v>
      </c>
      <c r="P8" s="22">
        <f t="shared" ref="P8:P19" si="2">+D8+E8+F8+G8+H8+I8+J8+K8+L8+M8+N8+O8</f>
        <v>884</v>
      </c>
      <c r="Q8" s="15">
        <f t="shared" ref="Q8:Q19" si="3">+((SUM(D8:I8))*B8)+((SUM(J8:O8))*C8)</f>
        <v>1419.6599999999999</v>
      </c>
      <c r="U8" s="38"/>
    </row>
    <row r="9" spans="1:34" hidden="1" x14ac:dyDescent="0.25">
      <c r="A9">
        <v>90834</v>
      </c>
      <c r="B9" s="65">
        <v>2.35</v>
      </c>
      <c r="C9" s="65">
        <v>2.35</v>
      </c>
      <c r="D9" s="16"/>
      <c r="E9" s="17"/>
      <c r="F9" s="18"/>
      <c r="G9" s="19"/>
      <c r="H9" s="20"/>
      <c r="I9" s="21"/>
      <c r="J9" s="16"/>
      <c r="K9" s="17"/>
      <c r="L9" s="18"/>
      <c r="M9" s="19"/>
      <c r="N9" s="20"/>
      <c r="O9" s="21"/>
      <c r="P9" s="22">
        <f t="shared" ref="P9" si="4">+D9+E9+F9+G9+H9+I9+J9+K9+L9+M9+N9+O9</f>
        <v>0</v>
      </c>
      <c r="Q9" s="15">
        <f t="shared" si="3"/>
        <v>0</v>
      </c>
      <c r="U9" s="38"/>
    </row>
    <row r="10" spans="1:34" x14ac:dyDescent="0.25">
      <c r="A10">
        <v>90837</v>
      </c>
      <c r="B10" s="15">
        <v>3.47</v>
      </c>
      <c r="C10" s="65">
        <v>3.63</v>
      </c>
      <c r="D10" s="16">
        <v>5</v>
      </c>
      <c r="E10" s="17"/>
      <c r="F10" s="18">
        <v>2</v>
      </c>
      <c r="G10" s="19">
        <v>5</v>
      </c>
      <c r="H10" s="20">
        <v>5</v>
      </c>
      <c r="I10" s="21"/>
      <c r="J10" s="16"/>
      <c r="K10" s="17"/>
      <c r="L10" s="18">
        <v>1</v>
      </c>
      <c r="M10" s="19">
        <v>3</v>
      </c>
      <c r="N10" s="20">
        <v>4</v>
      </c>
      <c r="O10" s="21">
        <v>1</v>
      </c>
      <c r="P10" s="22">
        <f t="shared" si="2"/>
        <v>26</v>
      </c>
      <c r="Q10" s="15">
        <f t="shared" si="3"/>
        <v>91.66</v>
      </c>
      <c r="U10" s="38"/>
    </row>
    <row r="11" spans="1:34" x14ac:dyDescent="0.25">
      <c r="A11">
        <v>99213</v>
      </c>
      <c r="B11" s="15">
        <v>1.3</v>
      </c>
      <c r="C11" s="65">
        <v>1.3</v>
      </c>
      <c r="D11" s="16"/>
      <c r="E11" s="17"/>
      <c r="F11" s="18"/>
      <c r="G11" s="19"/>
      <c r="H11" s="20"/>
      <c r="I11" s="21"/>
      <c r="J11" s="16"/>
      <c r="K11" s="17">
        <v>1</v>
      </c>
      <c r="L11" s="18"/>
      <c r="M11" s="19"/>
      <c r="N11" s="20">
        <v>2</v>
      </c>
      <c r="O11" s="21"/>
      <c r="P11" s="22">
        <f t="shared" si="2"/>
        <v>3</v>
      </c>
      <c r="Q11" s="15">
        <f t="shared" si="3"/>
        <v>3.9000000000000004</v>
      </c>
      <c r="U11" s="38"/>
    </row>
    <row r="12" spans="1:34" x14ac:dyDescent="0.25">
      <c r="A12">
        <v>99214</v>
      </c>
      <c r="B12" s="15">
        <v>1.92</v>
      </c>
      <c r="C12" s="65">
        <v>1.92</v>
      </c>
      <c r="D12" s="16">
        <v>101</v>
      </c>
      <c r="E12" s="17">
        <v>86</v>
      </c>
      <c r="F12" s="18">
        <v>91</v>
      </c>
      <c r="G12" s="19">
        <v>110</v>
      </c>
      <c r="H12" s="20">
        <v>95</v>
      </c>
      <c r="I12" s="21">
        <v>94</v>
      </c>
      <c r="J12" s="16">
        <v>65</v>
      </c>
      <c r="K12" s="17">
        <v>123</v>
      </c>
      <c r="L12" s="18">
        <v>116</v>
      </c>
      <c r="M12" s="114">
        <v>89</v>
      </c>
      <c r="N12" s="115">
        <v>114</v>
      </c>
      <c r="O12" s="21">
        <v>51</v>
      </c>
      <c r="P12" s="22">
        <f t="shared" si="2"/>
        <v>1135</v>
      </c>
      <c r="Q12" s="15">
        <f t="shared" si="3"/>
        <v>2179.1999999999998</v>
      </c>
      <c r="U12" s="38"/>
    </row>
    <row r="13" spans="1:34" x14ac:dyDescent="0.25">
      <c r="A13">
        <v>99215</v>
      </c>
      <c r="B13" s="15">
        <v>2.8</v>
      </c>
      <c r="C13" s="65">
        <v>2.8</v>
      </c>
      <c r="D13" s="16">
        <v>1</v>
      </c>
      <c r="E13" s="17"/>
      <c r="F13" s="18"/>
      <c r="G13" s="19"/>
      <c r="H13" s="20"/>
      <c r="I13" s="21"/>
      <c r="J13" s="16"/>
      <c r="K13" s="17"/>
      <c r="L13" s="18"/>
      <c r="M13" s="114">
        <v>8</v>
      </c>
      <c r="N13" s="115">
        <v>12</v>
      </c>
      <c r="O13" s="21">
        <v>5</v>
      </c>
      <c r="P13" s="22">
        <f t="shared" si="2"/>
        <v>26</v>
      </c>
      <c r="Q13" s="15">
        <f t="shared" ref="Q13:Q15" si="5">+((SUM(D13:I13))*B13)+((SUM(J13:O13))*C13)</f>
        <v>72.8</v>
      </c>
      <c r="U13" s="38"/>
    </row>
    <row r="14" spans="1:34" hidden="1" x14ac:dyDescent="0.25">
      <c r="A14">
        <v>99222</v>
      </c>
      <c r="B14" s="15">
        <v>2.6</v>
      </c>
      <c r="C14" s="65">
        <v>2.6</v>
      </c>
      <c r="D14" s="16"/>
      <c r="E14" s="17"/>
      <c r="F14" s="18"/>
      <c r="G14" s="19"/>
      <c r="H14" s="20"/>
      <c r="I14" s="21"/>
      <c r="J14" s="16"/>
      <c r="K14" s="17"/>
      <c r="L14" s="18"/>
      <c r="M14" s="114"/>
      <c r="N14" s="115"/>
      <c r="O14" s="21"/>
      <c r="P14" s="22">
        <f t="shared" si="2"/>
        <v>0</v>
      </c>
      <c r="Q14" s="15">
        <f t="shared" si="5"/>
        <v>0</v>
      </c>
      <c r="U14" s="38"/>
    </row>
    <row r="15" spans="1:34" hidden="1" x14ac:dyDescent="0.25">
      <c r="A15">
        <v>99232</v>
      </c>
      <c r="B15" s="15">
        <v>1.59</v>
      </c>
      <c r="C15" s="65">
        <v>1.59</v>
      </c>
      <c r="D15" s="16"/>
      <c r="E15" s="17"/>
      <c r="F15" s="18"/>
      <c r="G15" s="19"/>
      <c r="H15" s="20"/>
      <c r="I15" s="21"/>
      <c r="J15" s="16"/>
      <c r="K15" s="17"/>
      <c r="L15" s="18"/>
      <c r="M15" s="114"/>
      <c r="N15" s="115"/>
      <c r="O15" s="21"/>
      <c r="P15" s="22">
        <f t="shared" si="2"/>
        <v>0</v>
      </c>
      <c r="Q15" s="15">
        <f t="shared" si="5"/>
        <v>0</v>
      </c>
      <c r="U15" s="38"/>
    </row>
    <row r="16" spans="1:34" hidden="1" x14ac:dyDescent="0.25">
      <c r="A16">
        <v>99254</v>
      </c>
      <c r="B16" s="15">
        <v>2.72</v>
      </c>
      <c r="C16" s="65">
        <v>2.72</v>
      </c>
      <c r="D16" s="16"/>
      <c r="E16" s="17"/>
      <c r="F16" s="18"/>
      <c r="G16" s="19"/>
      <c r="H16" s="20"/>
      <c r="I16" s="21"/>
      <c r="J16" s="16"/>
      <c r="K16" s="17"/>
      <c r="L16" s="18"/>
      <c r="M16" s="114"/>
      <c r="N16" s="115"/>
      <c r="O16" s="21"/>
      <c r="P16" s="22">
        <f t="shared" si="2"/>
        <v>0</v>
      </c>
      <c r="Q16" s="15">
        <f t="shared" ref="Q16" si="6">+((SUM(D16:I16))*B16)+((SUM(J16:O16))*C16)</f>
        <v>0</v>
      </c>
      <c r="U16" s="38"/>
    </row>
    <row r="17" spans="1:21" hidden="1" x14ac:dyDescent="0.25">
      <c r="A17">
        <v>99255</v>
      </c>
      <c r="B17" s="15">
        <v>3.86</v>
      </c>
      <c r="C17" s="65">
        <v>3.86</v>
      </c>
      <c r="D17" s="16"/>
      <c r="E17" s="17"/>
      <c r="F17" s="18"/>
      <c r="G17" s="19"/>
      <c r="H17" s="20"/>
      <c r="I17" s="21"/>
      <c r="J17" s="16"/>
      <c r="K17" s="17"/>
      <c r="L17" s="18"/>
      <c r="M17" s="114"/>
      <c r="N17" s="115"/>
      <c r="O17" s="21"/>
      <c r="P17" s="22">
        <f t="shared" ref="P17:P18" si="7">+D17+E17+F17+G17+H17+I17+J17+K17+L17+M17+N17+O17</f>
        <v>0</v>
      </c>
      <c r="Q17" s="15">
        <f t="shared" si="3"/>
        <v>0</v>
      </c>
      <c r="U17" s="38"/>
    </row>
    <row r="18" spans="1:21" x14ac:dyDescent="0.25">
      <c r="A18" t="s">
        <v>111</v>
      </c>
      <c r="B18" s="15">
        <v>0.33</v>
      </c>
      <c r="C18" s="65">
        <v>0.33</v>
      </c>
      <c r="D18" s="16">
        <v>23</v>
      </c>
      <c r="E18" s="17">
        <v>24</v>
      </c>
      <c r="F18" s="18">
        <v>25</v>
      </c>
      <c r="G18" s="19">
        <v>23</v>
      </c>
      <c r="H18" s="20">
        <v>18</v>
      </c>
      <c r="I18" s="21">
        <v>21</v>
      </c>
      <c r="J18" s="16">
        <v>11</v>
      </c>
      <c r="K18" s="17">
        <v>9</v>
      </c>
      <c r="L18" s="18">
        <v>15</v>
      </c>
      <c r="M18" s="114">
        <v>9</v>
      </c>
      <c r="N18" s="115">
        <v>9</v>
      </c>
      <c r="O18" s="21">
        <v>6</v>
      </c>
      <c r="P18" s="22">
        <f t="shared" si="7"/>
        <v>193</v>
      </c>
      <c r="Q18" s="15">
        <f t="shared" ref="Q18" si="8">+((SUM(D18:I18))*B18)+((SUM(J18:O18))*C18)</f>
        <v>63.69</v>
      </c>
      <c r="U18" s="38"/>
    </row>
    <row r="19" spans="1:21" x14ac:dyDescent="0.25">
      <c r="A19" t="s">
        <v>158</v>
      </c>
      <c r="B19" s="15">
        <v>0</v>
      </c>
      <c r="C19" s="65">
        <v>0</v>
      </c>
      <c r="D19" s="16"/>
      <c r="E19" s="17"/>
      <c r="F19" s="18"/>
      <c r="G19" s="19"/>
      <c r="H19" s="20"/>
      <c r="I19" s="21"/>
      <c r="J19" s="16">
        <v>2</v>
      </c>
      <c r="K19" s="17"/>
      <c r="L19" s="18">
        <v>1</v>
      </c>
      <c r="M19" s="114"/>
      <c r="N19" s="115"/>
      <c r="O19" s="21">
        <v>1</v>
      </c>
      <c r="P19" s="22">
        <f t="shared" si="2"/>
        <v>4</v>
      </c>
      <c r="Q19" s="15">
        <f t="shared" si="3"/>
        <v>0</v>
      </c>
      <c r="U19" s="38"/>
    </row>
    <row r="20" spans="1:21" x14ac:dyDescent="0.25">
      <c r="A20" s="183"/>
      <c r="B20" s="184"/>
      <c r="C20" s="112"/>
      <c r="D20" s="116">
        <f>SUM(D5:D19)</f>
        <v>230</v>
      </c>
      <c r="E20" s="117">
        <f t="shared" ref="E20:P20" si="9">SUM(E5:E19)</f>
        <v>202</v>
      </c>
      <c r="F20" s="118">
        <f t="shared" si="9"/>
        <v>203</v>
      </c>
      <c r="G20" s="119">
        <f t="shared" si="9"/>
        <v>249</v>
      </c>
      <c r="H20" s="120">
        <f t="shared" si="9"/>
        <v>201</v>
      </c>
      <c r="I20" s="121">
        <f t="shared" si="9"/>
        <v>204</v>
      </c>
      <c r="J20" s="122">
        <f t="shared" si="9"/>
        <v>130</v>
      </c>
      <c r="K20" s="117">
        <f t="shared" si="9"/>
        <v>247</v>
      </c>
      <c r="L20" s="118">
        <f t="shared" si="9"/>
        <v>232</v>
      </c>
      <c r="M20" s="119">
        <f t="shared" si="9"/>
        <v>214</v>
      </c>
      <c r="N20" s="120">
        <f t="shared" si="9"/>
        <v>256</v>
      </c>
      <c r="O20" s="121">
        <f>SUM(O5:O19)</f>
        <v>118</v>
      </c>
      <c r="P20" s="23">
        <f t="shared" si="9"/>
        <v>2486</v>
      </c>
      <c r="Q20" s="24">
        <f>SUM(Q5:Q19)</f>
        <v>4692.0299999999988</v>
      </c>
      <c r="R20" s="25">
        <f>394.89*6+406.42*6</f>
        <v>4807.8600000000006</v>
      </c>
      <c r="S20" s="123">
        <f>+Q20/R20</f>
        <v>0.97590820032197245</v>
      </c>
      <c r="T20" s="26">
        <f>P35</f>
        <v>0.89750000000000008</v>
      </c>
      <c r="U20" s="55">
        <f>+S20/T20</f>
        <v>1.0873628972946767</v>
      </c>
    </row>
    <row r="21" spans="1:21" ht="15.75" thickBot="1" x14ac:dyDescent="0.3">
      <c r="A21" s="28"/>
      <c r="B21" s="28"/>
      <c r="C21" s="28"/>
      <c r="D21" s="28"/>
      <c r="E21" s="28"/>
      <c r="F21" s="28"/>
      <c r="G21" s="28"/>
      <c r="H21" s="28"/>
      <c r="I21" s="22"/>
      <c r="J21" s="28"/>
      <c r="K21" s="28"/>
      <c r="L21" s="28"/>
      <c r="M21" s="28"/>
      <c r="N21" s="28"/>
      <c r="O21" s="28"/>
      <c r="P21" s="22"/>
      <c r="Q21" s="28"/>
      <c r="U21" s="38"/>
    </row>
    <row r="22" spans="1:21" x14ac:dyDescent="0.25">
      <c r="A22" s="104"/>
      <c r="B22" s="132" t="s">
        <v>21</v>
      </c>
      <c r="C22" s="133"/>
      <c r="D22" s="133">
        <f t="shared" ref="D22:I22" si="10">+$B5*D5+$B6*D6+$B8*D8+$B9*D9+$B10*D10+$B11*D11+$B12*D12+$B19*D19+$B$17*D17+$B$13*D13+$B$14*D14+$B$15*D15+$B$7*D7+$B$16*D16+$B$18*D18</f>
        <v>432.5</v>
      </c>
      <c r="E22" s="133">
        <f t="shared" si="10"/>
        <v>386.86</v>
      </c>
      <c r="F22" s="133">
        <f t="shared" si="10"/>
        <v>372.57000000000005</v>
      </c>
      <c r="G22" s="133">
        <f t="shared" si="10"/>
        <v>465.27</v>
      </c>
      <c r="H22" s="133">
        <f t="shared" si="10"/>
        <v>365.51</v>
      </c>
      <c r="I22" s="133">
        <f t="shared" si="10"/>
        <v>373.76</v>
      </c>
      <c r="J22" s="133">
        <f t="shared" ref="J22:N22" si="11">+$C5*J5+$C6*J6+$C8*J8+$C9*J9+$C10*J10+$C11*J11+$C12*J12+$C19*J19+$C$17*J17+$C$13*J13+$C$14*J14+$C$15*J15+$C$7*J7+$C$16*J16+$C$18*J18</f>
        <v>228.82999999999998</v>
      </c>
      <c r="K22" s="133">
        <f t="shared" si="11"/>
        <v>480.31000000000006</v>
      </c>
      <c r="L22" s="133">
        <f t="shared" si="11"/>
        <v>439.02</v>
      </c>
      <c r="M22" s="133">
        <f t="shared" si="11"/>
        <v>429.74</v>
      </c>
      <c r="N22" s="133">
        <f t="shared" si="11"/>
        <v>491.40999999999997</v>
      </c>
      <c r="O22" s="133">
        <f>+$C5*O5+$C6*O6+$C8*O8+$C9*O9+$C10*O10+$C11*O11+$C12*O12+$C19*O19+$C$17*O17+$C$13*O13+$C$14*O14+$C$15*O15+$C$7*O7+$C$16*O16+$C$18*O18</f>
        <v>226.24999999999997</v>
      </c>
      <c r="P22" s="134">
        <f>SUM(D22:O22)</f>
        <v>4692.03</v>
      </c>
      <c r="Q22" s="28"/>
      <c r="U22" s="38"/>
    </row>
    <row r="23" spans="1:21" ht="15.75" thickBot="1" x14ac:dyDescent="0.3">
      <c r="A23" s="104"/>
      <c r="B23" s="135" t="s">
        <v>22</v>
      </c>
      <c r="C23" s="27"/>
      <c r="D23" s="27">
        <v>394.89</v>
      </c>
      <c r="E23" s="27">
        <v>394.89</v>
      </c>
      <c r="F23" s="27">
        <v>394.89</v>
      </c>
      <c r="G23" s="27">
        <v>394.89</v>
      </c>
      <c r="H23" s="27">
        <v>394.89</v>
      </c>
      <c r="I23" s="27">
        <v>394.89</v>
      </c>
      <c r="J23" s="181">
        <v>406.42</v>
      </c>
      <c r="K23" s="181">
        <v>406.42</v>
      </c>
      <c r="L23" s="181">
        <v>406.42</v>
      </c>
      <c r="M23" s="181">
        <v>406.42</v>
      </c>
      <c r="N23" s="181">
        <v>406.42</v>
      </c>
      <c r="O23" s="181">
        <v>406.42</v>
      </c>
      <c r="P23" s="136">
        <f>SUM(D23:O23)</f>
        <v>4807.8599999999997</v>
      </c>
      <c r="U23" s="38"/>
    </row>
    <row r="24" spans="1:21" ht="19.5" customHeight="1" thickBot="1" x14ac:dyDescent="0.35">
      <c r="A24" s="104"/>
      <c r="B24" s="81" t="s">
        <v>43</v>
      </c>
      <c r="C24" s="28"/>
      <c r="D24" s="124">
        <f>+D22/D23</f>
        <v>1.0952417128820684</v>
      </c>
      <c r="E24" s="124">
        <f t="shared" ref="E24:O24" si="12">+E22/E23</f>
        <v>0.97966522322672145</v>
      </c>
      <c r="F24" s="124">
        <f t="shared" si="12"/>
        <v>0.94347793056294171</v>
      </c>
      <c r="G24" s="124">
        <f t="shared" si="12"/>
        <v>1.1782268479829825</v>
      </c>
      <c r="H24" s="124">
        <f t="shared" si="12"/>
        <v>0.92559953404745621</v>
      </c>
      <c r="I24" s="124">
        <f>+I22/I23</f>
        <v>0.94649142799260555</v>
      </c>
      <c r="J24" s="182">
        <f t="shared" si="12"/>
        <v>0.56303823630726824</v>
      </c>
      <c r="K24" s="182">
        <f t="shared" si="12"/>
        <v>1.1818069976871217</v>
      </c>
      <c r="L24" s="182">
        <f t="shared" si="12"/>
        <v>1.0802125879631908</v>
      </c>
      <c r="M24" s="182">
        <f t="shared" si="12"/>
        <v>1.0573790659908469</v>
      </c>
      <c r="N24" s="182">
        <f t="shared" si="12"/>
        <v>1.209118645735938</v>
      </c>
      <c r="O24" s="182">
        <f t="shared" si="12"/>
        <v>0.55669012351754332</v>
      </c>
      <c r="P24" s="137">
        <f>+P22/P23</f>
        <v>0.97590820032197279</v>
      </c>
      <c r="R24" s="188" t="s">
        <v>48</v>
      </c>
      <c r="S24" s="189"/>
      <c r="T24" s="189"/>
      <c r="U24" s="190"/>
    </row>
    <row r="25" spans="1:21" ht="19.5" customHeight="1" thickBot="1" x14ac:dyDescent="0.35">
      <c r="A25" s="104"/>
      <c r="B25" s="138" t="s">
        <v>26</v>
      </c>
      <c r="C25" s="130"/>
      <c r="D25" s="131">
        <f>+D24/D35</f>
        <v>1.2588985205541017</v>
      </c>
      <c r="E25" s="131">
        <f t="shared" ref="E25:O25" si="13">+E24/E35</f>
        <v>1.0885169146963571</v>
      </c>
      <c r="F25" s="131">
        <f t="shared" si="13"/>
        <v>1.048308811736602</v>
      </c>
      <c r="G25" s="131">
        <f t="shared" si="13"/>
        <v>1.3091409422033138</v>
      </c>
      <c r="H25" s="131">
        <f t="shared" si="13"/>
        <v>1.0284439267193957</v>
      </c>
      <c r="I25" s="131">
        <f t="shared" si="13"/>
        <v>1.0516571422140062</v>
      </c>
      <c r="J25" s="131">
        <f t="shared" si="13"/>
        <v>0.62559804034140909</v>
      </c>
      <c r="K25" s="131">
        <f t="shared" si="13"/>
        <v>1.3131188863190242</v>
      </c>
      <c r="L25" s="131">
        <f t="shared" si="13"/>
        <v>1.2002362088479896</v>
      </c>
      <c r="M25" s="131">
        <f t="shared" si="13"/>
        <v>1.1748656288787187</v>
      </c>
      <c r="N25" s="131">
        <f t="shared" si="13"/>
        <v>1.34346516192882</v>
      </c>
      <c r="O25" s="131">
        <f t="shared" si="13"/>
        <v>0.61854458168615922</v>
      </c>
      <c r="P25" s="139">
        <f>+P24/P35</f>
        <v>1.0873628972946772</v>
      </c>
      <c r="R25" s="66" t="s">
        <v>49</v>
      </c>
      <c r="S25" s="67"/>
      <c r="T25" s="67"/>
      <c r="U25" s="92" t="str">
        <f>IF(P24&gt;=P35,"YES","NO")</f>
        <v>YES</v>
      </c>
    </row>
    <row r="26" spans="1:21" ht="18.75" customHeight="1" x14ac:dyDescent="0.3">
      <c r="A26" s="104"/>
      <c r="B26" s="81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140"/>
      <c r="R26" s="68"/>
      <c r="S26" s="168"/>
      <c r="T26" s="168"/>
      <c r="U26" s="69"/>
    </row>
    <row r="27" spans="1:21" ht="15.75" customHeight="1" thickBot="1" x14ac:dyDescent="0.3">
      <c r="A27" s="104"/>
      <c r="B27" s="81" t="s">
        <v>44</v>
      </c>
      <c r="C27" s="28"/>
      <c r="D27" s="28">
        <v>418.85</v>
      </c>
      <c r="E27" s="28">
        <v>418.85</v>
      </c>
      <c r="F27" s="28">
        <v>418.85</v>
      </c>
      <c r="G27" s="28">
        <v>418.85</v>
      </c>
      <c r="H27" s="28">
        <v>418.85</v>
      </c>
      <c r="I27" s="28">
        <v>418.85</v>
      </c>
      <c r="J27" s="28">
        <v>432.57</v>
      </c>
      <c r="K27" s="28">
        <v>432.57</v>
      </c>
      <c r="L27" s="28">
        <v>432.57</v>
      </c>
      <c r="M27" s="28">
        <v>432.57</v>
      </c>
      <c r="N27" s="28">
        <v>432.57</v>
      </c>
      <c r="O27" s="28">
        <v>432.57</v>
      </c>
      <c r="P27" s="140">
        <f>SUM(D27:O27)</f>
        <v>5108.5199999999995</v>
      </c>
      <c r="U27" s="38"/>
    </row>
    <row r="28" spans="1:21" ht="19.5" customHeight="1" thickBot="1" x14ac:dyDescent="0.35">
      <c r="A28" s="104"/>
      <c r="B28" s="81" t="s">
        <v>45</v>
      </c>
      <c r="C28" s="28"/>
      <c r="D28" s="124">
        <f>+D22/D27</f>
        <v>1.0325892324221082</v>
      </c>
      <c r="E28" s="124">
        <f t="shared" ref="E28:O28" si="14">+E22/E27</f>
        <v>0.92362420914408494</v>
      </c>
      <c r="F28" s="124">
        <f t="shared" si="14"/>
        <v>0.88950698340694767</v>
      </c>
      <c r="G28" s="124">
        <f t="shared" si="14"/>
        <v>1.1108272651307149</v>
      </c>
      <c r="H28" s="124">
        <f t="shared" si="14"/>
        <v>0.87265130715053119</v>
      </c>
      <c r="I28" s="124">
        <f t="shared" si="14"/>
        <v>0.89234809597707998</v>
      </c>
      <c r="J28" s="124">
        <f t="shared" si="14"/>
        <v>0.52900108652934785</v>
      </c>
      <c r="K28" s="124">
        <f t="shared" si="14"/>
        <v>1.1103636405668449</v>
      </c>
      <c r="L28" s="124">
        <f t="shared" si="14"/>
        <v>1.0149108814758305</v>
      </c>
      <c r="M28" s="124">
        <f t="shared" si="14"/>
        <v>0.99345770626719376</v>
      </c>
      <c r="N28" s="124">
        <f t="shared" si="14"/>
        <v>1.1360242272926924</v>
      </c>
      <c r="O28" s="124">
        <f t="shared" si="14"/>
        <v>0.52303673393901562</v>
      </c>
      <c r="P28" s="137">
        <f>+P22/P27</f>
        <v>0.91847149467947664</v>
      </c>
      <c r="Q28" s="68"/>
      <c r="R28" s="188" t="s">
        <v>50</v>
      </c>
      <c r="S28" s="189"/>
      <c r="T28" s="189"/>
      <c r="U28" s="190"/>
    </row>
    <row r="29" spans="1:21" ht="19.5" customHeight="1" thickBot="1" x14ac:dyDescent="0.35">
      <c r="A29" s="104"/>
      <c r="B29" s="138" t="s">
        <v>26</v>
      </c>
      <c r="C29" s="130"/>
      <c r="D29" s="131">
        <f t="shared" ref="D29:O29" si="15">+D28/D35</f>
        <v>1.1868841751978256</v>
      </c>
      <c r="E29" s="131">
        <f t="shared" si="15"/>
        <v>1.0262491212712055</v>
      </c>
      <c r="F29" s="131">
        <f t="shared" si="15"/>
        <v>0.9883410926743863</v>
      </c>
      <c r="G29" s="131">
        <f t="shared" si="15"/>
        <v>1.2342525168119054</v>
      </c>
      <c r="H29" s="131">
        <f t="shared" si="15"/>
        <v>0.96961256350059022</v>
      </c>
      <c r="I29" s="131">
        <f t="shared" si="15"/>
        <v>0.99149788441897768</v>
      </c>
      <c r="J29" s="131">
        <f t="shared" si="15"/>
        <v>0.58777898503260873</v>
      </c>
      <c r="K29" s="131">
        <f t="shared" si="15"/>
        <v>1.2337373784076053</v>
      </c>
      <c r="L29" s="131">
        <f t="shared" si="15"/>
        <v>1.1276787571953673</v>
      </c>
      <c r="M29" s="131">
        <f t="shared" si="15"/>
        <v>1.1038418958524374</v>
      </c>
      <c r="N29" s="131">
        <f t="shared" si="15"/>
        <v>1.2622491414363248</v>
      </c>
      <c r="O29" s="131">
        <f t="shared" si="15"/>
        <v>0.58115192659890624</v>
      </c>
      <c r="P29" s="139">
        <f>+P28/P35</f>
        <v>1.0233665678879962</v>
      </c>
      <c r="Q29" s="68"/>
      <c r="R29" s="66" t="s">
        <v>51</v>
      </c>
      <c r="S29" s="67"/>
      <c r="T29" s="70"/>
      <c r="U29" s="92" t="str">
        <f>IF(P28&gt;P35,"YES","NO")</f>
        <v>YES</v>
      </c>
    </row>
    <row r="30" spans="1:21" ht="18.75" customHeight="1" x14ac:dyDescent="0.3">
      <c r="A30" s="104"/>
      <c r="B30" s="81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140"/>
      <c r="Q30" s="68"/>
      <c r="R30" s="68"/>
      <c r="S30" s="168"/>
      <c r="T30" s="168"/>
      <c r="U30" s="69"/>
    </row>
    <row r="31" spans="1:21" ht="19.5" customHeight="1" thickBot="1" x14ac:dyDescent="0.35">
      <c r="A31" s="104"/>
      <c r="B31" s="81" t="s">
        <v>46</v>
      </c>
      <c r="C31" s="28"/>
      <c r="D31" s="28">
        <v>509.93</v>
      </c>
      <c r="E31" s="28">
        <v>509.93</v>
      </c>
      <c r="F31" s="28">
        <v>509.93</v>
      </c>
      <c r="G31" s="28">
        <v>509.93</v>
      </c>
      <c r="H31" s="28">
        <v>509.93</v>
      </c>
      <c r="I31" s="28">
        <v>509.93</v>
      </c>
      <c r="J31" s="28">
        <v>496.2</v>
      </c>
      <c r="K31" s="28">
        <v>496.2</v>
      </c>
      <c r="L31" s="28">
        <v>496.2</v>
      </c>
      <c r="M31" s="28">
        <v>496.2</v>
      </c>
      <c r="N31" s="28">
        <v>496.2</v>
      </c>
      <c r="O31" s="28">
        <v>496.2</v>
      </c>
      <c r="P31" s="140">
        <f>SUM(D31:O31)</f>
        <v>6036.7799999999988</v>
      </c>
      <c r="Q31" s="68"/>
      <c r="R31" s="68"/>
      <c r="S31" s="168"/>
      <c r="T31" s="168"/>
      <c r="U31" s="69"/>
    </row>
    <row r="32" spans="1:21" ht="19.5" customHeight="1" thickBot="1" x14ac:dyDescent="0.35">
      <c r="A32" s="104"/>
      <c r="B32" s="81" t="s">
        <v>47</v>
      </c>
      <c r="C32" s="28"/>
      <c r="D32" s="124">
        <f t="shared" ref="D32:O32" si="16">+D22/D31</f>
        <v>0.84815562920400833</v>
      </c>
      <c r="E32" s="124">
        <f t="shared" si="16"/>
        <v>0.75865314847135878</v>
      </c>
      <c r="F32" s="124">
        <f t="shared" si="16"/>
        <v>0.73062969427176283</v>
      </c>
      <c r="G32" s="124">
        <f t="shared" si="16"/>
        <v>0.91241935167572019</v>
      </c>
      <c r="H32" s="124">
        <f t="shared" si="16"/>
        <v>0.71678465671758862</v>
      </c>
      <c r="I32" s="124">
        <f t="shared" si="16"/>
        <v>0.73296334791049744</v>
      </c>
      <c r="J32" s="124">
        <f t="shared" si="16"/>
        <v>0.46116485288190245</v>
      </c>
      <c r="K32" s="124">
        <f t="shared" si="16"/>
        <v>0.96797662232970594</v>
      </c>
      <c r="L32" s="124">
        <f t="shared" si="16"/>
        <v>0.88476420798065292</v>
      </c>
      <c r="M32" s="124">
        <f t="shared" si="16"/>
        <v>0.86606207174526406</v>
      </c>
      <c r="N32" s="124">
        <f t="shared" si="16"/>
        <v>0.9903466344216042</v>
      </c>
      <c r="O32" s="124">
        <f t="shared" si="16"/>
        <v>0.45596533655783955</v>
      </c>
      <c r="P32" s="137">
        <f>+P22/P31</f>
        <v>0.77724051563913221</v>
      </c>
      <c r="R32" s="188" t="s">
        <v>52</v>
      </c>
      <c r="S32" s="189"/>
      <c r="T32" s="189"/>
      <c r="U32" s="190"/>
    </row>
    <row r="33" spans="1:21" ht="19.5" customHeight="1" thickBot="1" x14ac:dyDescent="0.35">
      <c r="A33" s="104"/>
      <c r="B33" s="138" t="s">
        <v>26</v>
      </c>
      <c r="C33" s="130"/>
      <c r="D33" s="131">
        <f t="shared" ref="D33:O33" si="17">+D32/D35</f>
        <v>0.97489152782069921</v>
      </c>
      <c r="E33" s="131">
        <f t="shared" si="17"/>
        <v>0.84294794274595419</v>
      </c>
      <c r="F33" s="131">
        <f t="shared" si="17"/>
        <v>0.81181077141306979</v>
      </c>
      <c r="G33" s="131">
        <f t="shared" si="17"/>
        <v>1.0137992796396891</v>
      </c>
      <c r="H33" s="131">
        <f t="shared" si="17"/>
        <v>0.79642739635287618</v>
      </c>
      <c r="I33" s="131">
        <f t="shared" si="17"/>
        <v>0.81440371990055271</v>
      </c>
      <c r="J33" s="131">
        <f t="shared" si="17"/>
        <v>0.51240539209100266</v>
      </c>
      <c r="K33" s="131">
        <f t="shared" si="17"/>
        <v>1.0755295803663398</v>
      </c>
      <c r="L33" s="131">
        <f t="shared" si="17"/>
        <v>0.98307134220072545</v>
      </c>
      <c r="M33" s="131">
        <f t="shared" si="17"/>
        <v>0.96229119082807113</v>
      </c>
      <c r="N33" s="131">
        <f t="shared" si="17"/>
        <v>1.100385149357338</v>
      </c>
      <c r="O33" s="131">
        <f t="shared" si="17"/>
        <v>0.50662815173093279</v>
      </c>
      <c r="P33" s="139">
        <f>+P32/P35</f>
        <v>0.86600614555892164</v>
      </c>
      <c r="Q33" s="28"/>
      <c r="R33" s="66" t="s">
        <v>53</v>
      </c>
      <c r="S33" s="67"/>
      <c r="T33" s="67"/>
      <c r="U33" s="92" t="str">
        <f>IF(P32&gt;P35,"YES","NO")</f>
        <v>NO</v>
      </c>
    </row>
    <row r="34" spans="1:21" ht="21" customHeight="1" x14ac:dyDescent="0.35">
      <c r="A34" s="104"/>
      <c r="B34" s="104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141"/>
      <c r="Q34" s="28"/>
      <c r="R34" s="191"/>
      <c r="S34" s="191"/>
      <c r="T34" s="191"/>
      <c r="U34" s="192"/>
    </row>
    <row r="35" spans="1:21" ht="15" customHeight="1" thickBot="1" x14ac:dyDescent="0.3">
      <c r="A35" s="104"/>
      <c r="B35" s="142" t="s">
        <v>24</v>
      </c>
      <c r="C35" s="73"/>
      <c r="D35" s="143">
        <f>D38+D37</f>
        <v>0.87</v>
      </c>
      <c r="E35" s="143">
        <f t="shared" ref="E35:O35" si="18">E38+E37</f>
        <v>0.9</v>
      </c>
      <c r="F35" s="143">
        <f t="shared" si="18"/>
        <v>0.9</v>
      </c>
      <c r="G35" s="143">
        <f t="shared" si="18"/>
        <v>0.9</v>
      </c>
      <c r="H35" s="143">
        <f t="shared" si="18"/>
        <v>0.9</v>
      </c>
      <c r="I35" s="143">
        <f t="shared" si="18"/>
        <v>0.9</v>
      </c>
      <c r="J35" s="143">
        <f t="shared" si="18"/>
        <v>0.9</v>
      </c>
      <c r="K35" s="143">
        <f t="shared" si="18"/>
        <v>0.9</v>
      </c>
      <c r="L35" s="143">
        <f t="shared" si="18"/>
        <v>0.9</v>
      </c>
      <c r="M35" s="143">
        <f t="shared" si="18"/>
        <v>0.9</v>
      </c>
      <c r="N35" s="143">
        <f t="shared" si="18"/>
        <v>0.9</v>
      </c>
      <c r="O35" s="143">
        <f t="shared" si="18"/>
        <v>0.9</v>
      </c>
      <c r="P35" s="144">
        <f>AVERAGE(D35:O35)</f>
        <v>0.89750000000000008</v>
      </c>
      <c r="Q35" s="28"/>
      <c r="R35" s="71"/>
      <c r="S35" s="169"/>
      <c r="T35" s="169"/>
      <c r="U35" s="72"/>
    </row>
    <row r="36" spans="1:21" ht="15.75" thickBot="1" x14ac:dyDescent="0.3">
      <c r="A36" s="104"/>
      <c r="B36" s="28"/>
      <c r="C36" s="28"/>
      <c r="D36" s="22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2"/>
      <c r="R36" s="28"/>
      <c r="U36" s="38"/>
    </row>
    <row r="37" spans="1:21" x14ac:dyDescent="0.25">
      <c r="A37" s="104"/>
      <c r="B37" s="161" t="s">
        <v>86</v>
      </c>
      <c r="C37" s="162"/>
      <c r="D37" s="162">
        <v>0.77</v>
      </c>
      <c r="E37" s="162">
        <v>0.8</v>
      </c>
      <c r="F37" s="162">
        <v>0.8</v>
      </c>
      <c r="G37" s="162">
        <v>0.8</v>
      </c>
      <c r="H37" s="162">
        <v>0.8</v>
      </c>
      <c r="I37" s="162">
        <v>0.8</v>
      </c>
      <c r="J37" s="162">
        <v>0.8</v>
      </c>
      <c r="K37" s="162">
        <v>0.8</v>
      </c>
      <c r="L37" s="162">
        <v>0.8</v>
      </c>
      <c r="M37" s="162">
        <v>0.8</v>
      </c>
      <c r="N37" s="162">
        <v>0.8</v>
      </c>
      <c r="O37" s="163">
        <v>0.8</v>
      </c>
      <c r="P37" s="156">
        <f>AVERAGE(D37:O37)</f>
        <v>0.79749999999999999</v>
      </c>
      <c r="Q37" s="28"/>
      <c r="R37" s="28"/>
      <c r="U37" s="38"/>
    </row>
    <row r="38" spans="1:21" x14ac:dyDescent="0.25">
      <c r="A38" s="104"/>
      <c r="B38" s="165" t="s">
        <v>118</v>
      </c>
      <c r="C38" s="166"/>
      <c r="D38" s="166">
        <v>0.1</v>
      </c>
      <c r="E38" s="166">
        <v>0.1</v>
      </c>
      <c r="F38" s="166">
        <v>0.1</v>
      </c>
      <c r="G38" s="166">
        <v>0.1</v>
      </c>
      <c r="H38" s="166">
        <v>0.1</v>
      </c>
      <c r="I38" s="166">
        <v>0.1</v>
      </c>
      <c r="J38" s="166">
        <v>0.1</v>
      </c>
      <c r="K38" s="166">
        <v>0.1</v>
      </c>
      <c r="L38" s="166">
        <v>0.1</v>
      </c>
      <c r="M38" s="166">
        <v>0.1</v>
      </c>
      <c r="N38" s="166">
        <v>0.1</v>
      </c>
      <c r="O38" s="167">
        <v>0.1</v>
      </c>
      <c r="P38" s="156">
        <f>AVERAGE(D38:O38)</f>
        <v>9.9999999999999992E-2</v>
      </c>
      <c r="Q38" s="28"/>
      <c r="R38" s="28"/>
      <c r="U38" s="38"/>
    </row>
    <row r="39" spans="1:21" x14ac:dyDescent="0.25">
      <c r="A39" s="104"/>
      <c r="B39" s="158" t="s">
        <v>87</v>
      </c>
      <c r="C39" s="58"/>
      <c r="D39" s="159">
        <v>0.1</v>
      </c>
      <c r="E39" s="159">
        <v>0.1</v>
      </c>
      <c r="F39" s="159">
        <v>0.1</v>
      </c>
      <c r="G39" s="159">
        <v>0.1</v>
      </c>
      <c r="H39" s="159">
        <v>0.1</v>
      </c>
      <c r="I39" s="159">
        <v>0.1</v>
      </c>
      <c r="J39" s="159">
        <v>0.1</v>
      </c>
      <c r="K39" s="159">
        <v>0.1</v>
      </c>
      <c r="L39" s="159">
        <v>0.1</v>
      </c>
      <c r="M39" s="159">
        <v>0.1</v>
      </c>
      <c r="N39" s="159">
        <v>0.1</v>
      </c>
      <c r="O39" s="160">
        <v>0.1</v>
      </c>
      <c r="P39" s="156">
        <f t="shared" ref="P39:P40" si="19">AVERAGE(D39:O39)</f>
        <v>9.9999999999999992E-2</v>
      </c>
      <c r="Q39" s="28"/>
      <c r="R39" s="28"/>
      <c r="U39" s="38"/>
    </row>
    <row r="40" spans="1:21" x14ac:dyDescent="0.25">
      <c r="A40" s="104"/>
      <c r="B40" s="152" t="s">
        <v>107</v>
      </c>
      <c r="C40" s="153"/>
      <c r="D40" s="148">
        <v>2.5000000000000001E-2</v>
      </c>
      <c r="E40" s="148">
        <v>0</v>
      </c>
      <c r="F40" s="148">
        <v>0</v>
      </c>
      <c r="G40" s="148">
        <v>0</v>
      </c>
      <c r="H40" s="148">
        <v>0</v>
      </c>
      <c r="I40" s="148">
        <v>0</v>
      </c>
      <c r="J40" s="148">
        <v>0</v>
      </c>
      <c r="K40" s="148">
        <v>0</v>
      </c>
      <c r="L40" s="148">
        <v>0</v>
      </c>
      <c r="M40" s="148">
        <v>0</v>
      </c>
      <c r="N40" s="148">
        <v>0</v>
      </c>
      <c r="O40" s="157">
        <v>0</v>
      </c>
      <c r="P40" s="156">
        <f t="shared" si="19"/>
        <v>2.0833333333333333E-3</v>
      </c>
      <c r="Q40" s="28"/>
      <c r="R40" s="28"/>
      <c r="U40" s="38"/>
    </row>
    <row r="41" spans="1:21" ht="15.75" thickBot="1" x14ac:dyDescent="0.3">
      <c r="A41" s="104"/>
      <c r="B41" s="149" t="s">
        <v>54</v>
      </c>
      <c r="C41" s="150"/>
      <c r="D41" s="151">
        <f>SUM(D37:D40)</f>
        <v>0.995</v>
      </c>
      <c r="E41" s="151">
        <f t="shared" ref="E41:O41" si="20">SUM(E37:E40)</f>
        <v>1</v>
      </c>
      <c r="F41" s="151">
        <f t="shared" si="20"/>
        <v>1</v>
      </c>
      <c r="G41" s="151">
        <f t="shared" si="20"/>
        <v>1</v>
      </c>
      <c r="H41" s="151">
        <f t="shared" si="20"/>
        <v>1</v>
      </c>
      <c r="I41" s="151">
        <f t="shared" si="20"/>
        <v>1</v>
      </c>
      <c r="J41" s="151">
        <f t="shared" si="20"/>
        <v>1</v>
      </c>
      <c r="K41" s="151">
        <f t="shared" si="20"/>
        <v>1</v>
      </c>
      <c r="L41" s="151">
        <f t="shared" si="20"/>
        <v>1</v>
      </c>
      <c r="M41" s="151">
        <f t="shared" si="20"/>
        <v>1</v>
      </c>
      <c r="N41" s="151">
        <f t="shared" si="20"/>
        <v>1</v>
      </c>
      <c r="O41" s="164">
        <f t="shared" si="20"/>
        <v>1</v>
      </c>
      <c r="P41" s="155"/>
      <c r="Q41" s="28"/>
      <c r="R41" s="28"/>
      <c r="U41" s="38"/>
    </row>
    <row r="42" spans="1:21" x14ac:dyDescent="0.25">
      <c r="A42" s="104"/>
      <c r="B42" s="54"/>
      <c r="C42" s="54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54"/>
      <c r="Q42" s="28"/>
      <c r="R42" s="28"/>
      <c r="U42" s="38"/>
    </row>
    <row r="43" spans="1:21" ht="15.75" thickBot="1" x14ac:dyDescent="0.3">
      <c r="A43" s="110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42"/>
    </row>
    <row r="45" spans="1:21" x14ac:dyDescent="0.25">
      <c r="H45" s="125"/>
    </row>
  </sheetData>
  <mergeCells count="6">
    <mergeCell ref="A1:V1"/>
    <mergeCell ref="R24:U24"/>
    <mergeCell ref="R28:U28"/>
    <mergeCell ref="R32:U32"/>
    <mergeCell ref="R34:U34"/>
    <mergeCell ref="P3:U3"/>
  </mergeCells>
  <conditionalFormatting sqref="U25">
    <cfRule type="containsText" dxfId="9" priority="3" operator="containsText" text="YES">
      <formula>NOT(ISERROR(SEARCH("YES",U25)))</formula>
    </cfRule>
    <cfRule type="containsText" dxfId="8" priority="4" operator="containsText" text="NO">
      <formula>NOT(ISERROR(SEARCH("NO",U25)))</formula>
    </cfRule>
  </conditionalFormatting>
  <conditionalFormatting sqref="U29 U33">
    <cfRule type="containsText" dxfId="7" priority="1" operator="containsText" text="YES">
      <formula>NOT(ISERROR(SEARCH("YES",U29)))</formula>
    </cfRule>
    <cfRule type="containsText" dxfId="6" priority="2" operator="containsText" text="NO">
      <formula>NOT(ISERROR(SEARCH("NO",U29)))</formula>
    </cfRule>
  </conditionalFormatting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9"/>
  <sheetViews>
    <sheetView zoomScale="80" zoomScaleNormal="80" workbookViewId="0">
      <selection activeCell="F16" sqref="F16"/>
    </sheetView>
  </sheetViews>
  <sheetFormatPr defaultRowHeight="15" x14ac:dyDescent="0.25"/>
  <cols>
    <col min="1" max="1" width="29.28515625" bestFit="1" customWidth="1"/>
    <col min="2" max="2" width="13.140625" bestFit="1" customWidth="1"/>
    <col min="3" max="3" width="12.28515625" bestFit="1" customWidth="1"/>
    <col min="4" max="5" width="11.28515625" bestFit="1" customWidth="1"/>
    <col min="6" max="6" width="10.85546875" bestFit="1" customWidth="1"/>
    <col min="7" max="7" width="12.28515625" bestFit="1" customWidth="1"/>
    <col min="8" max="8" width="13.28515625" customWidth="1"/>
  </cols>
  <sheetData>
    <row r="1" spans="1:33" ht="15.75" thickBot="1" x14ac:dyDescent="0.3">
      <c r="A1" s="186" t="s">
        <v>160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7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</row>
    <row r="2" spans="1:33" s="1" customFormat="1" ht="30" x14ac:dyDescent="0.25">
      <c r="A2" s="193" t="s">
        <v>58</v>
      </c>
      <c r="B2" s="194"/>
      <c r="C2" s="95" t="s">
        <v>59</v>
      </c>
      <c r="D2" s="96" t="s">
        <v>60</v>
      </c>
      <c r="E2" s="96" t="s">
        <v>61</v>
      </c>
      <c r="F2" s="97" t="s">
        <v>62</v>
      </c>
      <c r="G2" s="95" t="s">
        <v>12</v>
      </c>
      <c r="H2" s="98" t="s">
        <v>63</v>
      </c>
      <c r="I2" s="99"/>
      <c r="J2" s="99"/>
      <c r="K2" s="99"/>
      <c r="L2" s="99"/>
      <c r="M2" s="99"/>
      <c r="N2" s="99"/>
      <c r="O2" s="99"/>
      <c r="P2" s="99"/>
      <c r="Q2" s="99"/>
      <c r="R2" s="100"/>
      <c r="S2" s="100"/>
      <c r="T2" s="101"/>
    </row>
    <row r="3" spans="1:33" x14ac:dyDescent="0.25">
      <c r="A3" s="81"/>
      <c r="B3" s="28"/>
      <c r="C3" s="85"/>
      <c r="D3" s="86"/>
      <c r="E3" s="86"/>
      <c r="F3" s="87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T3" s="38"/>
    </row>
    <row r="4" spans="1:33" x14ac:dyDescent="0.25">
      <c r="A4" s="81"/>
      <c r="B4" s="28" t="str">
        <f>+C22</f>
        <v>July</v>
      </c>
      <c r="C4" s="22">
        <v>52528</v>
      </c>
      <c r="D4" s="22">
        <v>2438</v>
      </c>
      <c r="E4" s="22">
        <v>361</v>
      </c>
      <c r="F4" s="22">
        <v>0</v>
      </c>
      <c r="G4" s="22">
        <f t="shared" ref="G4:G15" si="0">SUM(C4:F4)</f>
        <v>55327</v>
      </c>
      <c r="H4" s="88">
        <f t="shared" ref="H4:H16" si="1">(+C4+D4)/G4</f>
        <v>0.99347515679505483</v>
      </c>
      <c r="I4" s="28"/>
      <c r="J4" s="28"/>
      <c r="K4" s="28"/>
      <c r="L4" s="28"/>
      <c r="M4" s="28"/>
      <c r="N4" s="28"/>
      <c r="O4" s="28"/>
      <c r="P4" s="28"/>
      <c r="Q4" s="28"/>
      <c r="T4" s="38"/>
    </row>
    <row r="5" spans="1:33" x14ac:dyDescent="0.25">
      <c r="A5" s="81"/>
      <c r="B5" s="28" t="str">
        <f>+D22</f>
        <v>August</v>
      </c>
      <c r="C5" s="22">
        <f>98622-C4</f>
        <v>46094</v>
      </c>
      <c r="D5" s="22">
        <f>2799-D4</f>
        <v>361</v>
      </c>
      <c r="E5" s="22">
        <f>1578-E4</f>
        <v>1217</v>
      </c>
      <c r="F5" s="22">
        <f>450-F4</f>
        <v>450</v>
      </c>
      <c r="G5" s="22">
        <f t="shared" si="0"/>
        <v>48122</v>
      </c>
      <c r="H5" s="88">
        <f>(+C5+D5)/G5</f>
        <v>0.96535887951456711</v>
      </c>
      <c r="I5" s="28"/>
      <c r="J5" s="28"/>
      <c r="K5" s="28"/>
      <c r="L5" s="28"/>
      <c r="M5" s="28"/>
      <c r="N5" s="28"/>
      <c r="O5" s="28"/>
      <c r="T5" s="38"/>
    </row>
    <row r="6" spans="1:33" x14ac:dyDescent="0.25">
      <c r="A6" s="81"/>
      <c r="B6" s="28" t="str">
        <f>+E22</f>
        <v>September</v>
      </c>
      <c r="C6" s="22">
        <f>144680-C5-C4</f>
        <v>46058</v>
      </c>
      <c r="D6" s="22">
        <f>4738-D5-D4</f>
        <v>1939</v>
      </c>
      <c r="E6" s="22">
        <f>1803-E5-E4</f>
        <v>225</v>
      </c>
      <c r="F6" s="22">
        <f>450-F5-F4</f>
        <v>0</v>
      </c>
      <c r="G6" s="22">
        <f t="shared" si="0"/>
        <v>48222</v>
      </c>
      <c r="H6" s="88">
        <f t="shared" si="1"/>
        <v>0.99533407988055245</v>
      </c>
      <c r="I6" s="28"/>
      <c r="J6" s="28"/>
      <c r="K6" s="28"/>
      <c r="L6" s="28"/>
      <c r="M6" s="28"/>
      <c r="N6" s="28"/>
      <c r="O6" s="28"/>
      <c r="P6" s="28"/>
      <c r="Q6" s="28"/>
      <c r="T6" s="38"/>
    </row>
    <row r="7" spans="1:33" x14ac:dyDescent="0.25">
      <c r="A7" s="81"/>
      <c r="B7" s="28" t="str">
        <f>+F22</f>
        <v>October</v>
      </c>
      <c r="C7" s="22">
        <f>201324-C6-C5-C4</f>
        <v>56644</v>
      </c>
      <c r="D7" s="22">
        <f>6979-D6-D5-D4</f>
        <v>2241</v>
      </c>
      <c r="E7" s="22">
        <f>3284-E6-E5-E4</f>
        <v>1481</v>
      </c>
      <c r="F7" s="22">
        <f>450-F6-F5-F4</f>
        <v>0</v>
      </c>
      <c r="G7" s="22">
        <f t="shared" si="0"/>
        <v>60366</v>
      </c>
      <c r="H7" s="88">
        <f t="shared" si="1"/>
        <v>0.97546632210184536</v>
      </c>
      <c r="I7" s="28"/>
      <c r="J7" s="28"/>
      <c r="K7" s="28"/>
      <c r="L7" s="28"/>
      <c r="M7" s="28"/>
      <c r="N7" s="28"/>
      <c r="O7" s="28"/>
      <c r="P7" s="28"/>
      <c r="Q7" s="28"/>
      <c r="T7" s="38"/>
    </row>
    <row r="8" spans="1:33" x14ac:dyDescent="0.25">
      <c r="A8" s="81"/>
      <c r="B8" s="28" t="str">
        <f>+G22</f>
        <v>November</v>
      </c>
      <c r="C8" s="22">
        <f>246579-C7-C6-C5-C4</f>
        <v>45255</v>
      </c>
      <c r="D8" s="22">
        <f>9263-D7-D6-D5-D4</f>
        <v>2284</v>
      </c>
      <c r="E8" s="22">
        <f>3284-E7-E6-E5-E4</f>
        <v>0</v>
      </c>
      <c r="F8" s="22">
        <f>450-F7-F6-F5-F4</f>
        <v>0</v>
      </c>
      <c r="G8" s="22">
        <f t="shared" si="0"/>
        <v>47539</v>
      </c>
      <c r="H8" s="88">
        <f t="shared" si="1"/>
        <v>1</v>
      </c>
      <c r="I8" s="28"/>
      <c r="J8" s="28"/>
      <c r="K8" s="28"/>
      <c r="L8" s="28"/>
      <c r="M8" s="28"/>
      <c r="N8" s="28"/>
      <c r="O8" s="28"/>
      <c r="P8" s="28"/>
      <c r="Q8" s="28"/>
      <c r="T8" s="38"/>
    </row>
    <row r="9" spans="1:33" x14ac:dyDescent="0.25">
      <c r="A9" s="81"/>
      <c r="B9" s="28" t="str">
        <f>+H22</f>
        <v>December</v>
      </c>
      <c r="C9" s="22">
        <f>293774-C8-C7-C6-C5-C4</f>
        <v>47195</v>
      </c>
      <c r="D9" s="22">
        <f>9797-D8-D7-D6-D5-D4</f>
        <v>534</v>
      </c>
      <c r="E9" s="22">
        <f>4495-E8-E7-E6-E5-E4</f>
        <v>1211</v>
      </c>
      <c r="F9" s="22">
        <f>450-F8-F7-F6-F5-F4</f>
        <v>0</v>
      </c>
      <c r="G9" s="22">
        <f t="shared" si="0"/>
        <v>48940</v>
      </c>
      <c r="H9" s="88">
        <f t="shared" si="1"/>
        <v>0.97525541479362488</v>
      </c>
      <c r="I9" s="28"/>
      <c r="J9" s="28"/>
      <c r="K9" s="28"/>
      <c r="L9" s="28"/>
      <c r="M9" s="28"/>
      <c r="N9" s="28"/>
      <c r="O9" s="28"/>
      <c r="P9" s="28"/>
      <c r="Q9" s="28"/>
      <c r="T9" s="38"/>
    </row>
    <row r="10" spans="1:33" x14ac:dyDescent="0.25">
      <c r="A10" s="81"/>
      <c r="B10" s="28" t="str">
        <f>+I22</f>
        <v>January</v>
      </c>
      <c r="C10" s="22">
        <f>321860-C9-C8-C7-C6-C5-C4</f>
        <v>28086</v>
      </c>
      <c r="D10" s="22">
        <f>11513-D9-D8-D7-D6-D5-D4</f>
        <v>1716</v>
      </c>
      <c r="E10" s="22">
        <f>5395-E9-E8-E7-E6-E5-E4</f>
        <v>900</v>
      </c>
      <c r="F10" s="22">
        <f>450-F9-F8-F7-F6-F5-F4</f>
        <v>0</v>
      </c>
      <c r="G10" s="22">
        <f t="shared" si="0"/>
        <v>30702</v>
      </c>
      <c r="H10" s="88">
        <f t="shared" si="1"/>
        <v>0.97068594879812387</v>
      </c>
      <c r="I10" s="28"/>
      <c r="J10" s="28"/>
      <c r="K10" s="28"/>
      <c r="L10" s="28"/>
      <c r="M10" s="28"/>
      <c r="N10" s="28"/>
      <c r="O10" s="28"/>
      <c r="P10" s="28"/>
      <c r="Q10" s="28"/>
      <c r="T10" s="38"/>
    </row>
    <row r="11" spans="1:33" x14ac:dyDescent="0.25">
      <c r="A11" s="81"/>
      <c r="B11" s="28" t="str">
        <f>+J22</f>
        <v>February</v>
      </c>
      <c r="C11" s="22">
        <f>380077-C10-C9-C8-C7-C6-C5-C4</f>
        <v>58217</v>
      </c>
      <c r="D11" s="22">
        <f>13214-D10-D9-D8-D7-D6-D5-D4</f>
        <v>1701</v>
      </c>
      <c r="E11" s="22">
        <f>6385-E10-E9-E8-E7-E6-E5-E4</f>
        <v>990</v>
      </c>
      <c r="F11" s="22">
        <f>450-F10-F9-F8-F7-F6-F5-F4</f>
        <v>0</v>
      </c>
      <c r="G11" s="22">
        <f t="shared" si="0"/>
        <v>60908</v>
      </c>
      <c r="H11" s="88">
        <f t="shared" si="1"/>
        <v>0.98374597753989623</v>
      </c>
      <c r="I11" s="28"/>
      <c r="J11" s="28"/>
      <c r="K11" s="28"/>
      <c r="L11" s="28"/>
      <c r="M11" s="28"/>
      <c r="N11" s="28"/>
      <c r="O11" s="28"/>
      <c r="P11" s="28"/>
      <c r="Q11" s="28"/>
      <c r="T11" s="38"/>
    </row>
    <row r="12" spans="1:33" x14ac:dyDescent="0.25">
      <c r="A12" s="81"/>
      <c r="B12" s="28" t="str">
        <f>+K22</f>
        <v>March</v>
      </c>
      <c r="C12" s="22">
        <f>440075-C11-C10-C9-C8-C7-C6-C5-C4</f>
        <v>59998</v>
      </c>
      <c r="D12" s="22">
        <f>13214-D11-D10-D9-D8-D7-D6-D5-D4</f>
        <v>0</v>
      </c>
      <c r="E12" s="22">
        <f>6779-E11-E10-E9-E8-E7-E6-E5-E4</f>
        <v>394</v>
      </c>
      <c r="F12" s="22">
        <f>673-F11-F10-F9-F8-F7-F6-F5-F4</f>
        <v>223</v>
      </c>
      <c r="G12" s="22">
        <f t="shared" si="0"/>
        <v>60615</v>
      </c>
      <c r="H12" s="88">
        <f t="shared" si="1"/>
        <v>0.98982100140229312</v>
      </c>
      <c r="I12" s="28"/>
      <c r="J12" s="28"/>
      <c r="K12" s="28"/>
      <c r="L12" s="28"/>
      <c r="M12" s="28"/>
      <c r="N12" s="28"/>
      <c r="O12" s="28"/>
      <c r="P12" s="28"/>
      <c r="Q12" s="28"/>
      <c r="T12" s="38"/>
    </row>
    <row r="13" spans="1:33" x14ac:dyDescent="0.25">
      <c r="A13" s="81"/>
      <c r="B13" s="28" t="str">
        <f>+L22</f>
        <v>April</v>
      </c>
      <c r="C13" s="22">
        <f>492793-C12-C11-C10-C9-C8-C7-C6-C5-C4</f>
        <v>52718</v>
      </c>
      <c r="D13" s="22">
        <f>13643-D12-D11-D10-D9-D8-D7-D6-D5-D4</f>
        <v>429</v>
      </c>
      <c r="E13" s="22">
        <f>6779-E12-E11-E10-E9-E8-E7-E6-E5-E4</f>
        <v>0</v>
      </c>
      <c r="F13" s="22">
        <f>673-F12-F11-F10-F9-F8-F7-F6-F5-F4</f>
        <v>0</v>
      </c>
      <c r="G13" s="22">
        <f t="shared" si="0"/>
        <v>53147</v>
      </c>
      <c r="H13" s="88">
        <f t="shared" si="1"/>
        <v>1</v>
      </c>
      <c r="I13" s="28"/>
      <c r="J13" s="28"/>
      <c r="K13" s="28"/>
      <c r="L13" s="28"/>
      <c r="M13" s="28"/>
      <c r="N13" s="28"/>
      <c r="O13" s="28"/>
      <c r="P13" s="28"/>
      <c r="Q13" s="28"/>
      <c r="T13" s="38"/>
    </row>
    <row r="14" spans="1:33" x14ac:dyDescent="0.25">
      <c r="A14" s="81"/>
      <c r="B14" s="28" t="str">
        <f>+M22</f>
        <v>May</v>
      </c>
      <c r="C14" s="22">
        <f>553706-C13-C12-C11-C10-C9-C8-C7-C6-C5-C4</f>
        <v>60913</v>
      </c>
      <c r="D14" s="22">
        <f>15891-D13-D12-D11-D10-D9-D8-D7-D6-D5-D4</f>
        <v>2248</v>
      </c>
      <c r="E14" s="22">
        <f>6779-E13-E12-E11-E10-E9-E8-E7-E6-E5-E4</f>
        <v>0</v>
      </c>
      <c r="F14" s="22">
        <f>673-F13-F12-F11-F10-F9-F8-F7-F6-F5-F4</f>
        <v>0</v>
      </c>
      <c r="G14" s="22">
        <f t="shared" si="0"/>
        <v>63161</v>
      </c>
      <c r="H14" s="88">
        <f t="shared" si="1"/>
        <v>1</v>
      </c>
      <c r="I14" s="28"/>
      <c r="J14" s="28"/>
      <c r="K14" s="28"/>
      <c r="L14" s="28"/>
      <c r="M14" s="28"/>
      <c r="N14" s="28"/>
      <c r="O14" s="28"/>
      <c r="P14" s="28"/>
      <c r="Q14" s="28"/>
      <c r="T14" s="38"/>
    </row>
    <row r="15" spans="1:33" ht="15.75" thickBot="1" x14ac:dyDescent="0.3">
      <c r="A15" s="81"/>
      <c r="B15" s="28" t="str">
        <f>+N22</f>
        <v>June</v>
      </c>
      <c r="C15" s="22">
        <f>582139-C14-C13-C12-C11-C10-C9-C8-C7-C6-C5-C4</f>
        <v>28433</v>
      </c>
      <c r="D15" s="22">
        <f>16771-D14-D13-D12-D11-D10-D9-D8-D7-D6-D5-D4</f>
        <v>880</v>
      </c>
      <c r="E15" s="22">
        <f>6779-E14-E13-E12-E11-E10-E9-E8-E7-E6-E5-E4</f>
        <v>0</v>
      </c>
      <c r="F15" s="22">
        <f>673-F14-F13-F12-F11-F10-F9-F8-F7-F6-F5-F4</f>
        <v>0</v>
      </c>
      <c r="G15" s="22">
        <f t="shared" si="0"/>
        <v>29313</v>
      </c>
      <c r="H15" s="88">
        <f t="shared" si="1"/>
        <v>1</v>
      </c>
      <c r="I15" s="28"/>
      <c r="J15" s="28"/>
      <c r="K15" s="28"/>
      <c r="L15" s="28"/>
      <c r="M15" s="28"/>
      <c r="N15" s="28"/>
      <c r="O15" s="28"/>
      <c r="P15" s="28"/>
      <c r="Q15" s="28"/>
      <c r="T15" s="38"/>
    </row>
    <row r="16" spans="1:33" ht="19.5" thickBot="1" x14ac:dyDescent="0.35">
      <c r="A16" s="81"/>
      <c r="B16" s="28" t="s">
        <v>12</v>
      </c>
      <c r="C16" s="4">
        <f>SUM(C4:C15)</f>
        <v>582139</v>
      </c>
      <c r="D16" s="4">
        <f>SUM(D4:D15)</f>
        <v>16771</v>
      </c>
      <c r="E16" s="4">
        <f>SUM(E4:E15)</f>
        <v>6779</v>
      </c>
      <c r="F16" s="4">
        <f>SUM(F4:F15)</f>
        <v>673</v>
      </c>
      <c r="G16" s="4">
        <f>SUM(G4:G15)</f>
        <v>606362</v>
      </c>
      <c r="H16" s="146">
        <f t="shared" si="1"/>
        <v>0.98771031166201051</v>
      </c>
      <c r="I16" s="28"/>
      <c r="J16" s="28"/>
      <c r="K16" s="28"/>
      <c r="L16" s="28"/>
      <c r="M16" s="28"/>
      <c r="N16" s="28"/>
      <c r="O16" s="28"/>
      <c r="P16" s="66" t="s">
        <v>64</v>
      </c>
      <c r="Q16" s="70"/>
      <c r="R16" s="67"/>
      <c r="S16" s="67"/>
      <c r="T16" s="92" t="str">
        <f>IF(H16&gt;75%,"YES","NO")</f>
        <v>YES</v>
      </c>
    </row>
    <row r="17" spans="1:20" ht="15.75" thickTop="1" x14ac:dyDescent="0.25">
      <c r="A17" s="102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T17" s="38"/>
    </row>
    <row r="18" spans="1:20" x14ac:dyDescent="0.25">
      <c r="A18" s="104"/>
      <c r="T18" s="38"/>
    </row>
    <row r="19" spans="1:20" x14ac:dyDescent="0.25">
      <c r="A19" s="104"/>
      <c r="T19" s="38"/>
    </row>
    <row r="20" spans="1:20" ht="15.75" thickBot="1" x14ac:dyDescent="0.3">
      <c r="A20" s="105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7"/>
      <c r="S20" s="107"/>
      <c r="T20" s="108"/>
    </row>
    <row r="21" spans="1:20" ht="15.75" thickBot="1" x14ac:dyDescent="0.3">
      <c r="A21" s="81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T21" s="38"/>
    </row>
    <row r="22" spans="1:20" ht="24" thickBot="1" x14ac:dyDescent="0.4">
      <c r="A22" s="195" t="s">
        <v>55</v>
      </c>
      <c r="B22" s="196"/>
      <c r="C22" s="74" t="s">
        <v>0</v>
      </c>
      <c r="D22" s="75" t="s">
        <v>1</v>
      </c>
      <c r="E22" s="76" t="s">
        <v>2</v>
      </c>
      <c r="F22" s="77" t="s">
        <v>3</v>
      </c>
      <c r="G22" s="78" t="s">
        <v>4</v>
      </c>
      <c r="H22" s="79" t="s">
        <v>5</v>
      </c>
      <c r="I22" s="74" t="s">
        <v>6</v>
      </c>
      <c r="J22" s="75" t="s">
        <v>7</v>
      </c>
      <c r="K22" s="76" t="s">
        <v>8</v>
      </c>
      <c r="L22" s="77" t="s">
        <v>9</v>
      </c>
      <c r="M22" s="78" t="s">
        <v>10</v>
      </c>
      <c r="N22" s="79" t="s">
        <v>11</v>
      </c>
      <c r="O22" s="80" t="s">
        <v>12</v>
      </c>
      <c r="P22" s="33"/>
      <c r="Q22" s="28"/>
      <c r="T22" s="38"/>
    </row>
    <row r="23" spans="1:20" ht="15.75" thickBot="1" x14ac:dyDescent="0.3">
      <c r="A23" s="81"/>
      <c r="B23" s="28"/>
      <c r="C23" s="82" t="s">
        <v>117</v>
      </c>
      <c r="D23" s="82" t="s">
        <v>117</v>
      </c>
      <c r="E23" s="82" t="s">
        <v>117</v>
      </c>
      <c r="F23" s="82" t="s">
        <v>117</v>
      </c>
      <c r="G23" s="82" t="s">
        <v>117</v>
      </c>
      <c r="H23" s="82" t="s">
        <v>117</v>
      </c>
      <c r="I23" s="82" t="s">
        <v>117</v>
      </c>
      <c r="J23" s="82" t="s">
        <v>117</v>
      </c>
      <c r="K23" s="82" t="s">
        <v>117</v>
      </c>
      <c r="L23" s="82"/>
      <c r="M23" s="82"/>
      <c r="N23" s="82"/>
      <c r="O23" s="28"/>
      <c r="P23" s="28"/>
      <c r="Q23" s="28"/>
      <c r="T23" s="38"/>
    </row>
    <row r="24" spans="1:20" ht="19.5" thickBot="1" x14ac:dyDescent="0.35">
      <c r="A24" s="81"/>
      <c r="B24" s="28" t="s">
        <v>56</v>
      </c>
      <c r="C24" s="83">
        <v>0</v>
      </c>
      <c r="D24" s="83">
        <v>0</v>
      </c>
      <c r="E24" s="83">
        <v>0</v>
      </c>
      <c r="F24" s="83">
        <v>0</v>
      </c>
      <c r="G24" s="83">
        <v>0</v>
      </c>
      <c r="H24" s="83">
        <v>0</v>
      </c>
      <c r="I24" s="83">
        <v>0</v>
      </c>
      <c r="J24" s="83">
        <v>0</v>
      </c>
      <c r="K24" s="83">
        <v>0</v>
      </c>
      <c r="L24" s="83"/>
      <c r="M24" s="83"/>
      <c r="N24" s="83"/>
      <c r="O24" s="83">
        <f>SUM(C24:N24)</f>
        <v>0</v>
      </c>
      <c r="P24" s="66" t="s">
        <v>55</v>
      </c>
      <c r="Q24" s="70"/>
      <c r="R24" s="67"/>
      <c r="S24" s="67"/>
      <c r="T24" s="92" t="str">
        <f>IF(O24&gt;0,"YES","NO")</f>
        <v>NO</v>
      </c>
    </row>
    <row r="25" spans="1:20" x14ac:dyDescent="0.25">
      <c r="A25" s="81"/>
      <c r="B25" s="28" t="s">
        <v>57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0</v>
      </c>
      <c r="I25" s="84">
        <v>0</v>
      </c>
      <c r="J25" s="84">
        <v>0</v>
      </c>
      <c r="K25" s="84">
        <v>0</v>
      </c>
      <c r="L25" s="84"/>
      <c r="M25" s="84"/>
      <c r="N25" s="84"/>
      <c r="O25" s="84">
        <f>SUM(C25:N25)</f>
        <v>0</v>
      </c>
      <c r="P25" s="28"/>
      <c r="Q25" s="28"/>
      <c r="T25" s="38"/>
    </row>
    <row r="26" spans="1:20" ht="15.75" thickBot="1" x14ac:dyDescent="0.3">
      <c r="A26" s="93"/>
      <c r="B26" s="41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41"/>
      <c r="Q26" s="41"/>
      <c r="R26" s="39"/>
      <c r="S26" s="39"/>
      <c r="T26" s="42"/>
    </row>
    <row r="28" spans="1:20" ht="23.25" x14ac:dyDescent="0.35">
      <c r="A28" s="145" t="s">
        <v>94</v>
      </c>
    </row>
    <row r="29" spans="1:20" x14ac:dyDescent="0.25">
      <c r="A29" t="s">
        <v>95</v>
      </c>
      <c r="B29" t="s">
        <v>96</v>
      </c>
      <c r="C29" t="s">
        <v>97</v>
      </c>
      <c r="D29" t="s">
        <v>98</v>
      </c>
      <c r="E29" t="s">
        <v>99</v>
      </c>
      <c r="F29" t="s">
        <v>100</v>
      </c>
      <c r="G29" t="s">
        <v>101</v>
      </c>
      <c r="H29" t="s">
        <v>102</v>
      </c>
      <c r="I29" t="s">
        <v>103</v>
      </c>
      <c r="J29" t="s">
        <v>104</v>
      </c>
      <c r="K29" t="s">
        <v>105</v>
      </c>
      <c r="L29" t="s">
        <v>106</v>
      </c>
    </row>
  </sheetData>
  <mergeCells count="3">
    <mergeCell ref="A1:T1"/>
    <mergeCell ref="A2:B2"/>
    <mergeCell ref="A22:B22"/>
  </mergeCells>
  <conditionalFormatting sqref="T16">
    <cfRule type="containsText" dxfId="5" priority="15" operator="containsText" text="YES">
      <formula>NOT(ISERROR(SEARCH("YES",T22)))</formula>
    </cfRule>
    <cfRule type="containsText" dxfId="4" priority="16" operator="containsText" text="NO">
      <formula>NOT(ISERROR(SEARCH("NO",T22)))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text="NO" id="{BD9B45CD-50D1-451B-A480-2CA8F615A5E2}">
            <xm:f>NOT(ISERROR(SEARCH("NO",'Income Statement'!T4)))</xm:f>
            <x14:dxf>
              <font>
                <color rgb="FF00B050"/>
              </font>
            </x14:dxf>
          </x14:cfRule>
          <x14:cfRule type="containsText" priority="4" operator="containsText" text="YES" id="{967664F3-0853-426A-B3BC-F439EAD7CB24}">
            <xm:f>NOT(ISERROR(SEARCH("YES",'Income Statement'!T4)))</xm:f>
            <x14:dxf>
              <font>
                <color rgb="FF9C0006"/>
              </font>
            </x14:dxf>
          </x14:cfRule>
          <x14:cfRule type="containsText" priority="5" operator="containsText" text="YES" id="{CF652DA3-2A64-42B4-A479-D9373BBF8462}">
            <xm:f>NOT(ISERROR(SEARCH("YES",'Income Statement'!T4)))</xm:f>
            <x14:dxf>
              <font>
                <color rgb="FF00B050"/>
              </font>
            </x14:dxf>
          </x14:cfRule>
          <x14:cfRule type="containsText" priority="6" operator="containsText" text="NO" id="{553C638E-A632-4956-87D6-9718248E0CB0}">
            <xm:f>NOT(ISERROR(SEARCH("NO",'Income Statement'!T4)))</xm:f>
            <x14:dxf>
              <font>
                <color rgb="FF9C0006"/>
              </font>
            </x14:dxf>
          </x14:cfRule>
          <xm:sqref>T24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G63"/>
  <sheetViews>
    <sheetView zoomScale="80" zoomScaleNormal="80" workbookViewId="0">
      <selection activeCell="N13" sqref="N13"/>
    </sheetView>
  </sheetViews>
  <sheetFormatPr defaultRowHeight="15" x14ac:dyDescent="0.25"/>
  <cols>
    <col min="1" max="1" width="10.28515625" bestFit="1" customWidth="1"/>
    <col min="2" max="2" width="30.140625" bestFit="1" customWidth="1"/>
    <col min="3" max="3" width="12" customWidth="1"/>
    <col min="4" max="4" width="10.140625" customWidth="1"/>
    <col min="5" max="5" width="11.28515625" customWidth="1"/>
    <col min="6" max="6" width="10.85546875" customWidth="1"/>
    <col min="7" max="7" width="11.28515625" customWidth="1"/>
    <col min="8" max="8" width="12.140625" customWidth="1"/>
    <col min="9" max="11" width="10.140625" customWidth="1"/>
    <col min="12" max="12" width="9.28515625" bestFit="1" customWidth="1"/>
    <col min="13" max="14" width="11.42578125" customWidth="1"/>
    <col min="15" max="15" width="10.140625" bestFit="1" customWidth="1"/>
    <col min="16" max="16" width="9.28515625" bestFit="1" customWidth="1"/>
    <col min="17" max="17" width="13.7109375" bestFit="1" customWidth="1"/>
    <col min="18" max="18" width="15.5703125" bestFit="1" customWidth="1"/>
    <col min="23" max="23" width="9.28515625" bestFit="1" customWidth="1"/>
    <col min="27" max="27" width="11.28515625" bestFit="1" customWidth="1"/>
    <col min="28" max="28" width="10" bestFit="1" customWidth="1"/>
  </cols>
  <sheetData>
    <row r="1" spans="1:33" ht="15.75" thickBot="1" x14ac:dyDescent="0.3">
      <c r="A1" s="186" t="s">
        <v>161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7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</row>
    <row r="2" spans="1:33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5"/>
    </row>
    <row r="3" spans="1:33" s="1" customFormat="1" x14ac:dyDescent="0.25">
      <c r="C3" s="36" t="s">
        <v>0</v>
      </c>
      <c r="D3" s="36" t="s">
        <v>1</v>
      </c>
      <c r="E3" s="36" t="s">
        <v>2</v>
      </c>
      <c r="F3" s="36" t="s">
        <v>3</v>
      </c>
      <c r="G3" s="36" t="s">
        <v>4</v>
      </c>
      <c r="H3" s="36" t="s">
        <v>5</v>
      </c>
      <c r="I3" s="36" t="s">
        <v>6</v>
      </c>
      <c r="J3" s="36" t="s">
        <v>7</v>
      </c>
      <c r="K3" s="36" t="s">
        <v>8</v>
      </c>
      <c r="L3" s="36" t="s">
        <v>9</v>
      </c>
      <c r="M3" s="36" t="s">
        <v>10</v>
      </c>
      <c r="N3" s="36" t="s">
        <v>11</v>
      </c>
      <c r="O3" s="36" t="s">
        <v>12</v>
      </c>
      <c r="T3" s="37"/>
    </row>
    <row r="4" spans="1:33" x14ac:dyDescent="0.25">
      <c r="B4" t="s">
        <v>13</v>
      </c>
      <c r="C4" s="22">
        <v>55733</v>
      </c>
      <c r="D4" s="22">
        <v>48345</v>
      </c>
      <c r="E4" s="22">
        <v>49095</v>
      </c>
      <c r="F4" s="22">
        <v>60113</v>
      </c>
      <c r="G4" s="22">
        <v>47286</v>
      </c>
      <c r="H4" s="22">
        <v>49334</v>
      </c>
      <c r="I4" s="22">
        <v>31238</v>
      </c>
      <c r="J4" s="22">
        <v>60518</v>
      </c>
      <c r="K4" s="22">
        <v>57200</v>
      </c>
      <c r="L4" s="22">
        <v>53147</v>
      </c>
      <c r="M4" s="22">
        <v>63161</v>
      </c>
      <c r="N4" s="22">
        <v>29453</v>
      </c>
      <c r="O4" s="22">
        <f>SUM(C4:N4)</f>
        <v>604623</v>
      </c>
      <c r="P4" s="22"/>
      <c r="Q4" s="28"/>
      <c r="R4" s="28"/>
      <c r="S4" s="28"/>
      <c r="T4" s="38"/>
    </row>
    <row r="5" spans="1:33" x14ac:dyDescent="0.25">
      <c r="B5" t="s">
        <v>14</v>
      </c>
      <c r="C5" s="3">
        <v>-20282.71</v>
      </c>
      <c r="D5" s="3">
        <v>-26222.23</v>
      </c>
      <c r="E5" s="3">
        <v>-17223.21</v>
      </c>
      <c r="F5" s="3">
        <v>-26668.92</v>
      </c>
      <c r="G5" s="3">
        <f>-534-18265.28</f>
        <v>-18799.28</v>
      </c>
      <c r="H5" s="3">
        <f>-534-20430.19</f>
        <v>-20964.189999999999</v>
      </c>
      <c r="I5" s="3">
        <f>-30-18947.91</f>
        <v>-18977.91</v>
      </c>
      <c r="J5" s="3">
        <f>-534-22456.89</f>
        <v>-22990.89</v>
      </c>
      <c r="K5" s="3">
        <f>-743-26247.37</f>
        <v>-26990.37</v>
      </c>
      <c r="L5" s="3">
        <f>-639-25267.63</f>
        <v>-25906.63</v>
      </c>
      <c r="M5" s="3">
        <v>-25213.89</v>
      </c>
      <c r="N5" s="3">
        <f>-889-20744.4</f>
        <v>-21633.4</v>
      </c>
      <c r="O5" s="3">
        <f>SUM(C5:N5)</f>
        <v>-271873.63000000006</v>
      </c>
      <c r="P5" s="22"/>
      <c r="Q5" s="28"/>
      <c r="R5" s="28"/>
      <c r="S5" s="28"/>
      <c r="T5" s="38"/>
    </row>
    <row r="6" spans="1:33" x14ac:dyDescent="0.25">
      <c r="B6" t="s">
        <v>15</v>
      </c>
      <c r="C6" s="22">
        <f t="shared" ref="C6:O6" si="0">SUM(C4:C5)</f>
        <v>35450.29</v>
      </c>
      <c r="D6" s="22">
        <f t="shared" si="0"/>
        <v>22122.77</v>
      </c>
      <c r="E6" s="22">
        <f t="shared" si="0"/>
        <v>31871.79</v>
      </c>
      <c r="F6" s="22">
        <f t="shared" si="0"/>
        <v>33444.080000000002</v>
      </c>
      <c r="G6" s="22">
        <f t="shared" si="0"/>
        <v>28486.720000000001</v>
      </c>
      <c r="H6" s="22">
        <f t="shared" si="0"/>
        <v>28369.81</v>
      </c>
      <c r="I6" s="22">
        <f t="shared" si="0"/>
        <v>12260.09</v>
      </c>
      <c r="J6" s="22">
        <f t="shared" si="0"/>
        <v>37527.11</v>
      </c>
      <c r="K6" s="22">
        <f t="shared" si="0"/>
        <v>30209.63</v>
      </c>
      <c r="L6" s="22">
        <f t="shared" si="0"/>
        <v>27240.37</v>
      </c>
      <c r="M6" s="22">
        <f t="shared" si="0"/>
        <v>37947.11</v>
      </c>
      <c r="N6" s="22">
        <f t="shared" si="0"/>
        <v>7819.5999999999985</v>
      </c>
      <c r="O6" s="22">
        <f t="shared" si="0"/>
        <v>332749.36999999994</v>
      </c>
      <c r="P6" s="22"/>
      <c r="Q6" s="28"/>
      <c r="R6" s="28"/>
      <c r="S6" s="28"/>
      <c r="T6" s="38"/>
    </row>
    <row r="7" spans="1:33" x14ac:dyDescent="0.25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8"/>
      <c r="R7" s="28"/>
      <c r="S7" s="28"/>
      <c r="T7" s="38"/>
    </row>
    <row r="8" spans="1:33" x14ac:dyDescent="0.25">
      <c r="B8" t="s">
        <v>41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SUM(C8:N8)</f>
        <v>0</v>
      </c>
      <c r="P8" s="22"/>
      <c r="Q8" s="28"/>
      <c r="R8" s="28"/>
      <c r="S8" s="28"/>
      <c r="T8" s="38"/>
    </row>
    <row r="9" spans="1:33" x14ac:dyDescent="0.25"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8"/>
      <c r="R9" s="28"/>
      <c r="S9" s="28"/>
      <c r="T9" s="38"/>
    </row>
    <row r="10" spans="1:33" x14ac:dyDescent="0.25">
      <c r="B10" t="s">
        <v>42</v>
      </c>
      <c r="C10" s="3">
        <f>+C6</f>
        <v>35450.29</v>
      </c>
      <c r="D10" s="3">
        <f t="shared" ref="D10:O10" si="1">+D6</f>
        <v>22122.77</v>
      </c>
      <c r="E10" s="3">
        <f t="shared" si="1"/>
        <v>31871.79</v>
      </c>
      <c r="F10" s="3">
        <f t="shared" si="1"/>
        <v>33444.080000000002</v>
      </c>
      <c r="G10" s="3">
        <f t="shared" si="1"/>
        <v>28486.720000000001</v>
      </c>
      <c r="H10" s="3">
        <f t="shared" si="1"/>
        <v>28369.81</v>
      </c>
      <c r="I10" s="3">
        <f t="shared" si="1"/>
        <v>12260.09</v>
      </c>
      <c r="J10" s="3">
        <f t="shared" si="1"/>
        <v>37527.11</v>
      </c>
      <c r="K10" s="3">
        <f t="shared" si="1"/>
        <v>30209.63</v>
      </c>
      <c r="L10" s="3">
        <f t="shared" si="1"/>
        <v>27240.37</v>
      </c>
      <c r="M10" s="3">
        <f t="shared" si="1"/>
        <v>37947.11</v>
      </c>
      <c r="N10" s="3">
        <f t="shared" si="1"/>
        <v>7819.5999999999985</v>
      </c>
      <c r="O10" s="3">
        <f t="shared" si="1"/>
        <v>332749.36999999994</v>
      </c>
      <c r="P10" s="22"/>
      <c r="Q10" s="28"/>
      <c r="R10" s="28"/>
      <c r="S10" s="28"/>
      <c r="T10" s="38"/>
    </row>
    <row r="11" spans="1:33" x14ac:dyDescent="0.25"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8"/>
      <c r="R11" s="28"/>
      <c r="S11" s="28"/>
      <c r="T11" s="38"/>
    </row>
    <row r="12" spans="1:33" x14ac:dyDescent="0.25">
      <c r="B12" t="s">
        <v>92</v>
      </c>
      <c r="C12" s="22">
        <f>+(3118.09)*1.048+(2237.84)*1.048+(13584.95)*1.336+806.6</f>
        <v>24569.107840000001</v>
      </c>
      <c r="D12" s="22">
        <f t="shared" ref="D12:M12" si="2">+(3118.09)*1.048+(2237.83)*1.048+(14050)*1.336+806.6</f>
        <v>25190.404159999998</v>
      </c>
      <c r="E12" s="22">
        <f t="shared" si="2"/>
        <v>25190.404159999998</v>
      </c>
      <c r="F12" s="22">
        <f t="shared" si="2"/>
        <v>25190.404159999998</v>
      </c>
      <c r="G12" s="22">
        <f t="shared" si="2"/>
        <v>25190.404159999998</v>
      </c>
      <c r="H12" s="22">
        <f t="shared" si="2"/>
        <v>25190.404159999998</v>
      </c>
      <c r="I12" s="22">
        <f t="shared" si="2"/>
        <v>25190.404159999998</v>
      </c>
      <c r="J12" s="22">
        <f t="shared" si="2"/>
        <v>25190.404159999998</v>
      </c>
      <c r="K12" s="22">
        <f t="shared" si="2"/>
        <v>25190.404159999998</v>
      </c>
      <c r="L12" s="22">
        <f t="shared" si="2"/>
        <v>25190.404159999998</v>
      </c>
      <c r="M12" s="22">
        <f t="shared" si="2"/>
        <v>25190.404159999998</v>
      </c>
      <c r="N12" s="22">
        <v>25770.42</v>
      </c>
      <c r="O12" s="22">
        <f>SUM(C12:N12)</f>
        <v>302243.56943999999</v>
      </c>
      <c r="P12" s="22"/>
      <c r="Q12" s="22"/>
      <c r="R12" s="28"/>
      <c r="S12" s="28"/>
      <c r="T12" s="38"/>
      <c r="W12" s="89"/>
    </row>
    <row r="13" spans="1:33" x14ac:dyDescent="0.25"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8"/>
      <c r="R13" s="28"/>
      <c r="S13" s="28"/>
      <c r="T13" s="38"/>
    </row>
    <row r="14" spans="1:33" x14ac:dyDescent="0.25">
      <c r="B14" t="s">
        <v>16</v>
      </c>
      <c r="C14" s="22">
        <f t="shared" ref="C14:O14" si="3">+C6*0.35</f>
        <v>12407.601499999999</v>
      </c>
      <c r="D14" s="22">
        <f t="shared" si="3"/>
        <v>7742.9694999999992</v>
      </c>
      <c r="E14" s="22">
        <f t="shared" si="3"/>
        <v>11155.1265</v>
      </c>
      <c r="F14" s="22">
        <f t="shared" si="3"/>
        <v>11705.428</v>
      </c>
      <c r="G14" s="22">
        <f t="shared" si="3"/>
        <v>9970.351999999999</v>
      </c>
      <c r="H14" s="22">
        <f t="shared" si="3"/>
        <v>9929.4334999999992</v>
      </c>
      <c r="I14" s="22">
        <f t="shared" si="3"/>
        <v>4291.0315000000001</v>
      </c>
      <c r="J14" s="22">
        <f t="shared" si="3"/>
        <v>13134.488499999999</v>
      </c>
      <c r="K14" s="22">
        <f t="shared" si="3"/>
        <v>10573.370499999999</v>
      </c>
      <c r="L14" s="22">
        <f t="shared" si="3"/>
        <v>9534.1294999999991</v>
      </c>
      <c r="M14" s="22">
        <f t="shared" si="3"/>
        <v>13281.488499999999</v>
      </c>
      <c r="N14" s="22">
        <f t="shared" si="3"/>
        <v>2736.8599999999992</v>
      </c>
      <c r="O14" s="22">
        <f t="shared" si="3"/>
        <v>116462.27949999998</v>
      </c>
      <c r="P14" s="22"/>
      <c r="Q14" s="28"/>
      <c r="R14" s="28"/>
      <c r="S14" s="28"/>
      <c r="T14" s="38"/>
    </row>
    <row r="15" spans="1:33" hidden="1" x14ac:dyDescent="0.25">
      <c r="B15" t="s">
        <v>77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>
        <f>SUM(C15:N15)</f>
        <v>0</v>
      </c>
      <c r="P15" s="22"/>
      <c r="Q15" s="28"/>
      <c r="R15" s="28"/>
      <c r="S15" s="28"/>
      <c r="T15" s="38"/>
    </row>
    <row r="16" spans="1:33" x14ac:dyDescent="0.25">
      <c r="B16" t="s">
        <v>115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>
        <f t="shared" ref="O16" si="4">SUM(C16:N16)</f>
        <v>0</v>
      </c>
      <c r="P16" s="22"/>
      <c r="Q16" s="28"/>
      <c r="R16" s="28"/>
      <c r="S16" s="28"/>
      <c r="T16" s="38"/>
    </row>
    <row r="17" spans="1:20" x14ac:dyDescent="0.25"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8"/>
      <c r="R17" s="28"/>
      <c r="S17" s="28"/>
      <c r="T17" s="38"/>
    </row>
    <row r="18" spans="1:20" x14ac:dyDescent="0.25">
      <c r="B18" t="s">
        <v>17</v>
      </c>
      <c r="C18" s="3">
        <f t="shared" ref="C18:N18" si="5">+C12+C14+C16+C15</f>
        <v>36976.709340000001</v>
      </c>
      <c r="D18" s="3">
        <f t="shared" si="5"/>
        <v>32933.373659999997</v>
      </c>
      <c r="E18" s="3">
        <f t="shared" si="5"/>
        <v>36345.530659999997</v>
      </c>
      <c r="F18" s="3">
        <f t="shared" si="5"/>
        <v>36895.832159999998</v>
      </c>
      <c r="G18" s="3">
        <f t="shared" si="5"/>
        <v>35160.756159999997</v>
      </c>
      <c r="H18" s="3">
        <f t="shared" si="5"/>
        <v>35119.837659999997</v>
      </c>
      <c r="I18" s="3">
        <f t="shared" si="5"/>
        <v>29481.435659999999</v>
      </c>
      <c r="J18" s="3">
        <f t="shared" si="5"/>
        <v>38324.892659999998</v>
      </c>
      <c r="K18" s="3">
        <f t="shared" si="5"/>
        <v>35763.774659999995</v>
      </c>
      <c r="L18" s="3">
        <f t="shared" si="5"/>
        <v>34724.533660000001</v>
      </c>
      <c r="M18" s="3">
        <f t="shared" si="5"/>
        <v>38471.892659999998</v>
      </c>
      <c r="N18" s="3">
        <f t="shared" si="5"/>
        <v>28507.279999999999</v>
      </c>
      <c r="O18" s="3">
        <f>+O12+O14+O16+O15</f>
        <v>418705.84893999994</v>
      </c>
      <c r="P18" s="22"/>
      <c r="Q18" s="28"/>
      <c r="R18" s="28"/>
      <c r="S18" s="28"/>
      <c r="T18" s="38"/>
    </row>
    <row r="19" spans="1:20" x14ac:dyDescent="0.25"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8"/>
      <c r="R19" s="28"/>
      <c r="S19" s="28"/>
      <c r="T19" s="38"/>
    </row>
    <row r="20" spans="1:20" hidden="1" x14ac:dyDescent="0.25">
      <c r="B20" t="s">
        <v>91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>
        <f>SUM(C20:N20)</f>
        <v>0</v>
      </c>
      <c r="P20" s="22"/>
      <c r="Q20" s="28"/>
      <c r="R20" s="28"/>
      <c r="S20" s="28"/>
      <c r="T20" s="38"/>
    </row>
    <row r="21" spans="1:20" hidden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8"/>
      <c r="R21" s="28"/>
      <c r="S21" s="28"/>
      <c r="T21" s="38"/>
    </row>
    <row r="22" spans="1:20" ht="15.75" thickBot="1" x14ac:dyDescent="0.3">
      <c r="B22" t="s">
        <v>18</v>
      </c>
      <c r="C22" s="4">
        <f>+C10-C18-C20</f>
        <v>-1526.4193400000004</v>
      </c>
      <c r="D22" s="4">
        <f t="shared" ref="D22:O22" si="6">+D10-D18-D20</f>
        <v>-10810.603659999997</v>
      </c>
      <c r="E22" s="4">
        <f t="shared" si="6"/>
        <v>-4473.7406599999958</v>
      </c>
      <c r="F22" s="4">
        <f t="shared" si="6"/>
        <v>-3451.7521599999964</v>
      </c>
      <c r="G22" s="4">
        <f t="shared" si="6"/>
        <v>-6674.036159999996</v>
      </c>
      <c r="H22" s="4">
        <f t="shared" si="6"/>
        <v>-6750.0276599999961</v>
      </c>
      <c r="I22" s="4">
        <f t="shared" si="6"/>
        <v>-17221.345659999999</v>
      </c>
      <c r="J22" s="4">
        <f t="shared" si="6"/>
        <v>-797.78265999999712</v>
      </c>
      <c r="K22" s="4">
        <f t="shared" si="6"/>
        <v>-5554.1446599999945</v>
      </c>
      <c r="L22" s="4">
        <f>+L10-L18-L20</f>
        <v>-7484.163660000002</v>
      </c>
      <c r="M22" s="4">
        <f t="shared" si="6"/>
        <v>-524.78265999999712</v>
      </c>
      <c r="N22" s="4">
        <f t="shared" si="6"/>
        <v>-20687.68</v>
      </c>
      <c r="O22" s="4">
        <f t="shared" si="6"/>
        <v>-85956.478940000001</v>
      </c>
      <c r="P22" s="22"/>
      <c r="Q22" s="28"/>
      <c r="R22" s="28"/>
      <c r="S22" s="28"/>
      <c r="T22" s="38"/>
    </row>
    <row r="23" spans="1:20" ht="16.5" thickTop="1" thickBot="1" x14ac:dyDescent="0.3">
      <c r="A23" s="39"/>
      <c r="B23" s="39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1"/>
      <c r="R23" s="41"/>
      <c r="S23" s="41"/>
      <c r="T23" s="42"/>
    </row>
    <row r="24" spans="1:20" ht="15.75" thickBot="1" x14ac:dyDescent="0.3">
      <c r="A24" s="48"/>
      <c r="B24" s="48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50"/>
      <c r="R24" s="50"/>
      <c r="S24" s="50"/>
      <c r="T24" s="48"/>
    </row>
    <row r="25" spans="1:20" x14ac:dyDescent="0.25">
      <c r="A25" s="109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5"/>
    </row>
    <row r="26" spans="1:20" x14ac:dyDescent="0.25">
      <c r="A26" s="104"/>
      <c r="B26" t="s">
        <v>21</v>
      </c>
      <c r="C26" s="89">
        <f>'RVU''s'!D22</f>
        <v>432.5</v>
      </c>
      <c r="D26" s="89">
        <f>'RVU''s'!E22</f>
        <v>386.86</v>
      </c>
      <c r="E26" s="89">
        <f>'RVU''s'!F22</f>
        <v>372.57000000000005</v>
      </c>
      <c r="F26" s="89">
        <f>'RVU''s'!G22</f>
        <v>465.27</v>
      </c>
      <c r="G26" s="89">
        <f>'RVU''s'!H22</f>
        <v>365.51</v>
      </c>
      <c r="H26" s="89">
        <f>'RVU''s'!I22</f>
        <v>373.76</v>
      </c>
      <c r="I26" s="89">
        <f>'RVU''s'!J22</f>
        <v>228.82999999999998</v>
      </c>
      <c r="J26" s="89">
        <f>'RVU''s'!K22</f>
        <v>480.31000000000006</v>
      </c>
      <c r="K26" s="89">
        <f>'RVU''s'!L22</f>
        <v>439.02</v>
      </c>
      <c r="L26" s="89">
        <f>'RVU''s'!M22</f>
        <v>429.74</v>
      </c>
      <c r="M26" s="89">
        <f>'RVU''s'!N22</f>
        <v>491.40999999999997</v>
      </c>
      <c r="N26" s="89">
        <f>'RVU''s'!O22</f>
        <v>226.24999999999997</v>
      </c>
      <c r="O26" s="89">
        <f>'RVU''s'!P22</f>
        <v>4692.03</v>
      </c>
      <c r="T26" s="38"/>
    </row>
    <row r="27" spans="1:20" x14ac:dyDescent="0.25">
      <c r="A27" s="104"/>
      <c r="T27" s="38"/>
    </row>
    <row r="28" spans="1:20" x14ac:dyDescent="0.25">
      <c r="A28" s="104"/>
      <c r="B28" t="s">
        <v>73</v>
      </c>
      <c r="C28" s="28">
        <f t="shared" ref="C28:O28" si="7">C6/C26</f>
        <v>81.965988439306358</v>
      </c>
      <c r="D28" s="28">
        <f t="shared" si="7"/>
        <v>57.185467611022077</v>
      </c>
      <c r="E28" s="28">
        <f t="shared" si="7"/>
        <v>85.545776632579106</v>
      </c>
      <c r="F28" s="28">
        <f t="shared" si="7"/>
        <v>71.881015324435282</v>
      </c>
      <c r="G28" s="28">
        <f t="shared" si="7"/>
        <v>77.936910070859895</v>
      </c>
      <c r="H28" s="28">
        <f t="shared" si="7"/>
        <v>75.903815282534254</v>
      </c>
      <c r="I28" s="28">
        <f t="shared" si="7"/>
        <v>53.577284446969372</v>
      </c>
      <c r="J28" s="28">
        <f t="shared" si="7"/>
        <v>78.131019549874026</v>
      </c>
      <c r="K28" s="28">
        <f t="shared" si="7"/>
        <v>68.811512004008932</v>
      </c>
      <c r="L28" s="28">
        <f t="shared" si="7"/>
        <v>63.388025317633911</v>
      </c>
      <c r="M28" s="28">
        <f t="shared" si="7"/>
        <v>77.220874626075997</v>
      </c>
      <c r="N28" s="28">
        <f t="shared" si="7"/>
        <v>34.561767955801102</v>
      </c>
      <c r="O28" s="28">
        <f t="shared" si="7"/>
        <v>70.917997114255442</v>
      </c>
      <c r="T28" s="38"/>
    </row>
    <row r="29" spans="1:20" ht="15.75" thickBot="1" x14ac:dyDescent="0.3">
      <c r="A29" s="110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42"/>
    </row>
    <row r="30" spans="1:20" ht="15.75" thickBot="1" x14ac:dyDescent="0.3">
      <c r="A30" s="48"/>
      <c r="B30" s="48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50"/>
      <c r="R30" s="50"/>
      <c r="S30" s="50"/>
      <c r="T30" s="48"/>
    </row>
    <row r="31" spans="1:20" x14ac:dyDescent="0.25">
      <c r="A31" s="109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5"/>
    </row>
    <row r="32" spans="1:20" x14ac:dyDescent="0.25">
      <c r="A32" s="104"/>
      <c r="B32" t="s">
        <v>76</v>
      </c>
      <c r="C32" s="89">
        <f t="shared" ref="C32:O32" si="8">C6/C4</f>
        <v>0.63607360091866583</v>
      </c>
      <c r="D32" s="89">
        <f t="shared" si="8"/>
        <v>0.45760202709690767</v>
      </c>
      <c r="E32" s="89">
        <f t="shared" si="8"/>
        <v>0.64918606782768107</v>
      </c>
      <c r="F32" s="89">
        <f t="shared" si="8"/>
        <v>0.55635353417729949</v>
      </c>
      <c r="G32" s="89">
        <f t="shared" si="8"/>
        <v>0.6024345472232796</v>
      </c>
      <c r="H32" s="89">
        <f t="shared" si="8"/>
        <v>0.57505594518992986</v>
      </c>
      <c r="I32" s="89">
        <f t="shared" si="8"/>
        <v>0.39247358985850567</v>
      </c>
      <c r="J32" s="89">
        <f t="shared" si="8"/>
        <v>0.62009831785584457</v>
      </c>
      <c r="K32" s="89">
        <f t="shared" si="8"/>
        <v>0.52814038461538459</v>
      </c>
      <c r="L32" s="89">
        <f t="shared" si="8"/>
        <v>0.51254765085517529</v>
      </c>
      <c r="M32" s="89">
        <f t="shared" si="8"/>
        <v>0.60079970234796787</v>
      </c>
      <c r="N32" s="89">
        <f t="shared" si="8"/>
        <v>0.26549417716361656</v>
      </c>
      <c r="O32" s="89">
        <f t="shared" si="8"/>
        <v>0.55034189900152641</v>
      </c>
      <c r="T32" s="38"/>
    </row>
    <row r="33" spans="1:20" ht="15.75" thickBot="1" x14ac:dyDescent="0.3">
      <c r="A33" s="110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42"/>
    </row>
    <row r="62" spans="1:1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</sheetData>
  <mergeCells count="1">
    <mergeCell ref="A1:T1"/>
  </mergeCells>
  <pageMargins left="0.2" right="0.2" top="0.75" bottom="0.75" header="0.3" footer="0.3"/>
  <pageSetup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4"/>
  <sheetViews>
    <sheetView zoomScale="80" zoomScaleNormal="80" workbookViewId="0">
      <selection activeCell="N9" sqref="N9"/>
    </sheetView>
  </sheetViews>
  <sheetFormatPr defaultRowHeight="15" x14ac:dyDescent="0.25"/>
  <cols>
    <col min="2" max="2" width="17.42578125" bestFit="1" customWidth="1"/>
    <col min="3" max="4" width="9.140625" customWidth="1"/>
    <col min="5" max="5" width="10.85546875" customWidth="1"/>
    <col min="6" max="6" width="9.5703125" customWidth="1"/>
    <col min="7" max="7" width="10.5703125" customWidth="1"/>
    <col min="8" max="8" width="10.28515625" bestFit="1" customWidth="1"/>
    <col min="9" max="14" width="9.5703125" customWidth="1"/>
  </cols>
  <sheetData>
    <row r="1" spans="1:33" ht="15.75" thickBot="1" x14ac:dyDescent="0.3">
      <c r="A1" s="186" t="s">
        <v>162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7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</row>
    <row r="2" spans="1:33" x14ac:dyDescent="0.25">
      <c r="A2" s="29"/>
      <c r="B2" s="29"/>
      <c r="C2" s="29" t="s">
        <v>0</v>
      </c>
      <c r="D2" s="29" t="s">
        <v>1</v>
      </c>
      <c r="E2" s="29" t="s">
        <v>2</v>
      </c>
      <c r="F2" s="29" t="s">
        <v>3</v>
      </c>
      <c r="G2" s="29" t="s">
        <v>4</v>
      </c>
      <c r="H2" s="29" t="s">
        <v>5</v>
      </c>
      <c r="I2" s="29" t="s">
        <v>6</v>
      </c>
      <c r="J2" s="29" t="s">
        <v>7</v>
      </c>
      <c r="K2" s="29" t="s">
        <v>8</v>
      </c>
      <c r="L2" s="29" t="s">
        <v>9</v>
      </c>
      <c r="M2" s="29" t="s">
        <v>10</v>
      </c>
      <c r="N2" s="29" t="s">
        <v>11</v>
      </c>
      <c r="O2" s="29"/>
      <c r="P2" s="29"/>
      <c r="Q2" s="29"/>
      <c r="R2" s="29"/>
      <c r="S2" s="29"/>
      <c r="T2" s="30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</row>
    <row r="3" spans="1:33" x14ac:dyDescent="0.25">
      <c r="B3" t="s">
        <v>27</v>
      </c>
      <c r="C3" s="22">
        <v>21</v>
      </c>
      <c r="D3" s="22">
        <v>19</v>
      </c>
      <c r="E3" s="22">
        <v>14</v>
      </c>
      <c r="F3" s="22">
        <v>14</v>
      </c>
      <c r="G3" s="22">
        <v>11</v>
      </c>
      <c r="H3" s="22">
        <v>14</v>
      </c>
      <c r="I3" s="22">
        <v>3</v>
      </c>
      <c r="J3" s="22">
        <v>13</v>
      </c>
      <c r="K3" s="22">
        <v>17</v>
      </c>
      <c r="L3" s="22">
        <v>17</v>
      </c>
      <c r="M3" s="22">
        <v>15</v>
      </c>
      <c r="N3" s="22">
        <v>8</v>
      </c>
      <c r="O3" s="22">
        <f>SUM(C3:N3)</f>
        <v>166</v>
      </c>
      <c r="P3" s="43">
        <f>+O3/O5</f>
        <v>0.14847942754919499</v>
      </c>
      <c r="Q3" s="28" t="s">
        <v>33</v>
      </c>
      <c r="R3" s="28"/>
      <c r="S3" s="28"/>
      <c r="T3" s="38"/>
    </row>
    <row r="4" spans="1:33" x14ac:dyDescent="0.25">
      <c r="B4" t="s">
        <v>28</v>
      </c>
      <c r="C4" s="22">
        <v>82</v>
      </c>
      <c r="D4" s="22">
        <v>65</v>
      </c>
      <c r="E4" s="22">
        <v>75</v>
      </c>
      <c r="F4" s="22">
        <v>89</v>
      </c>
      <c r="G4" s="22">
        <v>74</v>
      </c>
      <c r="H4" s="22">
        <v>79</v>
      </c>
      <c r="I4" s="22">
        <v>42</v>
      </c>
      <c r="J4" s="22">
        <v>101</v>
      </c>
      <c r="K4" s="22">
        <v>90</v>
      </c>
      <c r="L4" s="22">
        <v>97</v>
      </c>
      <c r="M4" s="22">
        <v>102</v>
      </c>
      <c r="N4" s="22">
        <v>56</v>
      </c>
      <c r="O4" s="22">
        <f>SUM(C4:N4)</f>
        <v>952</v>
      </c>
      <c r="P4" s="43">
        <f>+O4/O5</f>
        <v>0.85152057245080504</v>
      </c>
      <c r="Q4" s="28" t="s">
        <v>34</v>
      </c>
      <c r="R4" s="28"/>
      <c r="S4" s="28"/>
      <c r="T4" s="38"/>
    </row>
    <row r="5" spans="1:33" x14ac:dyDescent="0.25">
      <c r="B5" t="s">
        <v>30</v>
      </c>
      <c r="C5" s="31">
        <f t="shared" ref="C5:P5" si="0">SUM(C3:C4)</f>
        <v>103</v>
      </c>
      <c r="D5" s="31">
        <f t="shared" si="0"/>
        <v>84</v>
      </c>
      <c r="E5" s="31">
        <f t="shared" si="0"/>
        <v>89</v>
      </c>
      <c r="F5" s="31">
        <f t="shared" si="0"/>
        <v>103</v>
      </c>
      <c r="G5" s="31">
        <f t="shared" si="0"/>
        <v>85</v>
      </c>
      <c r="H5" s="31">
        <f t="shared" si="0"/>
        <v>93</v>
      </c>
      <c r="I5" s="31">
        <f t="shared" si="0"/>
        <v>45</v>
      </c>
      <c r="J5" s="31">
        <f t="shared" si="0"/>
        <v>114</v>
      </c>
      <c r="K5" s="31">
        <f t="shared" si="0"/>
        <v>107</v>
      </c>
      <c r="L5" s="31">
        <f t="shared" si="0"/>
        <v>114</v>
      </c>
      <c r="M5" s="31">
        <f t="shared" si="0"/>
        <v>117</v>
      </c>
      <c r="N5" s="31">
        <f>SUM(N3:N4)</f>
        <v>64</v>
      </c>
      <c r="O5" s="31">
        <f>SUM(O3:O4)</f>
        <v>1118</v>
      </c>
      <c r="P5" s="32">
        <f t="shared" si="0"/>
        <v>1</v>
      </c>
      <c r="Q5" s="44">
        <f>+O5/O9</f>
        <v>0.60926430517711172</v>
      </c>
      <c r="R5" s="28" t="s">
        <v>35</v>
      </c>
      <c r="S5" s="28"/>
      <c r="T5" s="38"/>
    </row>
    <row r="6" spans="1:33" x14ac:dyDescent="0.25">
      <c r="B6" t="s">
        <v>29</v>
      </c>
      <c r="C6" s="22">
        <v>48</v>
      </c>
      <c r="D6" s="22">
        <v>45</v>
      </c>
      <c r="E6" s="22">
        <v>36</v>
      </c>
      <c r="F6" s="22">
        <v>29</v>
      </c>
      <c r="G6" s="22">
        <v>21</v>
      </c>
      <c r="H6" s="22">
        <v>35</v>
      </c>
      <c r="I6" s="22">
        <v>22</v>
      </c>
      <c r="J6" s="22">
        <v>33</v>
      </c>
      <c r="K6" s="22">
        <v>25</v>
      </c>
      <c r="L6" s="22">
        <v>26</v>
      </c>
      <c r="M6" s="22">
        <v>45</v>
      </c>
      <c r="N6" s="22">
        <v>14</v>
      </c>
      <c r="O6" s="22">
        <f>SUM(C6:N6)</f>
        <v>379</v>
      </c>
      <c r="P6" s="22"/>
      <c r="Q6" s="44">
        <f>+O6/O9</f>
        <v>0.20653950953678474</v>
      </c>
      <c r="R6" s="28" t="s">
        <v>36</v>
      </c>
      <c r="S6" s="28"/>
      <c r="T6" s="38"/>
    </row>
    <row r="7" spans="1:33" x14ac:dyDescent="0.25">
      <c r="B7" t="s">
        <v>31</v>
      </c>
      <c r="C7" s="22">
        <v>20</v>
      </c>
      <c r="D7" s="22">
        <v>22</v>
      </c>
      <c r="E7" s="22">
        <v>12</v>
      </c>
      <c r="F7" s="22">
        <v>17</v>
      </c>
      <c r="G7" s="22">
        <v>4</v>
      </c>
      <c r="H7" s="22">
        <v>11</v>
      </c>
      <c r="I7" s="22">
        <v>30</v>
      </c>
      <c r="J7" s="22">
        <v>21</v>
      </c>
      <c r="K7" s="22">
        <v>11</v>
      </c>
      <c r="L7" s="22">
        <v>7</v>
      </c>
      <c r="M7" s="22">
        <v>13</v>
      </c>
      <c r="N7" s="22">
        <v>39</v>
      </c>
      <c r="O7" s="22">
        <f>SUM(C7:N7)</f>
        <v>207</v>
      </c>
      <c r="P7" s="22"/>
      <c r="Q7" s="44">
        <f>+O7/O9</f>
        <v>0.11280653950953679</v>
      </c>
      <c r="R7" s="28" t="s">
        <v>37</v>
      </c>
      <c r="S7" s="28"/>
      <c r="T7" s="38"/>
    </row>
    <row r="8" spans="1:33" x14ac:dyDescent="0.25">
      <c r="B8" t="s">
        <v>32</v>
      </c>
      <c r="C8" s="45">
        <v>17</v>
      </c>
      <c r="D8" s="113">
        <v>12</v>
      </c>
      <c r="E8" s="113">
        <v>8</v>
      </c>
      <c r="F8" s="113">
        <v>13</v>
      </c>
      <c r="G8" s="113">
        <v>16</v>
      </c>
      <c r="H8" s="113">
        <v>13</v>
      </c>
      <c r="I8" s="113">
        <v>8</v>
      </c>
      <c r="J8" s="113">
        <v>10</v>
      </c>
      <c r="K8" s="113">
        <v>11</v>
      </c>
      <c r="L8" s="113">
        <v>6</v>
      </c>
      <c r="M8" s="113">
        <v>11</v>
      </c>
      <c r="N8" s="113">
        <v>6</v>
      </c>
      <c r="O8" s="113">
        <f>SUM(C8:N8)</f>
        <v>131</v>
      </c>
      <c r="P8" s="45"/>
      <c r="Q8" s="46">
        <f>+O8/O9</f>
        <v>7.1389645776566757E-2</v>
      </c>
      <c r="R8" s="47" t="s">
        <v>38</v>
      </c>
      <c r="S8" s="28"/>
      <c r="T8" s="38"/>
    </row>
    <row r="9" spans="1:33" x14ac:dyDescent="0.25">
      <c r="B9" t="s">
        <v>12</v>
      </c>
      <c r="C9" s="31">
        <f t="shared" ref="C9:O9" si="1">SUM(C5:C8)</f>
        <v>188</v>
      </c>
      <c r="D9" s="22">
        <f t="shared" si="1"/>
        <v>163</v>
      </c>
      <c r="E9" s="22">
        <f t="shared" si="1"/>
        <v>145</v>
      </c>
      <c r="F9" s="22">
        <f t="shared" si="1"/>
        <v>162</v>
      </c>
      <c r="G9" s="22">
        <f t="shared" si="1"/>
        <v>126</v>
      </c>
      <c r="H9" s="22">
        <f t="shared" si="1"/>
        <v>152</v>
      </c>
      <c r="I9" s="22">
        <f t="shared" si="1"/>
        <v>105</v>
      </c>
      <c r="J9" s="22">
        <f t="shared" si="1"/>
        <v>178</v>
      </c>
      <c r="K9" s="22">
        <f t="shared" si="1"/>
        <v>154</v>
      </c>
      <c r="L9" s="22">
        <f t="shared" si="1"/>
        <v>153</v>
      </c>
      <c r="M9" s="22">
        <f t="shared" si="1"/>
        <v>186</v>
      </c>
      <c r="N9" s="22">
        <f t="shared" si="1"/>
        <v>123</v>
      </c>
      <c r="O9" s="22">
        <f t="shared" si="1"/>
        <v>1835</v>
      </c>
      <c r="P9" s="28"/>
      <c r="Q9" s="44">
        <f>SUM(Q5:Q8)</f>
        <v>1</v>
      </c>
      <c r="R9" s="28"/>
      <c r="S9" s="28"/>
      <c r="T9" s="38"/>
    </row>
    <row r="10" spans="1:33" x14ac:dyDescent="0.25"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38"/>
    </row>
    <row r="11" spans="1:33" ht="15.75" thickBot="1" x14ac:dyDescent="0.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39"/>
      <c r="S11" s="39"/>
      <c r="T11" s="42"/>
    </row>
    <row r="13" spans="1:33" ht="15.75" thickBot="1" x14ac:dyDescent="0.3"/>
    <row r="14" spans="1:33" ht="15.75" thickBot="1" x14ac:dyDescent="0.3">
      <c r="A14" s="186" t="s">
        <v>155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7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</row>
    <row r="15" spans="1:33" x14ac:dyDescent="0.25">
      <c r="A15" s="29"/>
      <c r="B15" s="29"/>
      <c r="C15" s="29" t="s">
        <v>0</v>
      </c>
      <c r="D15" s="29" t="s">
        <v>1</v>
      </c>
      <c r="E15" s="29" t="s">
        <v>2</v>
      </c>
      <c r="F15" s="29" t="s">
        <v>3</v>
      </c>
      <c r="G15" s="29" t="s">
        <v>4</v>
      </c>
      <c r="H15" s="29" t="s">
        <v>5</v>
      </c>
      <c r="I15" s="29" t="s">
        <v>6</v>
      </c>
      <c r="J15" s="29" t="s">
        <v>7</v>
      </c>
      <c r="K15" s="29" t="s">
        <v>8</v>
      </c>
      <c r="L15" s="29" t="s">
        <v>9</v>
      </c>
      <c r="M15" s="29" t="s">
        <v>10</v>
      </c>
      <c r="N15" s="29" t="s">
        <v>11</v>
      </c>
      <c r="O15" s="29"/>
      <c r="P15" s="29"/>
      <c r="Q15" s="29"/>
      <c r="R15" s="29"/>
      <c r="S15" s="29"/>
      <c r="T15" s="30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</row>
    <row r="16" spans="1:33" x14ac:dyDescent="0.25">
      <c r="B16" t="s">
        <v>27</v>
      </c>
      <c r="C16" s="22">
        <v>5</v>
      </c>
      <c r="D16" s="22">
        <v>25</v>
      </c>
      <c r="E16" s="22">
        <v>16</v>
      </c>
      <c r="F16" s="22">
        <v>26</v>
      </c>
      <c r="G16" s="22">
        <v>23</v>
      </c>
      <c r="H16" s="22">
        <v>19</v>
      </c>
      <c r="I16" s="22">
        <v>14</v>
      </c>
      <c r="J16" s="22">
        <v>28</v>
      </c>
      <c r="K16" s="22">
        <v>4</v>
      </c>
      <c r="L16" s="22">
        <v>27</v>
      </c>
      <c r="M16" s="22">
        <v>25</v>
      </c>
      <c r="N16" s="22">
        <v>14</v>
      </c>
      <c r="O16" s="22">
        <f>SUM(C16:N16)</f>
        <v>226</v>
      </c>
      <c r="P16" s="43">
        <f>+O16/O18</f>
        <v>0.26463700234192039</v>
      </c>
      <c r="Q16" s="28" t="s">
        <v>33</v>
      </c>
      <c r="R16" s="28"/>
      <c r="S16" s="28"/>
      <c r="T16" s="38"/>
    </row>
    <row r="17" spans="1:20" x14ac:dyDescent="0.25">
      <c r="B17" t="s">
        <v>28</v>
      </c>
      <c r="C17" s="22">
        <v>7</v>
      </c>
      <c r="D17" s="22">
        <v>12</v>
      </c>
      <c r="E17" s="22">
        <v>36</v>
      </c>
      <c r="F17" s="22">
        <v>49</v>
      </c>
      <c r="G17" s="22">
        <v>55</v>
      </c>
      <c r="H17" s="22">
        <v>57</v>
      </c>
      <c r="I17" s="22">
        <v>59</v>
      </c>
      <c r="J17" s="22">
        <v>62</v>
      </c>
      <c r="K17" s="22">
        <v>30</v>
      </c>
      <c r="L17" s="22">
        <v>109</v>
      </c>
      <c r="M17" s="22">
        <v>76</v>
      </c>
      <c r="N17" s="22">
        <v>76</v>
      </c>
      <c r="O17" s="22">
        <f>SUM(C17:N17)</f>
        <v>628</v>
      </c>
      <c r="P17" s="43">
        <f>+O17/O18</f>
        <v>0.73536299765807966</v>
      </c>
      <c r="Q17" s="28" t="s">
        <v>34</v>
      </c>
      <c r="R17" s="28"/>
      <c r="S17" s="28"/>
      <c r="T17" s="38"/>
    </row>
    <row r="18" spans="1:20" x14ac:dyDescent="0.25">
      <c r="B18" t="s">
        <v>30</v>
      </c>
      <c r="C18" s="31">
        <f t="shared" ref="C18:M18" si="2">SUM(C16:C17)</f>
        <v>12</v>
      </c>
      <c r="D18" s="31">
        <f t="shared" si="2"/>
        <v>37</v>
      </c>
      <c r="E18" s="31">
        <f t="shared" si="2"/>
        <v>52</v>
      </c>
      <c r="F18" s="31">
        <f t="shared" si="2"/>
        <v>75</v>
      </c>
      <c r="G18" s="31">
        <f t="shared" si="2"/>
        <v>78</v>
      </c>
      <c r="H18" s="31">
        <f t="shared" si="2"/>
        <v>76</v>
      </c>
      <c r="I18" s="31">
        <f t="shared" si="2"/>
        <v>73</v>
      </c>
      <c r="J18" s="31">
        <f t="shared" si="2"/>
        <v>90</v>
      </c>
      <c r="K18" s="31">
        <f t="shared" si="2"/>
        <v>34</v>
      </c>
      <c r="L18" s="31">
        <f t="shared" si="2"/>
        <v>136</v>
      </c>
      <c r="M18" s="31">
        <f t="shared" si="2"/>
        <v>101</v>
      </c>
      <c r="N18" s="31">
        <f>SUM(N16:N17)</f>
        <v>90</v>
      </c>
      <c r="O18" s="31">
        <f>SUM(O16:O17)</f>
        <v>854</v>
      </c>
      <c r="P18" s="32">
        <f t="shared" ref="P18" si="3">SUM(P16:P17)</f>
        <v>1</v>
      </c>
      <c r="Q18" s="44">
        <f>+O18/O22</f>
        <v>0.62109090909090914</v>
      </c>
      <c r="R18" s="28" t="s">
        <v>35</v>
      </c>
      <c r="S18" s="28"/>
      <c r="T18" s="38"/>
    </row>
    <row r="19" spans="1:20" x14ac:dyDescent="0.25">
      <c r="B19" t="s">
        <v>29</v>
      </c>
      <c r="C19" s="22">
        <v>0</v>
      </c>
      <c r="D19" s="22">
        <v>9</v>
      </c>
      <c r="E19" s="22">
        <v>18</v>
      </c>
      <c r="F19" s="22">
        <v>16</v>
      </c>
      <c r="G19" s="22">
        <v>26</v>
      </c>
      <c r="H19" s="22">
        <v>25</v>
      </c>
      <c r="I19" s="22">
        <v>27</v>
      </c>
      <c r="J19" s="22">
        <v>31</v>
      </c>
      <c r="K19" s="22">
        <v>17</v>
      </c>
      <c r="L19" s="22">
        <v>50</v>
      </c>
      <c r="M19" s="22">
        <v>44</v>
      </c>
      <c r="N19" s="22">
        <v>40</v>
      </c>
      <c r="O19" s="22">
        <f>SUM(C19:N19)</f>
        <v>303</v>
      </c>
      <c r="P19" s="22"/>
      <c r="Q19" s="44">
        <f>+O19/O22</f>
        <v>0.22036363636363637</v>
      </c>
      <c r="R19" s="28" t="s">
        <v>36</v>
      </c>
      <c r="S19" s="28"/>
      <c r="T19" s="38"/>
    </row>
    <row r="20" spans="1:20" x14ac:dyDescent="0.25">
      <c r="B20" t="s">
        <v>31</v>
      </c>
      <c r="C20" s="22">
        <v>0</v>
      </c>
      <c r="D20" s="22">
        <v>1</v>
      </c>
      <c r="E20" s="22">
        <v>7</v>
      </c>
      <c r="F20" s="22">
        <v>7</v>
      </c>
      <c r="G20" s="22">
        <v>8</v>
      </c>
      <c r="H20" s="22">
        <v>8</v>
      </c>
      <c r="I20" s="22">
        <v>7</v>
      </c>
      <c r="J20" s="22">
        <v>16</v>
      </c>
      <c r="K20" s="22">
        <v>7</v>
      </c>
      <c r="L20" s="22">
        <v>24</v>
      </c>
      <c r="M20" s="22">
        <v>20</v>
      </c>
      <c r="N20" s="22">
        <v>18</v>
      </c>
      <c r="O20" s="22">
        <f>SUM(C20:N20)</f>
        <v>123</v>
      </c>
      <c r="P20" s="22"/>
      <c r="Q20" s="44">
        <f>+O20/O22</f>
        <v>8.9454545454545453E-2</v>
      </c>
      <c r="R20" s="28" t="s">
        <v>37</v>
      </c>
      <c r="S20" s="28"/>
      <c r="T20" s="38"/>
    </row>
    <row r="21" spans="1:20" x14ac:dyDescent="0.25">
      <c r="B21" t="s">
        <v>32</v>
      </c>
      <c r="C21" s="45">
        <v>1</v>
      </c>
      <c r="D21" s="113">
        <v>3</v>
      </c>
      <c r="E21" s="113">
        <v>7</v>
      </c>
      <c r="F21" s="113">
        <v>10</v>
      </c>
      <c r="G21" s="113">
        <v>10</v>
      </c>
      <c r="H21" s="113">
        <v>5</v>
      </c>
      <c r="I21" s="113">
        <v>12</v>
      </c>
      <c r="J21" s="113">
        <v>9</v>
      </c>
      <c r="K21" s="113">
        <v>1</v>
      </c>
      <c r="L21" s="113">
        <v>12</v>
      </c>
      <c r="M21" s="113">
        <v>11</v>
      </c>
      <c r="N21" s="113">
        <v>14</v>
      </c>
      <c r="O21" s="113">
        <f>SUM(C21:N21)</f>
        <v>95</v>
      </c>
      <c r="P21" s="45"/>
      <c r="Q21" s="46">
        <f>+O21/O22</f>
        <v>6.9090909090909092E-2</v>
      </c>
      <c r="R21" s="47" t="s">
        <v>38</v>
      </c>
      <c r="S21" s="28"/>
      <c r="T21" s="38"/>
    </row>
    <row r="22" spans="1:20" x14ac:dyDescent="0.25">
      <c r="B22" t="s">
        <v>12</v>
      </c>
      <c r="C22" s="31">
        <f t="shared" ref="C22:O22" si="4">SUM(C18:C21)</f>
        <v>13</v>
      </c>
      <c r="D22" s="22">
        <f t="shared" si="4"/>
        <v>50</v>
      </c>
      <c r="E22" s="22">
        <f t="shared" si="4"/>
        <v>84</v>
      </c>
      <c r="F22" s="22">
        <f t="shared" si="4"/>
        <v>108</v>
      </c>
      <c r="G22" s="22">
        <f t="shared" si="4"/>
        <v>122</v>
      </c>
      <c r="H22" s="22">
        <f t="shared" si="4"/>
        <v>114</v>
      </c>
      <c r="I22" s="22">
        <f t="shared" si="4"/>
        <v>119</v>
      </c>
      <c r="J22" s="22">
        <f t="shared" si="4"/>
        <v>146</v>
      </c>
      <c r="K22" s="22">
        <f t="shared" si="4"/>
        <v>59</v>
      </c>
      <c r="L22" s="22">
        <f t="shared" si="4"/>
        <v>222</v>
      </c>
      <c r="M22" s="22">
        <f t="shared" si="4"/>
        <v>176</v>
      </c>
      <c r="N22" s="22">
        <f t="shared" si="4"/>
        <v>162</v>
      </c>
      <c r="O22" s="22">
        <f t="shared" si="4"/>
        <v>1375</v>
      </c>
      <c r="P22" s="28"/>
      <c r="Q22" s="44">
        <f>SUM(Q18:Q21)</f>
        <v>1</v>
      </c>
      <c r="R22" s="28"/>
      <c r="S22" s="28"/>
      <c r="T22" s="38"/>
    </row>
    <row r="23" spans="1:20" x14ac:dyDescent="0.25"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38"/>
    </row>
    <row r="24" spans="1:20" ht="15.75" thickBot="1" x14ac:dyDescent="0.3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39"/>
      <c r="S24" s="39"/>
      <c r="T24" s="42"/>
    </row>
  </sheetData>
  <mergeCells count="2">
    <mergeCell ref="A1:T1"/>
    <mergeCell ref="A14:T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6"/>
  <sheetViews>
    <sheetView zoomScale="80" zoomScaleNormal="80" workbookViewId="0">
      <pane xSplit="2" ySplit="1" topLeftCell="C2" activePane="bottomRight" state="frozen"/>
      <selection activeCell="A2" sqref="A2:B2"/>
      <selection pane="topRight" activeCell="A2" sqref="A2:B2"/>
      <selection pane="bottomLeft" activeCell="A2" sqref="A2:B2"/>
      <selection pane="bottomRight" activeCell="N23" sqref="N23"/>
    </sheetView>
  </sheetViews>
  <sheetFormatPr defaultRowHeight="15" x14ac:dyDescent="0.25"/>
  <cols>
    <col min="1" max="1" width="7" customWidth="1"/>
    <col min="2" max="2" width="37.140625" bestFit="1" customWidth="1"/>
    <col min="3" max="4" width="9.140625" customWidth="1"/>
    <col min="5" max="5" width="10.85546875" customWidth="1"/>
    <col min="6" max="6" width="9.140625" customWidth="1"/>
    <col min="7" max="7" width="10.5703125" customWidth="1"/>
    <col min="8" max="8" width="10.28515625" customWidth="1"/>
    <col min="9" max="9" width="11.42578125" customWidth="1"/>
    <col min="10" max="11" width="9.140625" customWidth="1"/>
    <col min="12" max="12" width="10.7109375" customWidth="1"/>
    <col min="13" max="13" width="9.5703125" customWidth="1"/>
    <col min="14" max="14" width="10.5703125" customWidth="1"/>
    <col min="15" max="15" width="9.5703125" bestFit="1" customWidth="1"/>
    <col min="17" max="17" width="30.140625" bestFit="1" customWidth="1"/>
  </cols>
  <sheetData>
    <row r="1" spans="1:20" ht="15.75" thickBot="1" x14ac:dyDescent="0.3">
      <c r="A1" s="186" t="s">
        <v>163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7"/>
    </row>
    <row r="2" spans="1:20" x14ac:dyDescent="0.25">
      <c r="A2" s="29"/>
      <c r="B2" s="29"/>
      <c r="C2" s="29" t="s">
        <v>0</v>
      </c>
      <c r="D2" s="29" t="s">
        <v>1</v>
      </c>
      <c r="E2" s="29" t="s">
        <v>2</v>
      </c>
      <c r="F2" s="29" t="s">
        <v>3</v>
      </c>
      <c r="G2" s="29" t="s">
        <v>4</v>
      </c>
      <c r="H2" s="29" t="s">
        <v>5</v>
      </c>
      <c r="I2" s="29" t="s">
        <v>6</v>
      </c>
      <c r="J2" s="29" t="s">
        <v>7</v>
      </c>
      <c r="K2" s="29" t="s">
        <v>8</v>
      </c>
      <c r="L2" s="29" t="s">
        <v>9</v>
      </c>
      <c r="M2" s="29" t="s">
        <v>10</v>
      </c>
      <c r="N2" s="29" t="s">
        <v>11</v>
      </c>
      <c r="O2" s="29" t="s">
        <v>12</v>
      </c>
      <c r="P2" s="29"/>
      <c r="Q2" s="29"/>
      <c r="R2" s="29"/>
      <c r="S2" s="29"/>
      <c r="T2" s="30"/>
    </row>
    <row r="3" spans="1:20" x14ac:dyDescent="0.25">
      <c r="B3" t="s">
        <v>39</v>
      </c>
      <c r="C3" s="22">
        <v>5450</v>
      </c>
      <c r="D3" s="22">
        <v>4358</v>
      </c>
      <c r="E3" s="22">
        <v>8407</v>
      </c>
      <c r="F3" s="22">
        <v>5248</v>
      </c>
      <c r="G3" s="22">
        <v>8061</v>
      </c>
      <c r="H3" s="22">
        <v>5504</v>
      </c>
      <c r="I3" s="22">
        <v>4870</v>
      </c>
      <c r="J3" s="22">
        <v>5527</v>
      </c>
      <c r="K3" s="22">
        <v>6716</v>
      </c>
      <c r="L3" s="22">
        <v>4551</v>
      </c>
      <c r="M3" s="22">
        <v>10174</v>
      </c>
      <c r="N3" s="22">
        <v>2926</v>
      </c>
      <c r="O3" s="22">
        <f t="shared" ref="O3:O23" si="0">SUM(C3:N3)</f>
        <v>71792</v>
      </c>
      <c r="P3" s="43">
        <f t="shared" ref="P3:P26" si="1">+O3/$O$27</f>
        <v>0.11873845354874028</v>
      </c>
      <c r="Q3" t="str">
        <f t="shared" ref="Q3:Q26" si="2">+B3</f>
        <v>Aetna</v>
      </c>
      <c r="R3" s="28"/>
      <c r="S3" s="28"/>
      <c r="T3" s="38"/>
    </row>
    <row r="4" spans="1:20" x14ac:dyDescent="0.25">
      <c r="B4" t="s">
        <v>75</v>
      </c>
      <c r="C4" s="22">
        <v>6238</v>
      </c>
      <c r="D4" s="22">
        <v>3126</v>
      </c>
      <c r="E4" s="22">
        <v>3180</v>
      </c>
      <c r="F4" s="22">
        <v>3699</v>
      </c>
      <c r="G4" s="22">
        <v>4243</v>
      </c>
      <c r="H4" s="22">
        <v>4728</v>
      </c>
      <c r="I4" s="22">
        <v>2769</v>
      </c>
      <c r="J4" s="22">
        <v>3738</v>
      </c>
      <c r="K4" s="22">
        <v>4233</v>
      </c>
      <c r="L4" s="22">
        <v>5901</v>
      </c>
      <c r="M4" s="22">
        <v>4338</v>
      </c>
      <c r="N4" s="22">
        <v>4049</v>
      </c>
      <c r="O4" s="22">
        <f t="shared" si="0"/>
        <v>50242</v>
      </c>
      <c r="P4" s="43">
        <f t="shared" si="1"/>
        <v>8.3096408836580815E-2</v>
      </c>
      <c r="Q4" t="str">
        <f t="shared" si="2"/>
        <v>Aetna Medicare</v>
      </c>
      <c r="R4" s="28"/>
      <c r="S4" s="28"/>
      <c r="T4" s="38"/>
    </row>
    <row r="5" spans="1:20" x14ac:dyDescent="0.25">
      <c r="B5" t="s">
        <v>78</v>
      </c>
      <c r="C5" s="22">
        <v>7273</v>
      </c>
      <c r="D5" s="22">
        <v>5945</v>
      </c>
      <c r="E5" s="22">
        <v>6211</v>
      </c>
      <c r="F5" s="22">
        <v>8520</v>
      </c>
      <c r="G5" s="22">
        <v>2526</v>
      </c>
      <c r="H5" s="22">
        <v>6879</v>
      </c>
      <c r="I5" s="22">
        <v>3392</v>
      </c>
      <c r="J5" s="22">
        <v>12146</v>
      </c>
      <c r="K5" s="22">
        <v>6460</v>
      </c>
      <c r="L5" s="22">
        <v>3020</v>
      </c>
      <c r="M5" s="22">
        <v>7201</v>
      </c>
      <c r="N5" s="22">
        <v>2920</v>
      </c>
      <c r="O5" s="22">
        <f t="shared" ref="O5:O13" si="3">SUM(C5:N5)</f>
        <v>72493</v>
      </c>
      <c r="P5" s="43">
        <f t="shared" si="1"/>
        <v>0.11989785370387829</v>
      </c>
      <c r="Q5" t="str">
        <f t="shared" ref="Q5:Q13" si="4">+B5</f>
        <v>Blue Shield</v>
      </c>
      <c r="R5" s="28"/>
      <c r="S5" s="28"/>
      <c r="T5" s="38"/>
    </row>
    <row r="6" spans="1:20" x14ac:dyDescent="0.25">
      <c r="B6" t="s">
        <v>82</v>
      </c>
      <c r="C6" s="22">
        <v>534</v>
      </c>
      <c r="D6" s="22">
        <v>722</v>
      </c>
      <c r="E6" s="22">
        <v>534</v>
      </c>
      <c r="F6" s="22"/>
      <c r="G6" s="22">
        <v>1029</v>
      </c>
      <c r="H6" s="22">
        <v>361</v>
      </c>
      <c r="I6" s="22">
        <v>534</v>
      </c>
      <c r="J6" s="22">
        <v>1068</v>
      </c>
      <c r="K6" s="22">
        <v>2631</v>
      </c>
      <c r="L6" s="22"/>
      <c r="M6" s="22">
        <v>534</v>
      </c>
      <c r="N6" s="22">
        <v>1563</v>
      </c>
      <c r="O6" s="22">
        <f t="shared" ref="O6:O7" si="5">SUM(C6:N6)</f>
        <v>9510</v>
      </c>
      <c r="P6" s="43">
        <f t="shared" si="1"/>
        <v>1.5728809522628149E-2</v>
      </c>
      <c r="Q6" t="str">
        <f t="shared" ref="Q6:Q7" si="6">+B6</f>
        <v>Blue Shield Alt Non-Contigouos</v>
      </c>
      <c r="R6" s="28"/>
      <c r="S6" s="28"/>
      <c r="T6" s="38"/>
    </row>
    <row r="7" spans="1:20" x14ac:dyDescent="0.25">
      <c r="B7" t="s">
        <v>113</v>
      </c>
      <c r="C7" s="22"/>
      <c r="D7" s="22"/>
      <c r="E7" s="22"/>
      <c r="F7" s="22"/>
      <c r="G7" s="22">
        <v>534</v>
      </c>
      <c r="H7" s="22">
        <v>534</v>
      </c>
      <c r="I7" s="22"/>
      <c r="J7" s="22">
        <v>534</v>
      </c>
      <c r="K7" s="22">
        <v>534</v>
      </c>
      <c r="L7" s="22">
        <v>639</v>
      </c>
      <c r="M7" s="22"/>
      <c r="N7" s="22">
        <v>639</v>
      </c>
      <c r="O7" s="56">
        <f t="shared" si="5"/>
        <v>3414</v>
      </c>
      <c r="P7" s="57">
        <f t="shared" si="1"/>
        <v>5.6464937655365411E-3</v>
      </c>
      <c r="Q7" t="str">
        <f t="shared" si="6"/>
        <v>Charity Care</v>
      </c>
      <c r="R7" s="28"/>
      <c r="S7" s="28"/>
      <c r="T7" s="38"/>
    </row>
    <row r="8" spans="1:20" x14ac:dyDescent="0.25">
      <c r="B8" t="s">
        <v>79</v>
      </c>
      <c r="C8" s="22">
        <v>11449</v>
      </c>
      <c r="D8" s="22">
        <v>12454</v>
      </c>
      <c r="E8" s="22">
        <v>9447</v>
      </c>
      <c r="F8" s="22">
        <v>11633</v>
      </c>
      <c r="G8" s="22">
        <v>9302</v>
      </c>
      <c r="H8" s="22">
        <v>10238</v>
      </c>
      <c r="I8" s="22">
        <v>8301</v>
      </c>
      <c r="J8" s="22">
        <v>8830</v>
      </c>
      <c r="K8" s="22">
        <v>13403</v>
      </c>
      <c r="L8" s="22">
        <v>8810</v>
      </c>
      <c r="M8" s="22">
        <v>15113</v>
      </c>
      <c r="N8" s="22">
        <v>5683</v>
      </c>
      <c r="O8" s="56">
        <f t="shared" si="3"/>
        <v>124663</v>
      </c>
      <c r="P8" s="57">
        <f t="shared" si="1"/>
        <v>0.20618302644788572</v>
      </c>
      <c r="Q8" t="str">
        <f t="shared" si="4"/>
        <v>Comm Behv Health</v>
      </c>
      <c r="R8" s="28"/>
      <c r="S8" s="28"/>
      <c r="T8" s="38"/>
    </row>
    <row r="9" spans="1:20" x14ac:dyDescent="0.25">
      <c r="B9" t="s">
        <v>112</v>
      </c>
      <c r="C9" s="22">
        <v>1563</v>
      </c>
      <c r="D9" s="22">
        <v>2592</v>
      </c>
      <c r="E9" s="22">
        <v>3165</v>
      </c>
      <c r="F9" s="22">
        <v>2497</v>
      </c>
      <c r="G9" s="22">
        <v>1429</v>
      </c>
      <c r="H9" s="22">
        <v>895</v>
      </c>
      <c r="I9" s="22">
        <v>2447</v>
      </c>
      <c r="J9" s="22">
        <v>3204</v>
      </c>
      <c r="K9" s="22">
        <v>2497</v>
      </c>
      <c r="L9" s="22">
        <v>3126</v>
      </c>
      <c r="M9" s="22">
        <v>2858</v>
      </c>
      <c r="N9" s="22">
        <v>1379</v>
      </c>
      <c r="O9" s="22">
        <f t="shared" ref="O9" si="7">SUM(C9:N9)</f>
        <v>27652</v>
      </c>
      <c r="P9" s="43">
        <f t="shared" si="1"/>
        <v>4.573428400838208E-2</v>
      </c>
      <c r="Q9" t="str">
        <f t="shared" ref="Q9" si="8">+B9</f>
        <v>Highmark BC BS of PA Managed Care</v>
      </c>
      <c r="R9" s="28"/>
      <c r="S9" s="28"/>
      <c r="T9" s="38"/>
    </row>
    <row r="10" spans="1:20" x14ac:dyDescent="0.25">
      <c r="B10" t="s">
        <v>83</v>
      </c>
      <c r="C10" s="22">
        <v>1524</v>
      </c>
      <c r="D10" s="22">
        <v>1068</v>
      </c>
      <c r="E10" s="22">
        <v>858</v>
      </c>
      <c r="F10" s="22">
        <v>4069</v>
      </c>
      <c r="G10" s="22">
        <v>1563</v>
      </c>
      <c r="H10" s="22">
        <v>1390</v>
      </c>
      <c r="I10" s="22">
        <v>1068</v>
      </c>
      <c r="J10" s="22">
        <v>2458</v>
      </c>
      <c r="K10" s="22"/>
      <c r="L10" s="22">
        <v>2730</v>
      </c>
      <c r="M10" s="22">
        <v>1602</v>
      </c>
      <c r="N10" s="22">
        <v>-668</v>
      </c>
      <c r="O10" s="22">
        <f t="shared" si="3"/>
        <v>17662</v>
      </c>
      <c r="P10" s="43">
        <f t="shared" si="1"/>
        <v>2.9211591355274277E-2</v>
      </c>
      <c r="Q10" t="str">
        <f t="shared" si="4"/>
        <v>Horizon</v>
      </c>
      <c r="R10" s="28"/>
      <c r="S10" s="28"/>
      <c r="T10" s="38"/>
    </row>
    <row r="11" spans="1:20" hidden="1" x14ac:dyDescent="0.25">
      <c r="B11" t="s">
        <v>84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>
        <f t="shared" ref="O11" si="9">SUM(C11:N11)</f>
        <v>0</v>
      </c>
      <c r="P11" s="43">
        <f t="shared" si="1"/>
        <v>0</v>
      </c>
      <c r="Q11" t="str">
        <f t="shared" ref="Q11" si="10">+B11</f>
        <v>Humana</v>
      </c>
      <c r="R11" s="28"/>
      <c r="S11" s="28"/>
      <c r="T11" s="38"/>
    </row>
    <row r="12" spans="1:20" x14ac:dyDescent="0.25">
      <c r="B12" t="s">
        <v>72</v>
      </c>
      <c r="C12" s="56">
        <v>1068</v>
      </c>
      <c r="D12" s="56">
        <v>2019</v>
      </c>
      <c r="E12" s="56">
        <v>1602</v>
      </c>
      <c r="F12" s="56">
        <v>1029</v>
      </c>
      <c r="G12" s="56">
        <v>2136</v>
      </c>
      <c r="H12" s="56">
        <v>895</v>
      </c>
      <c r="I12" s="56">
        <v>311</v>
      </c>
      <c r="J12" s="56">
        <v>3342</v>
      </c>
      <c r="K12" s="56">
        <v>1602</v>
      </c>
      <c r="L12" s="56">
        <v>2136</v>
      </c>
      <c r="M12" s="56">
        <v>1602</v>
      </c>
      <c r="N12" s="56"/>
      <c r="O12" s="56">
        <f>SUM(C12:N12)</f>
        <v>17742</v>
      </c>
      <c r="P12" s="57">
        <f t="shared" si="1"/>
        <v>2.934390521035422E-2</v>
      </c>
      <c r="Q12" t="str">
        <f>+B12</f>
        <v>IBC</v>
      </c>
      <c r="R12" s="58"/>
      <c r="S12" s="58"/>
      <c r="T12" s="38"/>
    </row>
    <row r="13" spans="1:20" hidden="1" x14ac:dyDescent="0.25">
      <c r="B13" t="s">
        <v>108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56">
        <f t="shared" si="3"/>
        <v>0</v>
      </c>
      <c r="P13" s="57">
        <f t="shared" si="1"/>
        <v>0</v>
      </c>
      <c r="Q13" t="str">
        <f t="shared" si="4"/>
        <v>Independence Blue Cross</v>
      </c>
      <c r="R13" s="28"/>
      <c r="S13" s="28"/>
      <c r="T13" s="38"/>
    </row>
    <row r="14" spans="1:20" hidden="1" x14ac:dyDescent="0.25">
      <c r="B14" t="s">
        <v>74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56">
        <f t="shared" si="0"/>
        <v>0</v>
      </c>
      <c r="P14" s="57">
        <f t="shared" si="1"/>
        <v>0</v>
      </c>
      <c r="Q14" t="str">
        <f t="shared" si="2"/>
        <v>Magellan Behavioral Health</v>
      </c>
      <c r="R14" s="28"/>
      <c r="S14" s="28"/>
      <c r="T14" s="38"/>
    </row>
    <row r="15" spans="1:20" hidden="1" x14ac:dyDescent="0.25">
      <c r="B15" t="s">
        <v>85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56">
        <f t="shared" ref="O15:O19" si="11">SUM(C15:N15)</f>
        <v>0</v>
      </c>
      <c r="P15" s="57">
        <f t="shared" si="1"/>
        <v>0</v>
      </c>
      <c r="Q15" t="str">
        <f t="shared" ref="Q15:Q19" si="12">+B15</f>
        <v>Magellan Behavioral Health- Alt</v>
      </c>
      <c r="R15" s="28"/>
      <c r="S15" s="28"/>
      <c r="T15" s="38"/>
    </row>
    <row r="16" spans="1:20" x14ac:dyDescent="0.25">
      <c r="B16" t="s">
        <v>80</v>
      </c>
      <c r="C16" s="56">
        <v>9561</v>
      </c>
      <c r="D16" s="56">
        <v>9701</v>
      </c>
      <c r="E16" s="56">
        <v>8418</v>
      </c>
      <c r="F16" s="56">
        <v>12284</v>
      </c>
      <c r="G16" s="56">
        <v>8237</v>
      </c>
      <c r="H16" s="56">
        <v>8370</v>
      </c>
      <c r="I16" s="56">
        <v>3767</v>
      </c>
      <c r="J16" s="56">
        <v>10556</v>
      </c>
      <c r="K16" s="56">
        <v>8615</v>
      </c>
      <c r="L16" s="56">
        <v>11660</v>
      </c>
      <c r="M16" s="56">
        <v>12160</v>
      </c>
      <c r="N16" s="56">
        <v>5601</v>
      </c>
      <c r="O16" s="56">
        <f t="shared" ref="O16:O17" si="13">SUM(C16:N16)</f>
        <v>108930</v>
      </c>
      <c r="P16" s="57">
        <f t="shared" si="1"/>
        <v>0.18016185292322653</v>
      </c>
      <c r="Q16" t="str">
        <f t="shared" ref="Q16:Q17" si="14">+B16</f>
        <v>Medicare</v>
      </c>
      <c r="R16" s="58"/>
      <c r="S16" s="58"/>
      <c r="T16" s="38"/>
    </row>
    <row r="17" spans="1:20" x14ac:dyDescent="0.25">
      <c r="B17" t="s">
        <v>157</v>
      </c>
      <c r="C17" s="56"/>
      <c r="D17" s="56"/>
      <c r="E17" s="56"/>
      <c r="F17" s="56"/>
      <c r="G17" s="56"/>
      <c r="H17" s="56">
        <v>1029</v>
      </c>
      <c r="I17" s="56"/>
      <c r="J17" s="56"/>
      <c r="K17" s="56"/>
      <c r="L17" s="56"/>
      <c r="M17" s="56"/>
      <c r="N17" s="56"/>
      <c r="O17" s="56">
        <f t="shared" si="13"/>
        <v>1029</v>
      </c>
      <c r="P17" s="57">
        <f t="shared" si="1"/>
        <v>1.7018869609657589E-3</v>
      </c>
      <c r="Q17" t="str">
        <f t="shared" si="14"/>
        <v>Mental Health Comm</v>
      </c>
      <c r="R17" s="58"/>
      <c r="S17" s="58"/>
      <c r="T17" s="38"/>
    </row>
    <row r="18" spans="1:20" hidden="1" x14ac:dyDescent="0.25">
      <c r="B18" t="s">
        <v>114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>
        <f t="shared" si="11"/>
        <v>0</v>
      </c>
      <c r="P18" s="57">
        <f t="shared" si="1"/>
        <v>0</v>
      </c>
      <c r="Q18" t="str">
        <f t="shared" si="12"/>
        <v>MGD Medicare Other</v>
      </c>
      <c r="R18" s="58"/>
      <c r="S18" s="58"/>
      <c r="T18" s="38"/>
    </row>
    <row r="19" spans="1:20" hidden="1" x14ac:dyDescent="0.25">
      <c r="B19" t="s">
        <v>88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>
        <f t="shared" si="11"/>
        <v>0</v>
      </c>
      <c r="P19" s="57">
        <f t="shared" si="1"/>
        <v>0</v>
      </c>
      <c r="Q19" t="str">
        <f t="shared" si="12"/>
        <v>PA Health and Wellness Medicaid</v>
      </c>
      <c r="R19" s="58"/>
      <c r="S19" s="58"/>
      <c r="T19" s="38"/>
    </row>
    <row r="20" spans="1:20" x14ac:dyDescent="0.25">
      <c r="B20" t="s">
        <v>116</v>
      </c>
      <c r="C20" s="56"/>
      <c r="D20" s="56"/>
      <c r="E20" s="56"/>
      <c r="F20" s="56">
        <v>495</v>
      </c>
      <c r="G20" s="56"/>
      <c r="H20" s="56"/>
      <c r="I20" s="56"/>
      <c r="J20" s="56"/>
      <c r="K20" s="56"/>
      <c r="L20" s="56">
        <v>311</v>
      </c>
      <c r="M20" s="56"/>
      <c r="N20" s="56"/>
      <c r="O20" s="56">
        <f t="shared" ref="O20" si="15">SUM(C20:N20)</f>
        <v>806</v>
      </c>
      <c r="P20" s="57">
        <f t="shared" si="1"/>
        <v>1.3330620899304195E-3</v>
      </c>
      <c r="Q20" t="str">
        <f t="shared" ref="Q20" si="16">+B20</f>
        <v>PA MA</v>
      </c>
      <c r="R20" s="58"/>
      <c r="S20" s="58"/>
      <c r="T20" s="38"/>
    </row>
    <row r="21" spans="1:20" x14ac:dyDescent="0.25">
      <c r="B21" t="s">
        <v>81</v>
      </c>
      <c r="C21" s="56">
        <v>6023</v>
      </c>
      <c r="D21" s="56">
        <v>4060</v>
      </c>
      <c r="E21" s="56">
        <v>5089</v>
      </c>
      <c r="F21" s="56">
        <v>6942</v>
      </c>
      <c r="G21" s="56">
        <v>3392</v>
      </c>
      <c r="H21" s="56">
        <v>5167</v>
      </c>
      <c r="I21" s="56">
        <v>1602</v>
      </c>
      <c r="J21" s="56">
        <v>4693</v>
      </c>
      <c r="K21" s="56">
        <v>5750</v>
      </c>
      <c r="L21" s="56">
        <v>5901</v>
      </c>
      <c r="M21" s="56">
        <v>3204</v>
      </c>
      <c r="N21" s="56">
        <v>3592</v>
      </c>
      <c r="O21" s="56">
        <f t="shared" si="0"/>
        <v>55415</v>
      </c>
      <c r="P21" s="57">
        <f t="shared" si="1"/>
        <v>9.1652153490687588E-2</v>
      </c>
      <c r="Q21" t="str">
        <f t="shared" si="2"/>
        <v>Quest Behavioral Health, BH</v>
      </c>
      <c r="R21" s="58"/>
      <c r="S21" s="58"/>
      <c r="T21" s="38"/>
    </row>
    <row r="22" spans="1:20" x14ac:dyDescent="0.25">
      <c r="B22" t="s">
        <v>89</v>
      </c>
      <c r="C22" s="56">
        <v>394</v>
      </c>
      <c r="D22" s="56"/>
      <c r="E22" s="56"/>
      <c r="F22" s="56"/>
      <c r="G22" s="56">
        <v>394</v>
      </c>
      <c r="H22" s="56">
        <v>394</v>
      </c>
      <c r="I22" s="56">
        <v>394</v>
      </c>
      <c r="J22" s="56"/>
      <c r="K22" s="56"/>
      <c r="L22" s="56">
        <v>394</v>
      </c>
      <c r="M22" s="56"/>
      <c r="N22" s="56">
        <v>394</v>
      </c>
      <c r="O22" s="56">
        <f t="shared" si="0"/>
        <v>2364</v>
      </c>
      <c r="P22" s="57">
        <f t="shared" si="1"/>
        <v>3.909874417612297E-3</v>
      </c>
      <c r="Q22" t="str">
        <f t="shared" ref="Q22:Q25" si="17">+B22</f>
        <v>Railroad Medicare</v>
      </c>
      <c r="R22" s="58"/>
      <c r="S22" s="58"/>
      <c r="T22" s="38"/>
    </row>
    <row r="23" spans="1:20" x14ac:dyDescent="0.25">
      <c r="B23" t="s">
        <v>40</v>
      </c>
      <c r="C23" s="56">
        <v>4161</v>
      </c>
      <c r="D23" s="56">
        <v>2300</v>
      </c>
      <c r="E23" s="56">
        <v>1650</v>
      </c>
      <c r="F23" s="56">
        <v>3500</v>
      </c>
      <c r="G23" s="56">
        <v>3061</v>
      </c>
      <c r="H23" s="56">
        <v>2950</v>
      </c>
      <c r="I23" s="56">
        <v>1389</v>
      </c>
      <c r="J23" s="56">
        <v>3380</v>
      </c>
      <c r="K23" s="56">
        <v>4225</v>
      </c>
      <c r="L23" s="56">
        <v>2900</v>
      </c>
      <c r="M23" s="56">
        <v>4375</v>
      </c>
      <c r="N23" s="56">
        <v>1375</v>
      </c>
      <c r="O23" s="56">
        <f t="shared" si="0"/>
        <v>35266</v>
      </c>
      <c r="P23" s="57">
        <f t="shared" si="1"/>
        <v>5.8327255165615599E-2</v>
      </c>
      <c r="Q23" t="str">
        <f t="shared" si="17"/>
        <v>Self Pay</v>
      </c>
      <c r="R23" s="58"/>
      <c r="S23" s="58"/>
      <c r="T23" s="38"/>
    </row>
    <row r="24" spans="1:20" x14ac:dyDescent="0.25">
      <c r="B24" t="s">
        <v>90</v>
      </c>
      <c r="C24" s="56">
        <v>495</v>
      </c>
      <c r="D24" s="56"/>
      <c r="E24" s="56"/>
      <c r="F24" s="56">
        <v>197</v>
      </c>
      <c r="G24" s="56">
        <v>845</v>
      </c>
      <c r="H24" s="56"/>
      <c r="I24" s="56"/>
      <c r="J24" s="56">
        <v>1042</v>
      </c>
      <c r="K24" s="56">
        <v>534</v>
      </c>
      <c r="L24" s="56">
        <v>534</v>
      </c>
      <c r="M24" s="56"/>
      <c r="N24" s="56"/>
      <c r="O24" s="56">
        <f>SUM(C24:N24)</f>
        <v>3647</v>
      </c>
      <c r="P24" s="57">
        <f t="shared" si="1"/>
        <v>6.0318578684568731E-3</v>
      </c>
      <c r="Q24" t="str">
        <f t="shared" ref="Q24" si="18">+B24</f>
        <v>Tricare</v>
      </c>
      <c r="R24" s="58"/>
      <c r="S24" s="58"/>
      <c r="T24" s="38"/>
    </row>
    <row r="25" spans="1:20" x14ac:dyDescent="0.25">
      <c r="B25" t="s">
        <v>156</v>
      </c>
      <c r="C25" s="56"/>
      <c r="D25" s="56"/>
      <c r="E25" s="56"/>
      <c r="F25" s="56"/>
      <c r="G25" s="56">
        <v>534</v>
      </c>
      <c r="H25" s="56">
        <v>-534</v>
      </c>
      <c r="I25" s="56">
        <v>394</v>
      </c>
      <c r="J25" s="56"/>
      <c r="K25" s="56"/>
      <c r="L25" s="56"/>
      <c r="M25" s="56"/>
      <c r="N25" s="56"/>
      <c r="O25" s="56">
        <f>SUM(C25:N25)</f>
        <v>394</v>
      </c>
      <c r="P25" s="57">
        <f t="shared" si="1"/>
        <v>6.516457362687162E-4</v>
      </c>
      <c r="Q25" t="str">
        <f t="shared" si="17"/>
        <v>Veterans Administration</v>
      </c>
      <c r="R25" s="58"/>
      <c r="S25" s="58"/>
      <c r="T25" s="38"/>
    </row>
    <row r="26" spans="1:20" x14ac:dyDescent="0.25">
      <c r="B26" s="126" t="s">
        <v>93</v>
      </c>
      <c r="C26" s="56"/>
      <c r="D26" s="56"/>
      <c r="E26" s="56">
        <v>534</v>
      </c>
      <c r="F26" s="56"/>
      <c r="G26" s="56"/>
      <c r="H26" s="56">
        <v>534</v>
      </c>
      <c r="I26" s="56"/>
      <c r="J26" s="56"/>
      <c r="K26" s="56"/>
      <c r="L26" s="56">
        <v>534</v>
      </c>
      <c r="M26" s="56"/>
      <c r="N26" s="56"/>
      <c r="O26" s="56">
        <f>SUM(C26:N26)</f>
        <v>1602</v>
      </c>
      <c r="P26" s="57">
        <f t="shared" si="1"/>
        <v>2.6495849479758462E-3</v>
      </c>
      <c r="Q26" t="str">
        <f t="shared" si="2"/>
        <v>Workers Comp</v>
      </c>
      <c r="R26" s="58"/>
      <c r="S26" s="58"/>
      <c r="T26" s="38"/>
    </row>
    <row r="27" spans="1:20" x14ac:dyDescent="0.25">
      <c r="B27" s="33" t="s">
        <v>12</v>
      </c>
      <c r="C27" s="127">
        <f t="shared" ref="C27:P27" si="19">SUM(C3:C26)</f>
        <v>55733</v>
      </c>
      <c r="D27" s="127">
        <f t="shared" si="19"/>
        <v>48345</v>
      </c>
      <c r="E27" s="127">
        <f t="shared" si="19"/>
        <v>49095</v>
      </c>
      <c r="F27" s="127">
        <f t="shared" si="19"/>
        <v>60113</v>
      </c>
      <c r="G27" s="127">
        <f t="shared" si="19"/>
        <v>47286</v>
      </c>
      <c r="H27" s="127">
        <f t="shared" si="19"/>
        <v>49334</v>
      </c>
      <c r="I27" s="127">
        <f t="shared" si="19"/>
        <v>31238</v>
      </c>
      <c r="J27" s="127">
        <f t="shared" si="19"/>
        <v>60518</v>
      </c>
      <c r="K27" s="127">
        <f t="shared" si="19"/>
        <v>57200</v>
      </c>
      <c r="L27" s="127">
        <f t="shared" si="19"/>
        <v>53147</v>
      </c>
      <c r="M27" s="127">
        <f t="shared" si="19"/>
        <v>63161</v>
      </c>
      <c r="N27" s="127">
        <f t="shared" si="19"/>
        <v>29453</v>
      </c>
      <c r="O27" s="127">
        <f t="shared" si="19"/>
        <v>604623</v>
      </c>
      <c r="P27" s="128">
        <f t="shared" si="19"/>
        <v>1</v>
      </c>
      <c r="Q27" s="129" t="s">
        <v>12</v>
      </c>
      <c r="R27" s="28"/>
      <c r="S27" s="28"/>
      <c r="T27" s="38"/>
    </row>
    <row r="28" spans="1:20" x14ac:dyDescent="0.25"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38"/>
    </row>
    <row r="29" spans="1:20" ht="15.75" thickBot="1" x14ac:dyDescent="0.3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39"/>
      <c r="S29" s="39"/>
      <c r="T29" s="42"/>
    </row>
    <row r="31" spans="1:20" x14ac:dyDescent="0.25">
      <c r="R31" s="111"/>
    </row>
    <row r="32" spans="1:20" x14ac:dyDescent="0.25">
      <c r="R32" s="111"/>
    </row>
    <row r="33" spans="18:18" x14ac:dyDescent="0.25">
      <c r="R33" s="111"/>
    </row>
    <row r="34" spans="18:18" x14ac:dyDescent="0.25">
      <c r="R34" s="111"/>
    </row>
    <row r="35" spans="18:18" x14ac:dyDescent="0.25">
      <c r="R35" s="111"/>
    </row>
    <row r="36" spans="18:18" x14ac:dyDescent="0.25">
      <c r="R36" s="111"/>
    </row>
  </sheetData>
  <mergeCells count="1">
    <mergeCell ref="A1:T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A5DC-D9C9-4889-85D7-54C613BE2643}">
  <dimension ref="A1:P20"/>
  <sheetViews>
    <sheetView workbookViewId="0">
      <selection activeCell="B22" sqref="B22"/>
    </sheetView>
  </sheetViews>
  <sheetFormatPr defaultRowHeight="15" x14ac:dyDescent="0.25"/>
  <cols>
    <col min="1" max="1" width="14.28515625" bestFit="1" customWidth="1"/>
    <col min="2" max="2" width="27.85546875" bestFit="1" customWidth="1"/>
    <col min="3" max="3" width="22.28515625" bestFit="1" customWidth="1"/>
    <col min="4" max="4" width="22.140625" bestFit="1" customWidth="1"/>
    <col min="5" max="5" width="10" customWidth="1"/>
    <col min="6" max="6" width="6.7109375" customWidth="1"/>
    <col min="7" max="7" width="10.140625" customWidth="1"/>
    <col min="8" max="9" width="10.42578125" customWidth="1"/>
    <col min="10" max="10" width="10.5703125" customWidth="1"/>
    <col min="11" max="11" width="7" customWidth="1"/>
    <col min="12" max="12" width="10.5703125" customWidth="1"/>
  </cols>
  <sheetData>
    <row r="1" spans="1:16" x14ac:dyDescent="0.25">
      <c r="B1" s="197" t="s">
        <v>119</v>
      </c>
      <c r="C1" s="197" t="s">
        <v>120</v>
      </c>
      <c r="D1" s="197" t="s">
        <v>121</v>
      </c>
      <c r="E1" s="198" t="s">
        <v>122</v>
      </c>
      <c r="F1" s="198"/>
      <c r="G1" s="198"/>
      <c r="H1" s="198"/>
      <c r="I1" s="198"/>
      <c r="J1" s="199" t="s">
        <v>123</v>
      </c>
      <c r="K1" s="199"/>
      <c r="L1" s="199"/>
    </row>
    <row r="2" spans="1:16" ht="36.75" x14ac:dyDescent="0.25">
      <c r="B2" s="197"/>
      <c r="C2" s="197"/>
      <c r="D2" s="197"/>
      <c r="E2" s="170" t="s">
        <v>124</v>
      </c>
      <c r="F2" s="170" t="s">
        <v>125</v>
      </c>
      <c r="G2" s="170" t="s">
        <v>126</v>
      </c>
      <c r="H2" s="170" t="s">
        <v>127</v>
      </c>
      <c r="I2" s="170" t="s">
        <v>128</v>
      </c>
      <c r="J2" s="171" t="s">
        <v>124</v>
      </c>
      <c r="K2" s="171" t="s">
        <v>125</v>
      </c>
      <c r="L2" s="171" t="s">
        <v>129</v>
      </c>
    </row>
    <row r="3" spans="1:16" x14ac:dyDescent="0.25">
      <c r="A3" s="172" t="s">
        <v>130</v>
      </c>
      <c r="B3" s="173" t="s">
        <v>150</v>
      </c>
      <c r="C3" s="174">
        <v>108</v>
      </c>
      <c r="D3" s="175">
        <v>0.88888888888888895</v>
      </c>
      <c r="E3" s="175">
        <v>1</v>
      </c>
      <c r="F3" s="174">
        <v>108</v>
      </c>
      <c r="G3" s="176">
        <v>0.64814814814814803</v>
      </c>
      <c r="H3" s="175">
        <v>0.88888888888888895</v>
      </c>
      <c r="I3" s="175">
        <v>0.11111111111111099</v>
      </c>
      <c r="J3" s="175">
        <v>0</v>
      </c>
      <c r="K3" s="174">
        <v>0</v>
      </c>
      <c r="L3" s="176" t="s">
        <v>151</v>
      </c>
      <c r="P3">
        <f>+D3*C3</f>
        <v>96</v>
      </c>
    </row>
    <row r="4" spans="1:16" x14ac:dyDescent="0.25">
      <c r="A4" s="172" t="s">
        <v>131</v>
      </c>
      <c r="B4" s="173" t="s">
        <v>150</v>
      </c>
      <c r="C4" s="174">
        <v>119</v>
      </c>
      <c r="D4" s="175">
        <v>0.69747899159663895</v>
      </c>
      <c r="E4" s="175">
        <v>1</v>
      </c>
      <c r="F4" s="174">
        <v>119</v>
      </c>
      <c r="G4" s="176">
        <v>1.0672268907563001</v>
      </c>
      <c r="H4" s="175">
        <v>0.69747899159663895</v>
      </c>
      <c r="I4" s="175">
        <v>0.30252100840336099</v>
      </c>
      <c r="J4" s="175">
        <v>0</v>
      </c>
      <c r="K4" s="174">
        <v>0</v>
      </c>
      <c r="L4" s="176" t="s">
        <v>151</v>
      </c>
      <c r="P4">
        <f>+D4*C4</f>
        <v>83.000000000000028</v>
      </c>
    </row>
    <row r="5" spans="1:16" x14ac:dyDescent="0.25">
      <c r="A5" s="172" t="s">
        <v>132</v>
      </c>
      <c r="B5" s="173" t="s">
        <v>150</v>
      </c>
      <c r="C5" s="174">
        <v>137</v>
      </c>
      <c r="D5" s="175">
        <v>0.78102189781021902</v>
      </c>
      <c r="E5" s="175">
        <v>1</v>
      </c>
      <c r="F5" s="174">
        <v>137</v>
      </c>
      <c r="G5" s="176">
        <v>0.88321167883211704</v>
      </c>
      <c r="H5" s="175">
        <v>0.78102189781021902</v>
      </c>
      <c r="I5" s="175">
        <v>0.218978102189781</v>
      </c>
      <c r="J5" s="175">
        <v>0</v>
      </c>
      <c r="K5" s="174">
        <v>0</v>
      </c>
      <c r="L5" s="176" t="s">
        <v>151</v>
      </c>
      <c r="P5">
        <f t="shared" ref="P5:P14" si="0">+D5*C5</f>
        <v>107</v>
      </c>
    </row>
    <row r="6" spans="1:16" x14ac:dyDescent="0.25">
      <c r="A6" s="172" t="s">
        <v>133</v>
      </c>
      <c r="B6" s="173" t="s">
        <v>150</v>
      </c>
      <c r="C6" s="174">
        <v>173</v>
      </c>
      <c r="D6" s="175">
        <v>0.76300578034682098</v>
      </c>
      <c r="E6" s="175">
        <v>1</v>
      </c>
      <c r="F6" s="174">
        <v>173</v>
      </c>
      <c r="G6" s="176">
        <v>1.0173410404624299</v>
      </c>
      <c r="H6" s="175">
        <v>0.76300578034682098</v>
      </c>
      <c r="I6" s="175">
        <v>0.23699421965317899</v>
      </c>
      <c r="J6" s="175">
        <v>0</v>
      </c>
      <c r="K6" s="174">
        <v>0</v>
      </c>
      <c r="L6" s="180" t="s">
        <v>151</v>
      </c>
      <c r="P6">
        <f t="shared" si="0"/>
        <v>132.00000000000003</v>
      </c>
    </row>
    <row r="7" spans="1:16" x14ac:dyDescent="0.25">
      <c r="A7" s="172" t="s">
        <v>134</v>
      </c>
      <c r="B7" s="173" t="s">
        <v>150</v>
      </c>
      <c r="C7" s="174">
        <v>137</v>
      </c>
      <c r="D7" s="175">
        <v>0.65690000000000004</v>
      </c>
      <c r="E7" s="175">
        <v>1</v>
      </c>
      <c r="F7" s="174">
        <v>137</v>
      </c>
      <c r="G7" s="177">
        <v>1.52</v>
      </c>
      <c r="H7" s="175">
        <v>0.65690000000000004</v>
      </c>
      <c r="I7" s="175">
        <v>0.34310000000000002</v>
      </c>
      <c r="J7" s="175">
        <v>0</v>
      </c>
      <c r="K7" s="174">
        <v>0</v>
      </c>
      <c r="L7" s="177"/>
      <c r="P7">
        <f t="shared" si="0"/>
        <v>89.9953</v>
      </c>
    </row>
    <row r="8" spans="1:16" x14ac:dyDescent="0.25">
      <c r="A8" s="172" t="s">
        <v>135</v>
      </c>
      <c r="B8" s="173" t="s">
        <v>150</v>
      </c>
      <c r="C8" s="174">
        <v>167</v>
      </c>
      <c r="D8" s="175">
        <v>0.62275449101796398</v>
      </c>
      <c r="E8" s="175">
        <v>0.98203592814371299</v>
      </c>
      <c r="F8" s="174">
        <v>164</v>
      </c>
      <c r="G8" s="177">
        <v>1.83536585365854</v>
      </c>
      <c r="H8" s="175">
        <v>0.63414634146341498</v>
      </c>
      <c r="I8" s="175">
        <v>0.36585365853658502</v>
      </c>
      <c r="J8" s="175">
        <v>1.79640718562874E-2</v>
      </c>
      <c r="K8" s="174">
        <v>3</v>
      </c>
      <c r="L8" s="177">
        <v>6.3333333333333304</v>
      </c>
      <c r="P8">
        <f t="shared" si="0"/>
        <v>103.99999999999999</v>
      </c>
    </row>
    <row r="9" spans="1:16" x14ac:dyDescent="0.25">
      <c r="A9" s="172" t="s">
        <v>136</v>
      </c>
      <c r="B9" s="173" t="s">
        <v>150</v>
      </c>
      <c r="C9" s="174">
        <v>142</v>
      </c>
      <c r="D9" s="175">
        <v>0.78169014084507005</v>
      </c>
      <c r="E9" s="175">
        <v>1</v>
      </c>
      <c r="F9" s="174">
        <v>142</v>
      </c>
      <c r="G9" s="177">
        <v>1.2676056338028201</v>
      </c>
      <c r="H9" s="175">
        <v>0.78169014084507005</v>
      </c>
      <c r="I9" s="175">
        <v>0.21830985915493001</v>
      </c>
      <c r="J9" s="175">
        <v>0</v>
      </c>
      <c r="K9" s="174">
        <v>0</v>
      </c>
      <c r="L9" s="177" t="s">
        <v>151</v>
      </c>
      <c r="P9">
        <f t="shared" si="0"/>
        <v>110.99999999999994</v>
      </c>
    </row>
    <row r="10" spans="1:16" x14ac:dyDescent="0.25">
      <c r="A10" s="172" t="s">
        <v>137</v>
      </c>
      <c r="B10" s="173" t="s">
        <v>150</v>
      </c>
      <c r="C10" s="174">
        <v>172</v>
      </c>
      <c r="D10" s="175">
        <v>0.668604651162791</v>
      </c>
      <c r="E10" s="175">
        <v>0.99418604651162801</v>
      </c>
      <c r="F10" s="174">
        <v>171</v>
      </c>
      <c r="G10" s="177">
        <v>1.5672514619883</v>
      </c>
      <c r="H10" s="175">
        <v>0.67251461988304095</v>
      </c>
      <c r="I10" s="175">
        <v>0.32748538011695899</v>
      </c>
      <c r="J10" s="175">
        <v>5.8139534883720903E-3</v>
      </c>
      <c r="K10" s="174">
        <v>1</v>
      </c>
      <c r="L10" s="177">
        <v>5</v>
      </c>
      <c r="P10">
        <f t="shared" si="0"/>
        <v>115.00000000000006</v>
      </c>
    </row>
    <row r="11" spans="1:16" x14ac:dyDescent="0.25">
      <c r="A11" s="172" t="s">
        <v>138</v>
      </c>
      <c r="B11" s="173" t="s">
        <v>150</v>
      </c>
      <c r="C11" s="174">
        <v>265</v>
      </c>
      <c r="D11" s="175">
        <v>0.660377358490566</v>
      </c>
      <c r="E11" s="175">
        <v>0.98490566037735805</v>
      </c>
      <c r="F11" s="174">
        <v>261</v>
      </c>
      <c r="G11" s="177">
        <v>1.4942528735632199</v>
      </c>
      <c r="H11" s="175">
        <v>0.67049808429118796</v>
      </c>
      <c r="I11" s="175">
        <v>0.32950191570881199</v>
      </c>
      <c r="J11" s="175">
        <v>1.5094339622641499E-2</v>
      </c>
      <c r="K11" s="174">
        <v>4</v>
      </c>
      <c r="L11" s="177">
        <v>6</v>
      </c>
      <c r="P11">
        <f t="shared" si="0"/>
        <v>175</v>
      </c>
    </row>
    <row r="12" spans="1:16" x14ac:dyDescent="0.25">
      <c r="A12" s="172" t="s">
        <v>139</v>
      </c>
      <c r="B12" s="173" t="s">
        <v>150</v>
      </c>
      <c r="C12" s="174">
        <v>318</v>
      </c>
      <c r="D12" s="175">
        <v>0.72955974842767302</v>
      </c>
      <c r="E12" s="175">
        <v>1</v>
      </c>
      <c r="F12" s="174">
        <v>318</v>
      </c>
      <c r="G12" s="177">
        <v>1.1635220125786201</v>
      </c>
      <c r="H12" s="175">
        <v>0.72955974842767302</v>
      </c>
      <c r="I12" s="175">
        <v>0.27044025157232698</v>
      </c>
      <c r="J12" s="175">
        <v>0</v>
      </c>
      <c r="K12" s="174">
        <v>0</v>
      </c>
      <c r="L12" s="177" t="s">
        <v>151</v>
      </c>
      <c r="P12">
        <f t="shared" si="0"/>
        <v>232.00000000000003</v>
      </c>
    </row>
    <row r="13" spans="1:16" x14ac:dyDescent="0.25">
      <c r="A13" s="172" t="s">
        <v>140</v>
      </c>
      <c r="B13" s="173" t="s">
        <v>150</v>
      </c>
      <c r="C13" s="174">
        <v>253</v>
      </c>
      <c r="D13" s="175">
        <v>0.63241106719367601</v>
      </c>
      <c r="E13" s="175">
        <v>0.98023715415019796</v>
      </c>
      <c r="F13" s="174">
        <v>248</v>
      </c>
      <c r="G13" s="177">
        <v>1.62903225806452</v>
      </c>
      <c r="H13" s="175">
        <v>0.64516129032258096</v>
      </c>
      <c r="I13" s="175">
        <v>0.35483870967741898</v>
      </c>
      <c r="J13" s="175">
        <v>1.97628458498024E-2</v>
      </c>
      <c r="K13" s="174">
        <v>5</v>
      </c>
      <c r="L13" s="177">
        <v>5</v>
      </c>
      <c r="P13">
        <f t="shared" si="0"/>
        <v>160.00000000000003</v>
      </c>
    </row>
    <row r="14" spans="1:16" x14ac:dyDescent="0.25">
      <c r="A14" s="172" t="s">
        <v>141</v>
      </c>
      <c r="B14" s="173" t="s">
        <v>164</v>
      </c>
      <c r="C14" s="174">
        <v>236</v>
      </c>
      <c r="D14" s="175">
        <v>0.70338983050847503</v>
      </c>
      <c r="E14" s="175">
        <v>1</v>
      </c>
      <c r="F14" s="174">
        <v>236</v>
      </c>
      <c r="G14" s="177">
        <v>1.17372881355932</v>
      </c>
      <c r="H14" s="175">
        <v>0.70338983050847503</v>
      </c>
      <c r="I14" s="175">
        <v>0.29661016949152502</v>
      </c>
      <c r="J14" s="175">
        <v>0</v>
      </c>
      <c r="K14" s="174">
        <v>0</v>
      </c>
      <c r="L14" s="177" t="s">
        <v>151</v>
      </c>
      <c r="P14">
        <f t="shared" si="0"/>
        <v>166.00000000000011</v>
      </c>
    </row>
    <row r="15" spans="1:16" x14ac:dyDescent="0.25">
      <c r="C15">
        <f>SUM(C3:C14)</f>
        <v>2227</v>
      </c>
      <c r="D15" s="178">
        <f>P15/C15</f>
        <v>0.70543120790300851</v>
      </c>
      <c r="P15">
        <f>SUM(P3:P14)</f>
        <v>1570.9953</v>
      </c>
    </row>
    <row r="17" spans="1:3" x14ac:dyDescent="0.25">
      <c r="A17" t="s">
        <v>142</v>
      </c>
      <c r="B17" s="90">
        <v>0</v>
      </c>
      <c r="C17" t="s">
        <v>143</v>
      </c>
    </row>
    <row r="18" spans="1:3" x14ac:dyDescent="0.25">
      <c r="A18" t="s">
        <v>144</v>
      </c>
      <c r="B18" s="90">
        <v>0.75</v>
      </c>
      <c r="C18" s="179" t="s">
        <v>145</v>
      </c>
    </row>
    <row r="19" spans="1:3" x14ac:dyDescent="0.25">
      <c r="A19" t="s">
        <v>146</v>
      </c>
      <c r="B19" s="90">
        <v>0.76</v>
      </c>
      <c r="C19" t="s">
        <v>147</v>
      </c>
    </row>
    <row r="20" spans="1:3" x14ac:dyDescent="0.25">
      <c r="A20" t="s">
        <v>148</v>
      </c>
      <c r="B20" s="90">
        <v>0.9</v>
      </c>
      <c r="C20" t="s">
        <v>149</v>
      </c>
    </row>
  </sheetData>
  <mergeCells count="5">
    <mergeCell ref="B1:B2"/>
    <mergeCell ref="C1:C2"/>
    <mergeCell ref="D1:D2"/>
    <mergeCell ref="E1:I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Lescano Summary</vt:lpstr>
      <vt:lpstr>RVU's</vt:lpstr>
      <vt:lpstr>Aging of Encounters</vt:lpstr>
      <vt:lpstr>Income Statement</vt:lpstr>
      <vt:lpstr>Visits</vt:lpstr>
      <vt:lpstr>Payer Mix</vt:lpstr>
      <vt:lpstr>MPM Messaging</vt:lpstr>
      <vt:lpstr>'RVU''s'!CPUP_CPUP_1C1B84C4_5004_4674_B505_75C8275F206B_1</vt:lpstr>
    </vt:vector>
  </TitlesOfParts>
  <Company>Penn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Druding, Kimberly L</dc:creator>
  <cp:lastModifiedBy>Scola, Elise</cp:lastModifiedBy>
  <cp:lastPrinted>2019-09-03T14:29:23Z</cp:lastPrinted>
  <dcterms:created xsi:type="dcterms:W3CDTF">2019-05-23T19:30:31Z</dcterms:created>
  <dcterms:modified xsi:type="dcterms:W3CDTF">2025-07-09T15:47:03Z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