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65" windowWidth="15600" windowHeight="7920"/>
  </bookViews>
  <sheets>
    <sheet name="Requerimientos" sheetId="4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AG15" i="4" l="1"/>
  <c r="AG13" i="4"/>
  <c r="AG11" i="4"/>
  <c r="J15" i="4"/>
  <c r="J13" i="4"/>
  <c r="J11" i="4"/>
  <c r="AH15" i="4"/>
  <c r="AH13" i="4"/>
  <c r="AH11" i="4"/>
  <c r="AF15" i="4"/>
  <c r="AF13" i="4"/>
  <c r="AF11" i="4"/>
  <c r="Z15" i="4"/>
  <c r="Z13" i="4"/>
  <c r="Z11" i="4"/>
  <c r="R15" i="4"/>
  <c r="R13" i="4"/>
  <c r="R11" i="4"/>
  <c r="T15" i="4"/>
  <c r="T13" i="4"/>
  <c r="T11" i="4"/>
  <c r="U15" i="4"/>
  <c r="U13" i="4"/>
  <c r="U11" i="4"/>
  <c r="AD15" i="4"/>
  <c r="AD13" i="4"/>
  <c r="AD11" i="4"/>
  <c r="Y15" i="4"/>
  <c r="Y13" i="4"/>
  <c r="Y11" i="4"/>
  <c r="G15" i="4"/>
  <c r="G13" i="4"/>
  <c r="G11" i="4"/>
  <c r="AL15" i="4"/>
  <c r="AL13" i="4"/>
  <c r="AL11" i="4"/>
  <c r="Q15" i="4"/>
  <c r="Q13" i="4"/>
  <c r="Q11" i="4"/>
  <c r="I15" i="4"/>
  <c r="I13" i="4"/>
  <c r="I11" i="4"/>
  <c r="S15" i="4"/>
  <c r="S13" i="4"/>
  <c r="S11" i="4"/>
  <c r="M15" i="4"/>
  <c r="M13" i="4"/>
  <c r="M11" i="4"/>
  <c r="W15" i="4"/>
  <c r="W13" i="4"/>
  <c r="W11" i="4"/>
  <c r="AI15" i="4"/>
  <c r="AI13" i="4"/>
  <c r="AI11" i="4"/>
  <c r="L15" i="4"/>
  <c r="L13" i="4"/>
  <c r="L11" i="4"/>
  <c r="AB15" i="4"/>
  <c r="AB13" i="4"/>
  <c r="AB11" i="4"/>
  <c r="N15" i="4"/>
  <c r="N13" i="4"/>
  <c r="N11" i="4"/>
  <c r="V15" i="4"/>
  <c r="V13" i="4"/>
  <c r="V11" i="4"/>
  <c r="P15" i="4"/>
  <c r="P13" i="4"/>
  <c r="P11" i="4"/>
  <c r="AK15" i="4"/>
  <c r="AK11" i="4"/>
  <c r="AK13" i="4"/>
  <c r="H15" i="4"/>
  <c r="H13" i="4"/>
  <c r="H11" i="4"/>
  <c r="AE15" i="4"/>
  <c r="AE13" i="4"/>
  <c r="AE11" i="4"/>
  <c r="AJ15" i="4"/>
  <c r="AJ13" i="4"/>
  <c r="AJ11" i="4"/>
  <c r="X15" i="4"/>
  <c r="X13" i="4"/>
  <c r="X11" i="4"/>
  <c r="O15" i="4"/>
  <c r="O13" i="4"/>
  <c r="O11" i="4"/>
  <c r="AC15" i="4"/>
  <c r="AA13" i="4"/>
  <c r="AC13" i="4"/>
  <c r="AC11" i="4"/>
  <c r="AA15" i="4"/>
  <c r="AA11" i="4"/>
  <c r="E14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G16" i="4"/>
  <c r="E12" i="4"/>
  <c r="E10" i="4"/>
  <c r="E16" i="4"/>
</calcChain>
</file>

<file path=xl/sharedStrings.xml><?xml version="1.0" encoding="utf-8"?>
<sst xmlns="http://schemas.openxmlformats.org/spreadsheetml/2006/main" count="54" uniqueCount="54">
  <si>
    <t>Ingeniería de Sistemas y Computación</t>
  </si>
  <si>
    <t>Requerimiento</t>
  </si>
  <si>
    <t>Valor</t>
  </si>
  <si>
    <t>Observaciones</t>
  </si>
  <si>
    <t>Total</t>
  </si>
  <si>
    <t>-</t>
  </si>
  <si>
    <t>Especialización en Construcción de Software</t>
  </si>
  <si>
    <t>CSOF-5301 – Análisis y Diseño de Software - 2011-2</t>
  </si>
  <si>
    <t>Examen # 1 – Caso de Estudio: Autopista</t>
  </si>
  <si>
    <t>P1</t>
  </si>
  <si>
    <t>P2</t>
  </si>
  <si>
    <t>Punto</t>
  </si>
  <si>
    <t>ID en la Solución</t>
  </si>
  <si>
    <t xml:space="preserve">JUAN MIGUEL     ALVEAR NAVARRO        </t>
  </si>
  <si>
    <t xml:space="preserve">ERIK FERNANDO    ARCOS             </t>
  </si>
  <si>
    <t xml:space="preserve">MARIA ANDREA    BANOY RIOS          </t>
  </si>
  <si>
    <t xml:space="preserve">FRANK DAVID     BONILLA BOHORQUEZ       </t>
  </si>
  <si>
    <t xml:space="preserve">RAFAEL       BUSTAMANTE GOMEZ       </t>
  </si>
  <si>
    <t xml:space="preserve">ALBA ROCIO     CARDENAS CONTRERAS      </t>
  </si>
  <si>
    <t xml:space="preserve">ALBERT DAMIAN    DEL CASTILLO PASOS      </t>
  </si>
  <si>
    <t xml:space="preserve">PABLO ANDRES    DIAZ PATIÑO          </t>
  </si>
  <si>
    <t xml:space="preserve">ANDRES MAURICIO   ERAZO BENAVIDES        </t>
  </si>
  <si>
    <t xml:space="preserve">DIEGO GABRIEL    FORERO GARCIA         </t>
  </si>
  <si>
    <t xml:space="preserve">LUIS ANDRES     GAMBA MARTINEZ        </t>
  </si>
  <si>
    <t xml:space="preserve">SANDRA MILENA    GOMEZ RIOS          </t>
  </si>
  <si>
    <t xml:space="preserve">CARLOS ERNESTO   GONZALEZ VARGAS        </t>
  </si>
  <si>
    <t xml:space="preserve">OSCAR EDUARDO    HORMAZA VALLEJO        </t>
  </si>
  <si>
    <t xml:space="preserve">WILLIAN ALEJANDRO  IDROBO LUNA          </t>
  </si>
  <si>
    <t xml:space="preserve">DAYAN VANESSA    LEGUIZAMO PARRA        </t>
  </si>
  <si>
    <t xml:space="preserve">EDWIN        LOGREIRA GONZALEZ       </t>
  </si>
  <si>
    <t xml:space="preserve">JEAN PAUL      MANJARRES CORREAL       </t>
  </si>
  <si>
    <t xml:space="preserve">OSCAR JAVIER    MELO TORRES          </t>
  </si>
  <si>
    <t xml:space="preserve">DANIEL       MUÑOZ CASTRO         </t>
  </si>
  <si>
    <t xml:space="preserve">MICHAEL ANDRES   NIETO DAVILA         </t>
  </si>
  <si>
    <t xml:space="preserve">YENNY DIRLEY    ÑUSTEZ AREVALO        </t>
  </si>
  <si>
    <t xml:space="preserve">DAVID ANDRES    PEREZ CHIBUQUE        </t>
  </si>
  <si>
    <t xml:space="preserve">CARLOS ANDRES    RAMIREZ BUSTAMANTE      </t>
  </si>
  <si>
    <t xml:space="preserve">JUAN DAVID     RAMIREZ LOPEZ         </t>
  </si>
  <si>
    <t xml:space="preserve">ALEXANDER      RAMIREZ MATIZ         </t>
  </si>
  <si>
    <t xml:space="preserve">JAVIER SAMIR    REY RODRIGUEZ         </t>
  </si>
  <si>
    <t xml:space="preserve">ENRIQUE       RODRIGUEZ VILLARRAGA     </t>
  </si>
  <si>
    <t xml:space="preserve">JUAN CAMILO     SANCHEZ ROJAS         </t>
  </si>
  <si>
    <t xml:space="preserve">CARLOS ANDRES    SANTOS RIAÑO         </t>
  </si>
  <si>
    <t xml:space="preserve">ALEJANDRO      TOVAR ALVARADO        </t>
  </si>
  <si>
    <t xml:space="preserve">ALEXANDER      UBAQUE BARRERA        </t>
  </si>
  <si>
    <t>Funcionalidades del componente</t>
  </si>
  <si>
    <t>Funcionalidades</t>
  </si>
  <si>
    <t>Análisis</t>
  </si>
  <si>
    <t>Diagrama de clases del análisis</t>
  </si>
  <si>
    <t>Diseño</t>
  </si>
  <si>
    <t>Diseño y justificación del mismo</t>
  </si>
  <si>
    <t>En total son 7 funcionalidades:
- Agregar nueva imagen
- Recuperar imagen
- Consultar numero de imágenes
- Agregar formato
- Obtener Ids
- Obtener descriptores
- Suscribirse a un evento
Cada funcionalidad identificada correctamente tiene un valor de 5 donde: 2.5 corresponde a identificar correctamente las entradas y 2.5 a las salidas.</t>
  </si>
  <si>
    <t>Diagrama UML - Entidades:
- Imagen [2,5%]: Una relación hacie pixel o rectangulo con multiplicidad muchos y un unico atributo ID
- Pixel o Rectangulo [2,5%]: estas entidades no tienen relaciones, en el caso de pixel un atributo o atributos que indiquen el color. En el caso del rectangulo las coordenadas
- Descriptor [2,5%]: Tiene una relacion hacia imagen con multiplicidad muchos y un atributo nombre.
- Manejador de imagenes [2,5%]: tiene 4 relaciones de multiplicidad muchos, una hacia imagen, una hacia descriptor, una hacia formato y una hacia usuario. No tiene atributos
- Formato [2,5%]: No tiene relaciones, tiene dos atributos: la extensión y el componente, algoritmo o logica del formato.
- Usuario [2,5%]: no tiene relaciones y tiene dos atributos: ID y valor del área
Identificar La entidad [1%], identificar las relaciones [1%] y los atributos [0,5%], con lo que se obtiene el 2,5% de cada clase</t>
  </si>
  <si>
    <t>La explicación de cada uno de los 5 aspectos de diseño de la tabla (concurrencia, manejo de suscripciones, representacion compacta, flexibilidad en los formatos y persistencia) debe estar y verse representado en el grafico.
El valor de cada componente en el gráfico con su debida explicación es:
Definición de la Frontera [10%]
Manejador de Sesiones y Buffer [15%] - Mecanismo para manejar las sesiones de cada usuario, debe ser claro que existe un espacio de trabajo por cliente abierto y un buffer para  hacer lectura en paralelo y contener la imagen mientras se tiene completa para almacenarla. La sesión se cierra cuando se guarda la imagen. Estos aspectos deben estar explícitos.
Manejador de Formatos[10%] - El componente debe tener una fábrica para manejar los diferentes tipos de formatos, el patrón debe ser utilizado de forma correcta.
Manejador de eventos [10%] - El componente debe utilizar el patron Observador-Suscriptor o Publicador-Suscriptor. Por fuera de la frontera debe hacerse explícito un Call-back a Clientes (RMI) cuando suceda el evento
Manejador de Descriptores [10%] - componente que maneje los descriptores de las imagenes.
Persistencia [10%] - Mecanismo de persistencia de las imágenes: Ej DAOs
Concurrencia [10%] - Algún mecanismo para manejar las peticiones concurrentes que se realizan al componente, debe ser explícito cómo se maneja la concurrencia de las peticiones, descriptores y la fábrica.
Los componentes deben llegar a nivel de clases, y debe haber un nivel 1 de la arquitectura-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</si>
</sst>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4" fillId="3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3" fillId="3" borderId="1" xfId="3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164" fontId="0" fillId="0" borderId="0" xfId="0" applyNumberFormat="1"/>
    <xf numFmtId="0" fontId="0" fillId="0" borderId="0" xfId="0" applyBorder="1" applyAlignment="1">
      <alignment textRotation="90"/>
    </xf>
    <xf numFmtId="2" fontId="0" fillId="0" borderId="0" xfId="0" applyNumberFormat="1" applyBorder="1" applyAlignment="1">
      <alignment vertical="center"/>
    </xf>
    <xf numFmtId="0" fontId="26" fillId="0" borderId="1" xfId="0" applyFont="1" applyBorder="1" applyAlignment="1">
      <alignment horizontal="center" textRotation="90"/>
    </xf>
    <xf numFmtId="164" fontId="0" fillId="0" borderId="1" xfId="0" applyNumberForma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25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</cellXfs>
  <cellStyles count="4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a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Hipervínculo" xfId="1" builtinId="8" hidden="1"/>
    <cellStyle name="Hipervínculo visitado" xfId="2" builtinId="9" hidden="1"/>
    <cellStyle name="Incorrecto" xfId="10" builtinId="27" customBuiltin="1"/>
    <cellStyle name="Neutral" xfId="11" builtinId="28" customBuiltin="1"/>
    <cellStyle name="Normal" xfId="0" builtinId="0"/>
    <cellStyle name="Notas" xfId="18" builtinId="10" customBuiltin="1"/>
    <cellStyle name="Porcentaje" xfId="3" builtinId="5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2</xdr:row>
      <xdr:rowOff>0</xdr:rowOff>
    </xdr:from>
    <xdr:to>
      <xdr:col>3</xdr:col>
      <xdr:colOff>2533650</xdr:colOff>
      <xdr:row>6</xdr:row>
      <xdr:rowOff>9525</xdr:rowOff>
    </xdr:to>
    <xdr:pic>
      <xdr:nvPicPr>
        <xdr:cNvPr id="3" name="Imagen 1" descr="Gráfico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4" y="381000"/>
          <a:ext cx="2428876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M33"/>
  <sheetViews>
    <sheetView tabSelected="1" zoomScale="70" zoomScaleNormal="70" zoomScalePageLayoutView="125" workbookViewId="0">
      <pane ySplit="9" topLeftCell="A10" activePane="bottomLeft" state="frozen"/>
      <selection pane="bottomLeft" activeCell="G20" sqref="G20"/>
    </sheetView>
  </sheetViews>
  <sheetFormatPr baseColWidth="10" defaultRowHeight="15" x14ac:dyDescent="0.25"/>
  <cols>
    <col min="1" max="1" width="3.85546875" customWidth="1"/>
    <col min="2" max="2" width="7.42578125" customWidth="1"/>
    <col min="3" max="3" width="11.42578125" bestFit="1" customWidth="1"/>
    <col min="4" max="4" width="39" bestFit="1" customWidth="1"/>
    <col min="5" max="5" width="6.85546875" style="15" bestFit="1" customWidth="1"/>
    <col min="6" max="6" width="74.85546875" customWidth="1"/>
    <col min="7" max="7" width="7" style="24" bestFit="1" customWidth="1"/>
    <col min="8" max="25" width="8.85546875" style="24" bestFit="1" customWidth="1"/>
    <col min="26" max="26" width="9" style="24" bestFit="1" customWidth="1"/>
    <col min="27" max="38" width="8.85546875" style="24" bestFit="1" customWidth="1"/>
  </cols>
  <sheetData>
    <row r="3" spans="2:39" ht="15.75" x14ac:dyDescent="0.25">
      <c r="F3" s="1" t="s">
        <v>0</v>
      </c>
    </row>
    <row r="4" spans="2:39" ht="15.75" x14ac:dyDescent="0.25">
      <c r="F4" s="13" t="s">
        <v>6</v>
      </c>
    </row>
    <row r="5" spans="2:39" ht="15.75" x14ac:dyDescent="0.25">
      <c r="F5" s="13" t="s">
        <v>7</v>
      </c>
    </row>
    <row r="6" spans="2:39" ht="15.75" x14ac:dyDescent="0.25">
      <c r="F6" s="13" t="s">
        <v>8</v>
      </c>
    </row>
    <row r="7" spans="2:39" ht="18" x14ac:dyDescent="0.25">
      <c r="F7" s="2"/>
    </row>
    <row r="9" spans="2:39" ht="188.25" x14ac:dyDescent="0.25">
      <c r="B9" s="20" t="s">
        <v>11</v>
      </c>
      <c r="C9" s="23" t="s">
        <v>12</v>
      </c>
      <c r="D9" s="20" t="s">
        <v>1</v>
      </c>
      <c r="E9" s="20" t="s">
        <v>2</v>
      </c>
      <c r="F9" s="20" t="s">
        <v>3</v>
      </c>
      <c r="G9" s="28" t="s">
        <v>13</v>
      </c>
      <c r="H9" s="28" t="s">
        <v>14</v>
      </c>
      <c r="I9" s="28" t="s">
        <v>15</v>
      </c>
      <c r="J9" s="28" t="s">
        <v>16</v>
      </c>
      <c r="K9" s="28" t="s">
        <v>17</v>
      </c>
      <c r="L9" s="28" t="s">
        <v>18</v>
      </c>
      <c r="M9" s="28" t="s">
        <v>19</v>
      </c>
      <c r="N9" s="28" t="s">
        <v>20</v>
      </c>
      <c r="O9" s="28" t="s">
        <v>21</v>
      </c>
      <c r="P9" s="28" t="s">
        <v>22</v>
      </c>
      <c r="Q9" s="28" t="s">
        <v>23</v>
      </c>
      <c r="R9" s="28" t="s">
        <v>24</v>
      </c>
      <c r="S9" s="28" t="s">
        <v>25</v>
      </c>
      <c r="T9" s="28" t="s">
        <v>26</v>
      </c>
      <c r="U9" s="28" t="s">
        <v>27</v>
      </c>
      <c r="V9" s="28" t="s">
        <v>28</v>
      </c>
      <c r="W9" s="28" t="s">
        <v>29</v>
      </c>
      <c r="X9" s="28" t="s">
        <v>30</v>
      </c>
      <c r="Y9" s="28" t="s">
        <v>31</v>
      </c>
      <c r="Z9" s="28" t="s">
        <v>32</v>
      </c>
      <c r="AA9" s="28" t="s">
        <v>33</v>
      </c>
      <c r="AB9" s="28" t="s">
        <v>34</v>
      </c>
      <c r="AC9" s="28" t="s">
        <v>35</v>
      </c>
      <c r="AD9" s="28" t="s">
        <v>36</v>
      </c>
      <c r="AE9" s="28" t="s">
        <v>37</v>
      </c>
      <c r="AF9" s="28" t="s">
        <v>38</v>
      </c>
      <c r="AG9" s="28" t="s">
        <v>39</v>
      </c>
      <c r="AH9" s="28" t="s">
        <v>40</v>
      </c>
      <c r="AI9" s="28" t="s">
        <v>41</v>
      </c>
      <c r="AJ9" s="28" t="s">
        <v>42</v>
      </c>
      <c r="AK9" s="28" t="s">
        <v>43</v>
      </c>
      <c r="AL9" s="28" t="s">
        <v>44</v>
      </c>
    </row>
    <row r="10" spans="2:39" x14ac:dyDescent="0.25">
      <c r="B10" s="9" t="s">
        <v>9</v>
      </c>
      <c r="C10" s="9"/>
      <c r="D10" s="6" t="s">
        <v>46</v>
      </c>
      <c r="E10" s="16">
        <f>+E11</f>
        <v>0.1</v>
      </c>
      <c r="F10" s="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2:39" ht="127.5" x14ac:dyDescent="0.25">
      <c r="B11" s="14">
        <v>1</v>
      </c>
      <c r="C11" s="14">
        <v>1</v>
      </c>
      <c r="D11" s="5" t="s">
        <v>45</v>
      </c>
      <c r="E11" s="18">
        <v>0.1</v>
      </c>
      <c r="F11" s="7" t="s">
        <v>51</v>
      </c>
      <c r="G11" s="29">
        <f>+(4.3+5+4+4.5+5+5+3.55)*0.142857142857143</f>
        <v>4.4785714285714331</v>
      </c>
      <c r="H11" s="29">
        <f>+(5+4.8+5+5+5+5+5)*0.142857142857143</f>
        <v>4.971428571428576</v>
      </c>
      <c r="I11" s="29">
        <f>+(3.75+5+5+3.75+5+4.8+1)*0.142857142857143</f>
        <v>4.0428571428571463</v>
      </c>
      <c r="J11" s="29">
        <f>+(3.25+5+5+4.5+5+5+4.5)*0.142857142857143</f>
        <v>4.6071428571428612</v>
      </c>
      <c r="K11" s="29"/>
      <c r="L11" s="29">
        <f>(5+5+5+5+5+3.55+3.55)*0.142857142857143</f>
        <v>4.5857142857142899</v>
      </c>
      <c r="M11" s="29">
        <f>(3.75+5+5+3.75+5+4.5)*0.142857142857143</f>
        <v>3.8571428571428608</v>
      </c>
      <c r="N11" s="29">
        <f>(4.5+5+5+5+5+3.25+3.25)*0.142857142857143</f>
        <v>4.4285714285714324</v>
      </c>
      <c r="O11" s="29">
        <f>+(5+5+5+3.75+5+4.5+3.75)*0.142857142857143</f>
        <v>4.5714285714285756</v>
      </c>
      <c r="P11" s="29">
        <f>+(3+5+5+5+3.75+4.7+4.5)*0.142857142857143</f>
        <v>4.4214285714285753</v>
      </c>
      <c r="Q11" s="29">
        <f>+(5+3.55+4.8+5+2.5+2.25)*0.142857142857143</f>
        <v>3.3000000000000034</v>
      </c>
      <c r="R11" s="29">
        <f>+(4.5+5+5+3.25+4.5+5+4.5)*0.142857142857143</f>
        <v>4.53571428571429</v>
      </c>
      <c r="S11" s="29">
        <f>+(4.5+5+5+5+4.5+2.5+2.5)*0.142857142857143</f>
        <v>4.1428571428571468</v>
      </c>
      <c r="T11" s="29">
        <f>+(4+4+5+2.25+3.5+4.5+1.2)*0.142857142857143</f>
        <v>3.492857142857146</v>
      </c>
      <c r="U11" s="29">
        <f>+(4.8+5+5+3.75+5+5+3.55)*0.142857142857143</f>
        <v>4.5857142857142899</v>
      </c>
      <c r="V11" s="29">
        <f>+(3.55+5+5+3.75+5+5+4.5)*0.142857142857143</f>
        <v>4.5428571428571471</v>
      </c>
      <c r="W11" s="29">
        <f>+(4.8+5+5+3.75+5)*0.142857142857143</f>
        <v>3.3642857142857174</v>
      </c>
      <c r="X11" s="29">
        <f>+(5+5+5+3.75+5+5+5)*0.142857142857143</f>
        <v>4.8214285714285756</v>
      </c>
      <c r="Y11" s="29">
        <f>+(3.75+5+5+3.75+5+4.5+5)*0.142857142857143</f>
        <v>4.5714285714285756</v>
      </c>
      <c r="Z11" s="29">
        <f>+(3.75+5+5+5+5+2.5+3.75)*0.142857142857143</f>
        <v>4.28571428571429</v>
      </c>
      <c r="AA11" s="29">
        <f>+(4.8+4.8+5+5+5+5+2.25)*0.142857142857143</f>
        <v>4.55</v>
      </c>
      <c r="AB11" s="29">
        <f>+(4.8+5+3+3.75+5+5+5)*0.142857142857143</f>
        <v>4.5071428571428616</v>
      </c>
      <c r="AC11" s="29">
        <f>+(4.8+4.8+5+5+2+2.5+3.75)*0.142857142857143</f>
        <v>3.9785714285714286</v>
      </c>
      <c r="AD11" s="29">
        <f>+(4.5+5+5+4.5+4.8+5+4.8)*0.142857142857143</f>
        <v>4.8000000000000043</v>
      </c>
      <c r="AE11" s="29">
        <f>+(5+5+5+5+5+4.8+3.75)*0.142857142857143</f>
        <v>4.7928571428571471</v>
      </c>
      <c r="AF11" s="29">
        <f>+(2+5+3.5+3.3+3.75+5+3.25)*0.142857142857143</f>
        <v>3.6857142857142891</v>
      </c>
      <c r="AG11" s="29">
        <f>+(4.5+5+5+3.25+4.5+4.4+3.25)*0.142857142857143</f>
        <v>4.2714285714285749</v>
      </c>
      <c r="AH11" s="29">
        <f>+(3.75+5+5+3.75+5+5+3.25)*0.142857142857143</f>
        <v>4.3928571428571468</v>
      </c>
      <c r="AI11" s="29">
        <f>+(4.8+5+5+5+5+3.75+3.75)*0.142857142857143</f>
        <v>4.6142857142857183</v>
      </c>
      <c r="AJ11" s="29">
        <f>+(4.7+5+5+3.75+5+5+3.75)*0.142857142857143</f>
        <v>4.600000000000005</v>
      </c>
      <c r="AK11" s="29">
        <f>+(4.8+5+5+4.8+5+5+1.25)*0.142857142857143</f>
        <v>4.407142857142861</v>
      </c>
      <c r="AL11" s="29">
        <f>+(5+5+2+5+5+4.3+3.55)*0.142857142857143</f>
        <v>4.2642857142857187</v>
      </c>
    </row>
    <row r="12" spans="2:39" x14ac:dyDescent="0.25">
      <c r="B12" s="9" t="s">
        <v>10</v>
      </c>
      <c r="C12" s="11"/>
      <c r="D12" s="11" t="s">
        <v>47</v>
      </c>
      <c r="E12" s="16">
        <f>+E13</f>
        <v>0.15</v>
      </c>
      <c r="F12" s="1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pans="2:39" ht="192" x14ac:dyDescent="0.25">
      <c r="B13" s="10">
        <v>1</v>
      </c>
      <c r="C13" s="10">
        <v>2</v>
      </c>
      <c r="D13" s="5" t="s">
        <v>48</v>
      </c>
      <c r="E13" s="17">
        <v>0.15</v>
      </c>
      <c r="F13" s="12" t="s">
        <v>52</v>
      </c>
      <c r="G13" s="29">
        <f>(2.3+2.25+2.5+2.5+2.3)*0.333333333333333</f>
        <v>3.9499999999999962</v>
      </c>
      <c r="H13" s="29">
        <f>(2.25+2.5+2.5+1.5+2.5)*0.333333333333333</f>
        <v>3.749999999999996</v>
      </c>
      <c r="I13" s="29">
        <f>(2.25+2.4+2.5+2.5)*0.333333333333333</f>
        <v>3.2166666666666632</v>
      </c>
      <c r="J13" s="29">
        <f>(2.4+2.25+2.2+2.3+2+2.5)*0.333333333333333</f>
        <v>4.5499999999999954</v>
      </c>
      <c r="K13" s="29"/>
      <c r="L13" s="29">
        <f>(2.5+2.5+2.25)*0.333333333333333</f>
        <v>2.4166666666666643</v>
      </c>
      <c r="M13" s="29">
        <f>(2.2+2.5+2+2+2)*0.333333333333333</f>
        <v>3.5666666666666629</v>
      </c>
      <c r="N13" s="29">
        <f>(2.4+2.2+2.25+2.5)*0.333333333333333</f>
        <v>3.1166666666666631</v>
      </c>
      <c r="O13" s="29">
        <f>(2+1.5+2.5+2.25+1.25)*0.333333333333333</f>
        <v>3.1666666666666634</v>
      </c>
      <c r="P13" s="29">
        <f>(2.5+2+2.5+2.25+2.25)*0.333333333333333</f>
        <v>3.8333333333333295</v>
      </c>
      <c r="Q13" s="29">
        <f>(2.5+2.4+2.5+2.5)*0.333333333333333</f>
        <v>3.2999999999999967</v>
      </c>
      <c r="R13" s="29">
        <f>(2.5+2.5+2.25+2.5+2.5+2.5)*0.333333333333333</f>
        <v>4.9166666666666616</v>
      </c>
      <c r="S13" s="29">
        <f>(2+2.5+2.25+2.25+2.3)*0.333333333333333</f>
        <v>3.7666666666666631</v>
      </c>
      <c r="T13" s="29">
        <f>(2.5+2.35+2.25+2+2.5)*0.333333333333333</f>
        <v>3.8666666666666623</v>
      </c>
      <c r="U13" s="29">
        <f>(2.5+2.5+2.25+2.4)*0.333333333333333</f>
        <v>3.2166666666666632</v>
      </c>
      <c r="V13" s="29">
        <f>(2.2+2.5+2.5+2.2+1.9+2.3)*0.333333333333333</f>
        <v>4.5333333333333288</v>
      </c>
      <c r="W13" s="29">
        <f>(2.1+2.1+2.5+2.3+2)*0.333333333333333</f>
        <v>3.666666666666663</v>
      </c>
      <c r="X13" s="29">
        <f>(2+2.5+2.5+2.25+2.5)*0.333333333333333</f>
        <v>3.9166666666666625</v>
      </c>
      <c r="Y13" s="29">
        <f>(2.35+2.5+2.4+2.3+2.5)*0.333333333333333</f>
        <v>4.0166666666666631</v>
      </c>
      <c r="Z13" s="29">
        <f>(2.5+2.5+2.25+2.5)*0.333333333333333</f>
        <v>3.2499999999999964</v>
      </c>
      <c r="AA13" s="29">
        <f>(2.5+2.5+2.5+2+1.5)*0.333333333333333</f>
        <v>3.666666666666663</v>
      </c>
      <c r="AB13" s="29">
        <f>+(2.25+2.25+2.5+2.5+2.25)*0.333333333333333</f>
        <v>3.9166666666666625</v>
      </c>
      <c r="AC13" s="29">
        <f>+(2.3+2.5+1.75+2.25+1.25)*0.333333333333333</f>
        <v>3.35</v>
      </c>
      <c r="AD13" s="29">
        <f>+(2.25+2.2+2.5)*0.333333333333333</f>
        <v>2.3166666666666642</v>
      </c>
      <c r="AE13" s="29">
        <f>+(1.7+2.3+2.5+2+2)*0.333333333333333</f>
        <v>3.4999999999999964</v>
      </c>
      <c r="AF13" s="29">
        <f>+(2.25+2.5+2.2+2.25+2.4)*0.333333333333333</f>
        <v>3.8666666666666623</v>
      </c>
      <c r="AG13" s="29">
        <f>+(2.25+2.5+2.3+2)*0.333333333333333</f>
        <v>3.0166666666666639</v>
      </c>
      <c r="AH13" s="29">
        <f>+(2.4+2.2+2.4+2.25+2.25)*0.333333333333333</f>
        <v>3.8333333333333295</v>
      </c>
      <c r="AI13" s="29">
        <f>+(2.3+2+2.5)*0.333333333333333</f>
        <v>2.2666666666666644</v>
      </c>
      <c r="AJ13" s="29">
        <f>+(1+1.25+2+2.25+2.25)*0.333333333333333</f>
        <v>2.9166666666666634</v>
      </c>
      <c r="AK13" s="29">
        <f>+(1.5+2.3)*0.333333333333333</f>
        <v>1.2666666666666653</v>
      </c>
      <c r="AL13" s="29">
        <f>+(2.5+2.25+2.4+2.5)*0.333333333333333</f>
        <v>3.2166666666666632</v>
      </c>
    </row>
    <row r="14" spans="2:39" ht="29.25" customHeight="1" x14ac:dyDescent="0.25">
      <c r="B14" s="9"/>
      <c r="C14" s="9"/>
      <c r="D14" s="6" t="s">
        <v>49</v>
      </c>
      <c r="E14" s="21">
        <f>+E15</f>
        <v>0.75</v>
      </c>
      <c r="F14" s="1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spans="2:39" s="4" customFormat="1" ht="293.25" x14ac:dyDescent="0.25">
      <c r="B15" s="10">
        <v>1</v>
      </c>
      <c r="C15" s="10">
        <v>3</v>
      </c>
      <c r="D15" s="4" t="s">
        <v>50</v>
      </c>
      <c r="E15" s="17">
        <v>0.75</v>
      </c>
      <c r="F15" s="8" t="s">
        <v>53</v>
      </c>
      <c r="G15" s="31">
        <f>+(10+3+10+5+10+7+3)*5/75</f>
        <v>3.2</v>
      </c>
      <c r="H15" s="31">
        <f>+(10+5+8+8+10+5)*5/75</f>
        <v>3.0666666666666669</v>
      </c>
      <c r="I15" s="31">
        <f>+(7+7+5+5+8)*5/75</f>
        <v>2.1333333333333333</v>
      </c>
      <c r="J15" s="31">
        <f>+(7+7+10+4+10+7+3)*5/75</f>
        <v>3.2</v>
      </c>
      <c r="K15" s="31"/>
      <c r="L15" s="31">
        <f>+(9+7+5)*5/75</f>
        <v>1.4</v>
      </c>
      <c r="M15" s="31">
        <f>+(8+5+10+8)*5/75</f>
        <v>2.0666666666666669</v>
      </c>
      <c r="N15" s="31">
        <f>+(7+10+10+9)*5/75</f>
        <v>2.4</v>
      </c>
      <c r="O15" s="31">
        <f>+(10+12+5+5+9+10)*5/75</f>
        <v>3.4</v>
      </c>
      <c r="P15" s="31">
        <f>+(10+10+10+8+10+4)*5/75</f>
        <v>3.4666666666666668</v>
      </c>
      <c r="Q15" s="31">
        <f>+(8+7+10+5)*5/75</f>
        <v>2</v>
      </c>
      <c r="R15" s="31">
        <f>+(10+6+9+7+10+8)*0.0666666666666667</f>
        <v>3.3333333333333348</v>
      </c>
      <c r="S15" s="31">
        <f>+(5+7+5+10+8)*0.0666666666666667</f>
        <v>2.3333333333333344</v>
      </c>
      <c r="T15" s="31">
        <f>+(10+5+2+5+5+3)*0.0666666666666667</f>
        <v>2.0000000000000009</v>
      </c>
      <c r="U15" s="31">
        <f>+(5+9+7+10+5+3)*0.0666666666666667</f>
        <v>2.600000000000001</v>
      </c>
      <c r="V15" s="31">
        <f>+(10+3+3)*0.0666666666666667</f>
        <v>1.0666666666666671</v>
      </c>
      <c r="W15" s="31">
        <f>+(9+5+10+7)*0.0666666666666667</f>
        <v>2.0666666666666673</v>
      </c>
      <c r="X15" s="31">
        <f>+(15+10+10+5+5+10)*0.0666666666666667</f>
        <v>3.6666666666666683</v>
      </c>
      <c r="Y15" s="31">
        <f>+(10+9+7+5+5+3)*0.0666666666666667</f>
        <v>2.600000000000001</v>
      </c>
      <c r="Z15" s="31">
        <f>+(8+9+7+10+8+3)*0.0666666666666667</f>
        <v>3.0000000000000013</v>
      </c>
      <c r="AA15" s="31">
        <f>+(7+8+5+10)*0.0666666666666667</f>
        <v>2.0000000000000009</v>
      </c>
      <c r="AB15" s="31">
        <f>+(9+7+10+5)*0.0666666666666667</f>
        <v>2.0666666666666673</v>
      </c>
      <c r="AC15" s="31">
        <f>+(8+7+10+5)*0.0666666666666667</f>
        <v>2.0000000000000009</v>
      </c>
      <c r="AD15" s="31">
        <f>+(2+8+7+9+9+3)*0.0666666666666667</f>
        <v>2.5333333333333345</v>
      </c>
      <c r="AE15" s="31">
        <f>+(10+9+8+10+10+10)*0.0666666666666667</f>
        <v>3.8000000000000016</v>
      </c>
      <c r="AF15" s="31">
        <f>+(7+5+0+2+8+3)*0.0666666666666667</f>
        <v>1.6666666666666674</v>
      </c>
      <c r="AG15" s="31">
        <f>+(9+7+10+10+3)*0.0666666666666667</f>
        <v>2.600000000000001</v>
      </c>
      <c r="AH15" s="31">
        <f>+(4+9+9+4+8+3)*0.0666666666666667</f>
        <v>2.4666666666666677</v>
      </c>
      <c r="AI15" s="31">
        <f>+(10+9+7+10+5)*0.0666666666666667</f>
        <v>2.7333333333333343</v>
      </c>
      <c r="AJ15" s="31">
        <f>+(8+5+9+5+10+10+10)*0.0666666666666667</f>
        <v>3.8000000000000016</v>
      </c>
      <c r="AK15" s="31">
        <f>+(4+8+10+3)*0.0666666666666667</f>
        <v>1.6666666666666674</v>
      </c>
      <c r="AL15" s="31">
        <f>+(8+7+10+8)*0.0666666666666667</f>
        <v>2.2000000000000011</v>
      </c>
    </row>
    <row r="16" spans="2:39" x14ac:dyDescent="0.25">
      <c r="B16" s="9" t="s">
        <v>5</v>
      </c>
      <c r="C16" s="9"/>
      <c r="D16" s="6" t="s">
        <v>4</v>
      </c>
      <c r="E16" s="16">
        <f>SUM(E12,E10,E14)</f>
        <v>1</v>
      </c>
      <c r="F16" s="22"/>
      <c r="G16" s="32">
        <f>+G11*$E$11+G13*$E$13+G15*$E$15</f>
        <v>3.4403571428571431</v>
      </c>
      <c r="H16" s="32">
        <f t="shared" ref="H16:AL16" si="0">+H11*$E$11+H13*$E$13+H15*$E$15</f>
        <v>3.3596428571428572</v>
      </c>
      <c r="I16" s="32">
        <f t="shared" si="0"/>
        <v>2.4867857142857144</v>
      </c>
      <c r="J16" s="32">
        <f t="shared" si="0"/>
        <v>3.5432142857142859</v>
      </c>
      <c r="K16" s="32">
        <f t="shared" si="0"/>
        <v>0</v>
      </c>
      <c r="L16" s="32">
        <f t="shared" si="0"/>
        <v>1.8710714285714285</v>
      </c>
      <c r="M16" s="32">
        <f t="shared" si="0"/>
        <v>2.4707142857142856</v>
      </c>
      <c r="N16" s="32">
        <f t="shared" si="0"/>
        <v>2.7103571428571427</v>
      </c>
      <c r="O16" s="32">
        <f t="shared" si="0"/>
        <v>3.4821428571428568</v>
      </c>
      <c r="P16" s="32">
        <f t="shared" si="0"/>
        <v>3.617142857142857</v>
      </c>
      <c r="Q16" s="32">
        <f t="shared" si="0"/>
        <v>2.3249999999999997</v>
      </c>
      <c r="R16" s="32">
        <f t="shared" si="0"/>
        <v>3.691071428571429</v>
      </c>
      <c r="S16" s="32">
        <f t="shared" si="0"/>
        <v>2.729285714285715</v>
      </c>
      <c r="T16" s="32">
        <f t="shared" si="0"/>
        <v>2.4292857142857147</v>
      </c>
      <c r="U16" s="32">
        <f t="shared" si="0"/>
        <v>2.8910714285714292</v>
      </c>
      <c r="V16" s="32">
        <f t="shared" si="0"/>
        <v>1.9342857142857142</v>
      </c>
      <c r="W16" s="32">
        <f t="shared" si="0"/>
        <v>2.4364285714285714</v>
      </c>
      <c r="X16" s="32">
        <f t="shared" si="0"/>
        <v>3.819642857142858</v>
      </c>
      <c r="Y16" s="32">
        <f t="shared" si="0"/>
        <v>3.0096428571428575</v>
      </c>
      <c r="Z16" s="32">
        <f t="shared" si="0"/>
        <v>3.1660714285714295</v>
      </c>
      <c r="AA16" s="32">
        <f t="shared" si="0"/>
        <v>2.5049999999999999</v>
      </c>
      <c r="AB16" s="32">
        <f t="shared" si="0"/>
        <v>2.5882142857142858</v>
      </c>
      <c r="AC16" s="32">
        <f t="shared" si="0"/>
        <v>2.4003571428571435</v>
      </c>
      <c r="AD16" s="32">
        <f t="shared" si="0"/>
        <v>2.7275000000000009</v>
      </c>
      <c r="AE16" s="32">
        <f t="shared" si="0"/>
        <v>3.8542857142857159</v>
      </c>
      <c r="AF16" s="32">
        <f t="shared" si="0"/>
        <v>2.1985714285714284</v>
      </c>
      <c r="AG16" s="32">
        <f t="shared" si="0"/>
        <v>2.8296428571428578</v>
      </c>
      <c r="AH16" s="32">
        <f t="shared" si="0"/>
        <v>2.8642857142857148</v>
      </c>
      <c r="AI16" s="32">
        <f t="shared" si="0"/>
        <v>2.8514285714285723</v>
      </c>
      <c r="AJ16" s="32">
        <f t="shared" si="0"/>
        <v>3.7475000000000014</v>
      </c>
      <c r="AK16" s="32">
        <f t="shared" si="0"/>
        <v>1.8807142857142862</v>
      </c>
      <c r="AL16" s="32">
        <f t="shared" si="0"/>
        <v>2.5589285714285719</v>
      </c>
      <c r="AM16" s="25"/>
    </row>
    <row r="17" spans="2:38" x14ac:dyDescent="0.25">
      <c r="B17" s="3"/>
      <c r="C17" s="3"/>
      <c r="D17" s="3"/>
      <c r="E17" s="19"/>
      <c r="F17" s="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2:38" x14ac:dyDescent="0.25">
      <c r="B18" s="3"/>
      <c r="C18" s="3"/>
      <c r="D18" s="3"/>
      <c r="E18" s="19"/>
      <c r="F18" s="3"/>
    </row>
    <row r="19" spans="2:38" x14ac:dyDescent="0.25">
      <c r="B19" s="3"/>
      <c r="C19" s="3"/>
      <c r="D19" s="3"/>
      <c r="E19" s="19"/>
      <c r="F19" s="3"/>
    </row>
    <row r="20" spans="2:38" x14ac:dyDescent="0.25">
      <c r="B20" s="3"/>
      <c r="C20" s="3"/>
      <c r="D20" s="3"/>
      <c r="E20" s="19"/>
      <c r="F20" s="3"/>
      <c r="M20" s="26"/>
      <c r="N20" s="27"/>
      <c r="O20" s="27"/>
      <c r="P20" s="27"/>
      <c r="Q20" s="26"/>
    </row>
    <row r="21" spans="2:38" x14ac:dyDescent="0.25">
      <c r="B21" s="3"/>
      <c r="C21" s="3"/>
      <c r="D21" s="3"/>
      <c r="E21" s="19"/>
      <c r="F21" s="3"/>
      <c r="M21" s="26"/>
      <c r="N21" s="27"/>
      <c r="O21" s="26"/>
      <c r="P21" s="26"/>
      <c r="Q21" s="26"/>
    </row>
    <row r="22" spans="2:38" x14ac:dyDescent="0.25">
      <c r="B22" s="3"/>
      <c r="C22" s="3"/>
      <c r="D22" s="3"/>
      <c r="E22" s="19"/>
      <c r="F22" s="3"/>
      <c r="M22" s="26"/>
      <c r="N22" s="26"/>
      <c r="O22" s="26"/>
      <c r="P22" s="26"/>
      <c r="Q22" s="26"/>
    </row>
    <row r="23" spans="2:38" x14ac:dyDescent="0.25">
      <c r="B23" s="3"/>
      <c r="C23" s="3"/>
      <c r="D23" s="3"/>
      <c r="E23" s="19"/>
      <c r="F23" s="3"/>
      <c r="M23" s="26"/>
      <c r="N23" s="26"/>
      <c r="O23" s="26"/>
      <c r="P23" s="26"/>
      <c r="Q23" s="26"/>
    </row>
    <row r="24" spans="2:38" x14ac:dyDescent="0.25">
      <c r="B24" s="3"/>
      <c r="C24" s="3"/>
      <c r="D24" s="3"/>
      <c r="E24" s="19"/>
      <c r="F24" s="3"/>
    </row>
    <row r="25" spans="2:38" x14ac:dyDescent="0.25">
      <c r="B25" s="3"/>
      <c r="C25" s="3"/>
      <c r="D25" s="3"/>
      <c r="E25" s="19"/>
      <c r="F25" s="3"/>
    </row>
    <row r="26" spans="2:38" x14ac:dyDescent="0.25">
      <c r="B26" s="3"/>
      <c r="C26" s="3"/>
    </row>
    <row r="27" spans="2:38" x14ac:dyDescent="0.25">
      <c r="B27" s="3"/>
      <c r="C27" s="3"/>
    </row>
    <row r="28" spans="2:38" x14ac:dyDescent="0.25">
      <c r="B28" s="3"/>
      <c r="C28" s="3"/>
    </row>
    <row r="29" spans="2:38" x14ac:dyDescent="0.25">
      <c r="B29" s="3"/>
      <c r="C29" s="3"/>
    </row>
    <row r="30" spans="2:38" x14ac:dyDescent="0.25">
      <c r="B30" s="3"/>
      <c r="C30" s="3"/>
    </row>
    <row r="31" spans="2:38" x14ac:dyDescent="0.25">
      <c r="B31" s="3"/>
      <c r="C31" s="3"/>
    </row>
    <row r="32" spans="2:38" x14ac:dyDescent="0.25">
      <c r="B32" s="3"/>
      <c r="C32" s="3"/>
    </row>
    <row r="33" spans="2:3" x14ac:dyDescent="0.25">
      <c r="B33" s="3"/>
      <c r="C33" s="3"/>
    </row>
  </sheetData>
  <pageMargins left="0.25" right="0.25" top="0.75" bottom="0.75" header="0.3" footer="0.3"/>
  <pageSetup scale="2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Cinthya Carolina</cp:lastModifiedBy>
  <cp:lastPrinted>2011-10-04T12:18:18Z</cp:lastPrinted>
  <dcterms:created xsi:type="dcterms:W3CDTF">2010-08-06T19:41:06Z</dcterms:created>
  <dcterms:modified xsi:type="dcterms:W3CDTF">2011-11-25T06:18:58Z</dcterms:modified>
</cp:coreProperties>
</file>