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Справочник городов" sheetId="2" r:id="rId5"/>
    <sheet state="visible" name="Статистика" sheetId="3" r:id="rId6"/>
  </sheets>
  <definedNames/>
  <calcPr/>
</workbook>
</file>

<file path=xl/sharedStrings.xml><?xml version="1.0" encoding="utf-8"?>
<sst xmlns="http://schemas.openxmlformats.org/spreadsheetml/2006/main" count="68" uniqueCount="59">
  <si>
    <t>Отметка времени</t>
  </si>
  <si>
    <t>Страна</t>
  </si>
  <si>
    <t>Город (населенный пункт)</t>
  </si>
  <si>
    <t>Название города по-английски</t>
  </si>
  <si>
    <t>Дата начал отпуска</t>
  </si>
  <si>
    <t>Дата окончания отпуска</t>
  </si>
  <si>
    <t>Планируемый бюджет, руб</t>
  </si>
  <si>
    <t>Стоимость билетов, руб</t>
  </si>
  <si>
    <t>Стоимость проживания, руб</t>
  </si>
  <si>
    <t>Траты на отдыхе, руб</t>
  </si>
  <si>
    <t>Оценка отдыха</t>
  </si>
  <si>
    <t>Всего потрачено, руб</t>
  </si>
  <si>
    <t>Отклонение от планируемого бюджета, руб</t>
  </si>
  <si>
    <t>Стоимость одного дня отдыха, руб</t>
  </si>
  <si>
    <t>Турция</t>
  </si>
  <si>
    <t>Анталия</t>
  </si>
  <si>
    <t>Россия</t>
  </si>
  <si>
    <t>Липецк</t>
  </si>
  <si>
    <t>Джугба</t>
  </si>
  <si>
    <t>ОАЭ</t>
  </si>
  <si>
    <t>Дубай</t>
  </si>
  <si>
    <t>Санкт-Петербург</t>
  </si>
  <si>
    <t>Тайланд</t>
  </si>
  <si>
    <t>Бангкок</t>
  </si>
  <si>
    <t>Сербия</t>
  </si>
  <si>
    <t>Нови-Сад</t>
  </si>
  <si>
    <t>Москва</t>
  </si>
  <si>
    <t>Германия</t>
  </si>
  <si>
    <t>Берлин</t>
  </si>
  <si>
    <t>США</t>
  </si>
  <si>
    <t>Нью-Йорк</t>
  </si>
  <si>
    <t>Китай</t>
  </si>
  <si>
    <t>Шанхай</t>
  </si>
  <si>
    <t>Мюнхен</t>
  </si>
  <si>
    <t>Казахстан</t>
  </si>
  <si>
    <t>Астана</t>
  </si>
  <si>
    <t>Стамбул</t>
  </si>
  <si>
    <t>Кыргызстан</t>
  </si>
  <si>
    <t>Ош</t>
  </si>
  <si>
    <t>Венгрия</t>
  </si>
  <si>
    <t>Будапешт</t>
  </si>
  <si>
    <t xml:space="preserve">Россия </t>
  </si>
  <si>
    <t xml:space="preserve">Москва </t>
  </si>
  <si>
    <t>RU</t>
  </si>
  <si>
    <t>ENG</t>
  </si>
  <si>
    <t>St Petersburg</t>
  </si>
  <si>
    <t>Munich [München]</t>
  </si>
  <si>
    <t>Корреляция:</t>
  </si>
  <si>
    <t>Количество значений</t>
  </si>
  <si>
    <t>Стандартное отклонение</t>
  </si>
  <si>
    <t>Среднее по выборке</t>
  </si>
  <si>
    <t>Уровень значимости</t>
  </si>
  <si>
    <t>H0</t>
  </si>
  <si>
    <t>H1</t>
  </si>
  <si>
    <t xml:space="preserve"> Degrees of freedom</t>
  </si>
  <si>
    <t>T-статистика</t>
  </si>
  <si>
    <t>p-value</t>
  </si>
  <si>
    <t>H0 принимается</t>
  </si>
  <si>
    <t>!=0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</si>
</sst>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8093B3"/>
        <bgColor rgb="FF8093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4" xfId="0" applyAlignment="1" applyBorder="1" applyFont="1" applyNumberFormat="1">
      <alignment readingOrder="0"/>
    </xf>
    <xf borderId="1" fillId="0" fontId="3" numFmtId="1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1" xfId="0" applyBorder="1" applyFont="1" applyNumberFormat="1"/>
    <xf borderId="1" fillId="0" fontId="3" numFmtId="165" xfId="0" applyBorder="1" applyFont="1" applyNumberFormat="1"/>
    <xf borderId="1" fillId="0" fontId="4" numFmtId="0" xfId="0" applyAlignment="1" applyBorder="1" applyFont="1">
      <alignment horizontal="center"/>
    </xf>
    <xf borderId="1" fillId="0" fontId="3" numFmtId="0" xfId="0" applyBorder="1" applyFont="1"/>
    <xf borderId="0" fillId="0" fontId="3" numFmtId="164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3" fontId="5" numFmtId="0" xfId="0" applyAlignment="1" applyBorder="1" applyFill="1" applyFont="1">
      <alignment vertical="bottom"/>
    </xf>
    <xf borderId="1" fillId="0" fontId="6" numFmtId="0" xfId="0" applyAlignment="1" applyBorder="1" applyFont="1">
      <alignment horizontal="right" vertical="bottom"/>
    </xf>
    <xf borderId="1" fillId="3" fontId="5" numFmtId="0" xfId="0" applyAlignment="1" applyBorder="1" applyFont="1">
      <alignment shrinkToFit="0" vertical="bottom" wrapText="1"/>
    </xf>
    <xf borderId="1" fillId="0" fontId="6" numFmtId="1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Оценка отдыха от стоимости одного дня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'Ответы на форму (1)'!$K$1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'Ответы на форму (1)'!$N$2:$N$19</c:f>
            </c:numRef>
          </c:xVal>
          <c:yVal>
            <c:numRef>
              <c:f>'Ответы на форму (1)'!$K$2:$K$19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08629"/>
        <c:axId val="1706757584"/>
      </c:scatterChart>
      <c:valAx>
        <c:axId val="13169086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757584"/>
      </c:valAx>
      <c:valAx>
        <c:axId val="170675758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908629"/>
        <c:majorUnit val="1.0"/>
        <c:minorUnit val="0.16666666666666666"/>
      </c:valAx>
    </c:plotArea>
    <c:plotVisOnly val="1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180975</xdr:rowOff>
    </xdr:from>
    <xdr:ext cx="4276725" cy="26479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6" width="18.88"/>
    <col customWidth="1" min="7" max="7" width="21.63"/>
    <col customWidth="1" min="8" max="8" width="19.75"/>
    <col customWidth="1" min="9" max="9" width="22.75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</row>
    <row r="2">
      <c r="A2" s="5">
        <v>45529.44216349537</v>
      </c>
      <c r="B2" s="6" t="s">
        <v>14</v>
      </c>
      <c r="C2" s="6" t="s">
        <v>15</v>
      </c>
      <c r="D2" s="6" t="str">
        <f>VLOOKUP(C2,'Справочник городов'!$A$1:$B$17, 2, FALSE)</f>
        <v>Antalya</v>
      </c>
      <c r="E2" s="7">
        <v>45502.0</v>
      </c>
      <c r="F2" s="7">
        <v>45509.0</v>
      </c>
      <c r="G2" s="6">
        <v>200000.0</v>
      </c>
      <c r="H2" s="8">
        <v>30919.0</v>
      </c>
      <c r="I2" s="8">
        <v>89565.0</v>
      </c>
      <c r="J2" s="8">
        <v>76367.0</v>
      </c>
      <c r="K2" s="9">
        <v>5.0</v>
      </c>
      <c r="L2" s="10">
        <f t="shared" ref="L2:L18" si="1">sum(H2:J2)</f>
        <v>196851</v>
      </c>
      <c r="M2" s="10">
        <f t="shared" ref="M2:M19" si="2">G2-L2</f>
        <v>3149</v>
      </c>
      <c r="N2" s="11">
        <f t="shared" ref="N2:N19" si="3">L2 / (DATEDIF(E2,F2,"D") + 1)</f>
        <v>24606.375</v>
      </c>
      <c r="O2" s="4"/>
    </row>
    <row r="3">
      <c r="A3" s="5">
        <v>45529.44265789352</v>
      </c>
      <c r="B3" s="6" t="s">
        <v>16</v>
      </c>
      <c r="C3" s="6" t="s">
        <v>17</v>
      </c>
      <c r="D3" s="6" t="str">
        <f>VLOOKUP(C3,'Справочник городов'!$A$1:$B$17, 2, FALSE)</f>
        <v>Lipetsk</v>
      </c>
      <c r="E3" s="7">
        <v>45524.0</v>
      </c>
      <c r="F3" s="7">
        <v>45527.0</v>
      </c>
      <c r="G3" s="6">
        <v>15000.0</v>
      </c>
      <c r="H3" s="8">
        <v>3075.0</v>
      </c>
      <c r="I3" s="8">
        <v>3145.0</v>
      </c>
      <c r="J3" s="8">
        <v>3028.0</v>
      </c>
      <c r="K3" s="12">
        <v>5.0</v>
      </c>
      <c r="L3" s="10">
        <f t="shared" si="1"/>
        <v>9248</v>
      </c>
      <c r="M3" s="10">
        <f t="shared" si="2"/>
        <v>5752</v>
      </c>
      <c r="N3" s="10">
        <f t="shared" si="3"/>
        <v>2312</v>
      </c>
      <c r="O3" s="4"/>
    </row>
    <row r="4">
      <c r="A4" s="5">
        <v>45529.57437483796</v>
      </c>
      <c r="B4" s="6" t="s">
        <v>16</v>
      </c>
      <c r="C4" s="6" t="s">
        <v>18</v>
      </c>
      <c r="D4" s="6" t="str">
        <f>VLOOKUP(C4,'Справочник городов'!$A$1:$B$17, 2, FALSE)</f>
        <v>Dzhugba</v>
      </c>
      <c r="E4" s="7">
        <v>45510.0</v>
      </c>
      <c r="F4" s="7">
        <v>45518.0</v>
      </c>
      <c r="G4" s="6">
        <v>170000.0</v>
      </c>
      <c r="H4" s="8">
        <v>67978.0</v>
      </c>
      <c r="I4" s="8">
        <v>68391.0</v>
      </c>
      <c r="J4" s="8">
        <v>30464.0</v>
      </c>
      <c r="K4" s="12">
        <v>5.0</v>
      </c>
      <c r="L4" s="10">
        <f t="shared" si="1"/>
        <v>166833</v>
      </c>
      <c r="M4" s="10">
        <f t="shared" si="2"/>
        <v>3167</v>
      </c>
      <c r="N4" s="10">
        <f t="shared" si="3"/>
        <v>18537</v>
      </c>
      <c r="O4" s="4"/>
    </row>
    <row r="5">
      <c r="A5" s="5">
        <v>45529.574860671295</v>
      </c>
      <c r="B5" s="6" t="s">
        <v>19</v>
      </c>
      <c r="C5" s="6" t="s">
        <v>20</v>
      </c>
      <c r="D5" s="6" t="str">
        <f>VLOOKUP(C5,'Справочник городов'!$A$1:$B$17, 2, FALSE)</f>
        <v>Dubai</v>
      </c>
      <c r="E5" s="7">
        <v>45658.0</v>
      </c>
      <c r="F5" s="7">
        <v>45664.0</v>
      </c>
      <c r="G5" s="6">
        <v>120000.0</v>
      </c>
      <c r="H5" s="8">
        <v>50901.0</v>
      </c>
      <c r="I5" s="8">
        <v>37476.0</v>
      </c>
      <c r="J5" s="8">
        <v>24770.0</v>
      </c>
      <c r="K5" s="12">
        <v>2.0</v>
      </c>
      <c r="L5" s="10">
        <f t="shared" si="1"/>
        <v>113147</v>
      </c>
      <c r="M5" s="10">
        <f t="shared" si="2"/>
        <v>6853</v>
      </c>
      <c r="N5" s="10">
        <f t="shared" si="3"/>
        <v>16163.85714</v>
      </c>
      <c r="O5" s="4"/>
    </row>
    <row r="6">
      <c r="A6" s="5">
        <v>45529.57827023148</v>
      </c>
      <c r="B6" s="6" t="s">
        <v>16</v>
      </c>
      <c r="C6" s="6" t="s">
        <v>21</v>
      </c>
      <c r="D6" s="6" t="str">
        <f>VLOOKUP(C6,'Справочник городов'!$A$1:$B$17, 2, FALSE)</f>
        <v>St Petersburg</v>
      </c>
      <c r="E6" s="7">
        <v>45723.0</v>
      </c>
      <c r="F6" s="7">
        <v>45725.0</v>
      </c>
      <c r="G6" s="6">
        <v>25000.0</v>
      </c>
      <c r="H6" s="8">
        <v>12037.0</v>
      </c>
      <c r="I6" s="8">
        <v>9350.0</v>
      </c>
      <c r="J6" s="8">
        <v>3959.0</v>
      </c>
      <c r="K6" s="9">
        <v>2.0</v>
      </c>
      <c r="L6" s="10">
        <f t="shared" si="1"/>
        <v>25346</v>
      </c>
      <c r="M6" s="10">
        <f t="shared" si="2"/>
        <v>-346</v>
      </c>
      <c r="N6" s="10">
        <f t="shared" si="3"/>
        <v>8448.666667</v>
      </c>
      <c r="O6" s="4"/>
    </row>
    <row r="7">
      <c r="A7" s="5">
        <v>45529.57955938658</v>
      </c>
      <c r="B7" s="6" t="s">
        <v>22</v>
      </c>
      <c r="C7" s="6" t="s">
        <v>23</v>
      </c>
      <c r="D7" s="6" t="str">
        <f>VLOOKUP(C7,'Справочник городов'!$A$1:$B$17, 2, FALSE)</f>
        <v>Bangkok</v>
      </c>
      <c r="E7" s="7">
        <v>45173.0</v>
      </c>
      <c r="F7" s="7">
        <v>45186.0</v>
      </c>
      <c r="G7" s="6">
        <v>290000.0</v>
      </c>
      <c r="H7" s="8">
        <v>30678.0</v>
      </c>
      <c r="I7" s="8">
        <v>85153.0</v>
      </c>
      <c r="J7" s="8">
        <v>104614.0</v>
      </c>
      <c r="K7" s="12">
        <v>4.0</v>
      </c>
      <c r="L7" s="10">
        <f t="shared" si="1"/>
        <v>220445</v>
      </c>
      <c r="M7" s="10">
        <f t="shared" si="2"/>
        <v>69555</v>
      </c>
      <c r="N7" s="10">
        <f t="shared" si="3"/>
        <v>15746.07143</v>
      </c>
      <c r="O7" s="4"/>
    </row>
    <row r="8">
      <c r="A8" s="5">
        <v>45529.5812091088</v>
      </c>
      <c r="B8" s="6" t="s">
        <v>24</v>
      </c>
      <c r="C8" s="6" t="s">
        <v>25</v>
      </c>
      <c r="D8" s="6" t="str">
        <f>VLOOKUP(C8,'Справочник городов'!$A$1:$B$17, 2, FALSE)</f>
        <v>Novi Sad</v>
      </c>
      <c r="E8" s="7">
        <v>45962.0</v>
      </c>
      <c r="F8" s="7">
        <v>45991.0</v>
      </c>
      <c r="G8" s="6">
        <v>250000.0</v>
      </c>
      <c r="H8" s="8">
        <v>96135.0</v>
      </c>
      <c r="I8" s="8">
        <v>77755.0</v>
      </c>
      <c r="J8" s="8">
        <v>110922.0</v>
      </c>
      <c r="K8" s="12">
        <v>3.0</v>
      </c>
      <c r="L8" s="10">
        <f t="shared" si="1"/>
        <v>284812</v>
      </c>
      <c r="M8" s="10">
        <f t="shared" si="2"/>
        <v>-34812</v>
      </c>
      <c r="N8" s="10">
        <f t="shared" si="3"/>
        <v>9493.733333</v>
      </c>
      <c r="O8" s="4"/>
    </row>
    <row r="9">
      <c r="A9" s="5">
        <v>45529.58501793981</v>
      </c>
      <c r="B9" s="6" t="s">
        <v>16</v>
      </c>
      <c r="C9" s="6" t="s">
        <v>26</v>
      </c>
      <c r="D9" s="6" t="str">
        <f>VLOOKUP(C9,'Справочник городов'!$A$1:$B$17, 2, FALSE)</f>
        <v>Moscow</v>
      </c>
      <c r="E9" s="7">
        <v>44798.0</v>
      </c>
      <c r="F9" s="7">
        <v>44810.0</v>
      </c>
      <c r="G9" s="6">
        <v>100000.0</v>
      </c>
      <c r="H9" s="8">
        <v>10936.0</v>
      </c>
      <c r="I9" s="8">
        <v>46473.0</v>
      </c>
      <c r="J9" s="8">
        <v>36289.0</v>
      </c>
      <c r="K9" s="12">
        <v>4.0</v>
      </c>
      <c r="L9" s="10">
        <f t="shared" si="1"/>
        <v>93698</v>
      </c>
      <c r="M9" s="10">
        <f t="shared" si="2"/>
        <v>6302</v>
      </c>
      <c r="N9" s="10">
        <f t="shared" si="3"/>
        <v>7207.538462</v>
      </c>
      <c r="O9" s="4"/>
    </row>
    <row r="10">
      <c r="A10" s="5">
        <v>45529.58602619213</v>
      </c>
      <c r="B10" s="6" t="s">
        <v>27</v>
      </c>
      <c r="C10" s="6" t="s">
        <v>28</v>
      </c>
      <c r="D10" s="6" t="str">
        <f>VLOOKUP(C10,'Справочник городов'!$A$1:$B$17, 2, FALSE)</f>
        <v>Berlin</v>
      </c>
      <c r="E10" s="7">
        <v>45078.0</v>
      </c>
      <c r="F10" s="7">
        <v>45089.0</v>
      </c>
      <c r="G10" s="6">
        <v>500000.0</v>
      </c>
      <c r="H10" s="8">
        <v>240839.0</v>
      </c>
      <c r="I10" s="8">
        <v>156473.0</v>
      </c>
      <c r="J10" s="8">
        <v>204513.0</v>
      </c>
      <c r="K10" s="12">
        <v>4.0</v>
      </c>
      <c r="L10" s="10">
        <f t="shared" si="1"/>
        <v>601825</v>
      </c>
      <c r="M10" s="10">
        <f t="shared" si="2"/>
        <v>-101825</v>
      </c>
      <c r="N10" s="10">
        <f t="shared" si="3"/>
        <v>50152.08333</v>
      </c>
      <c r="O10" s="4"/>
    </row>
    <row r="11">
      <c r="A11" s="5">
        <v>45529.58641888889</v>
      </c>
      <c r="B11" s="6" t="s">
        <v>29</v>
      </c>
      <c r="C11" s="6" t="s">
        <v>30</v>
      </c>
      <c r="D11" s="6" t="str">
        <f>VLOOKUP(C11,'Справочник городов'!$A$1:$B$17, 2, FALSE)</f>
        <v>New York</v>
      </c>
      <c r="E11" s="7">
        <v>44685.0</v>
      </c>
      <c r="F11" s="7">
        <v>44697.0</v>
      </c>
      <c r="G11" s="6">
        <v>100000.0</v>
      </c>
      <c r="H11" s="8">
        <v>14154.0</v>
      </c>
      <c r="I11" s="8">
        <v>25085.0</v>
      </c>
      <c r="J11" s="8">
        <v>39530.0</v>
      </c>
      <c r="K11" s="12">
        <v>4.0</v>
      </c>
      <c r="L11" s="10">
        <f t="shared" si="1"/>
        <v>78769</v>
      </c>
      <c r="M11" s="10">
        <f t="shared" si="2"/>
        <v>21231</v>
      </c>
      <c r="N11" s="10">
        <f t="shared" si="3"/>
        <v>6059.153846</v>
      </c>
      <c r="O11" s="4"/>
    </row>
    <row r="12">
      <c r="A12" s="5">
        <v>45529.608814583335</v>
      </c>
      <c r="B12" s="6" t="s">
        <v>14</v>
      </c>
      <c r="C12" s="6" t="s">
        <v>15</v>
      </c>
      <c r="D12" s="6" t="str">
        <f>VLOOKUP(C12,'Справочник городов'!$A$1:$B$17, 2, FALSE)</f>
        <v>Antalya</v>
      </c>
      <c r="E12" s="7">
        <v>45496.0</v>
      </c>
      <c r="F12" s="7">
        <v>45512.0</v>
      </c>
      <c r="G12" s="6">
        <v>200000.0</v>
      </c>
      <c r="H12" s="8">
        <v>46841.0</v>
      </c>
      <c r="I12" s="8">
        <v>63190.0</v>
      </c>
      <c r="J12" s="8">
        <v>75907.0</v>
      </c>
      <c r="K12" s="12">
        <v>1.0</v>
      </c>
      <c r="L12" s="10">
        <f t="shared" si="1"/>
        <v>185938</v>
      </c>
      <c r="M12" s="10">
        <f t="shared" si="2"/>
        <v>14062</v>
      </c>
      <c r="N12" s="10">
        <f t="shared" si="3"/>
        <v>10937.52941</v>
      </c>
      <c r="O12" s="4"/>
    </row>
    <row r="13">
      <c r="A13" s="5">
        <v>45529.61117024306</v>
      </c>
      <c r="B13" s="6" t="s">
        <v>31</v>
      </c>
      <c r="C13" s="6" t="s">
        <v>32</v>
      </c>
      <c r="D13" s="6" t="str">
        <f>VLOOKUP(C13,'Справочник городов'!$A$1:$B$17, 2, FALSE)</f>
        <v>Shanghai</v>
      </c>
      <c r="E13" s="7">
        <v>45475.0</v>
      </c>
      <c r="F13" s="7">
        <v>45485.0</v>
      </c>
      <c r="G13" s="6">
        <v>150000.0</v>
      </c>
      <c r="H13" s="8">
        <v>34435.0</v>
      </c>
      <c r="I13" s="8">
        <v>34911.0</v>
      </c>
      <c r="J13" s="8">
        <v>45646.0</v>
      </c>
      <c r="K13" s="12">
        <v>3.0</v>
      </c>
      <c r="L13" s="10">
        <f t="shared" si="1"/>
        <v>114992</v>
      </c>
      <c r="M13" s="10">
        <f t="shared" si="2"/>
        <v>35008</v>
      </c>
      <c r="N13" s="10">
        <f t="shared" si="3"/>
        <v>10453.81818</v>
      </c>
      <c r="O13" s="4"/>
    </row>
    <row r="14">
      <c r="A14" s="5">
        <v>45529.611558495366</v>
      </c>
      <c r="B14" s="6" t="s">
        <v>27</v>
      </c>
      <c r="C14" s="6" t="s">
        <v>33</v>
      </c>
      <c r="D14" s="6" t="str">
        <f>VLOOKUP(C14,'Справочник городов'!$A$1:$B$17, 2, FALSE)</f>
        <v>Munich [München]</v>
      </c>
      <c r="E14" s="7">
        <v>45343.0</v>
      </c>
      <c r="F14" s="7">
        <v>45347.0</v>
      </c>
      <c r="G14" s="6">
        <v>67500.0</v>
      </c>
      <c r="H14" s="8">
        <v>17775.0</v>
      </c>
      <c r="I14" s="8">
        <v>32538.0</v>
      </c>
      <c r="J14" s="8">
        <v>29460.0</v>
      </c>
      <c r="K14" s="12">
        <v>1.0</v>
      </c>
      <c r="L14" s="10">
        <f t="shared" si="1"/>
        <v>79773</v>
      </c>
      <c r="M14" s="10">
        <f t="shared" si="2"/>
        <v>-12273</v>
      </c>
      <c r="N14" s="10">
        <f t="shared" si="3"/>
        <v>15954.6</v>
      </c>
      <c r="O14" s="4"/>
    </row>
    <row r="15">
      <c r="A15" s="5">
        <v>45529.62204855324</v>
      </c>
      <c r="B15" s="6" t="s">
        <v>34</v>
      </c>
      <c r="C15" s="6" t="s">
        <v>35</v>
      </c>
      <c r="D15" s="6" t="str">
        <f>VLOOKUP(C15,'Справочник городов'!$A$1:$B$17, 2, FALSE)</f>
        <v>Astana</v>
      </c>
      <c r="E15" s="7">
        <v>45204.0</v>
      </c>
      <c r="F15" s="7">
        <v>45209.0</v>
      </c>
      <c r="G15" s="6">
        <v>90000.0</v>
      </c>
      <c r="H15" s="8">
        <v>30933.0</v>
      </c>
      <c r="I15" s="8">
        <v>36987.0</v>
      </c>
      <c r="J15" s="8">
        <v>39724.0</v>
      </c>
      <c r="K15" s="12">
        <v>5.0</v>
      </c>
      <c r="L15" s="10">
        <f t="shared" si="1"/>
        <v>107644</v>
      </c>
      <c r="M15" s="10">
        <f t="shared" si="2"/>
        <v>-17644</v>
      </c>
      <c r="N15" s="10">
        <f t="shared" si="3"/>
        <v>17940.66667</v>
      </c>
      <c r="O15" s="4"/>
    </row>
    <row r="16">
      <c r="A16" s="5">
        <v>45529.70239142361</v>
      </c>
      <c r="B16" s="6" t="s">
        <v>14</v>
      </c>
      <c r="C16" s="6" t="s">
        <v>36</v>
      </c>
      <c r="D16" s="6" t="str">
        <f>VLOOKUP(C16,'Справочник городов'!$A$1:$B$17, 2, FALSE)</f>
        <v>Istanbul</v>
      </c>
      <c r="E16" s="7">
        <v>44727.0</v>
      </c>
      <c r="F16" s="7">
        <v>44741.0</v>
      </c>
      <c r="G16" s="6">
        <v>160000.0</v>
      </c>
      <c r="H16" s="8">
        <v>75451.0</v>
      </c>
      <c r="I16" s="8">
        <v>68234.0</v>
      </c>
      <c r="J16" s="8">
        <v>76435.0</v>
      </c>
      <c r="K16" s="12">
        <v>4.0</v>
      </c>
      <c r="L16" s="10">
        <f t="shared" si="1"/>
        <v>220120</v>
      </c>
      <c r="M16" s="10">
        <f t="shared" si="2"/>
        <v>-60120</v>
      </c>
      <c r="N16" s="10">
        <f t="shared" si="3"/>
        <v>14674.66667</v>
      </c>
      <c r="O16" s="4"/>
    </row>
    <row r="17">
      <c r="A17" s="5">
        <v>45529.90383922454</v>
      </c>
      <c r="B17" s="6" t="s">
        <v>14</v>
      </c>
      <c r="C17" s="6" t="s">
        <v>15</v>
      </c>
      <c r="D17" s="6" t="str">
        <f>VLOOKUP(C17,'Справочник городов'!$A$1:$B$17, 2, FALSE)</f>
        <v>Antalya</v>
      </c>
      <c r="E17" s="7">
        <v>45680.0</v>
      </c>
      <c r="F17" s="7">
        <v>45698.0</v>
      </c>
      <c r="G17" s="6">
        <v>200000.0</v>
      </c>
      <c r="H17" s="6">
        <v>58748.0</v>
      </c>
      <c r="I17" s="6">
        <v>94865.0</v>
      </c>
      <c r="J17" s="6">
        <v>48007.0</v>
      </c>
      <c r="K17" s="9">
        <v>4.0</v>
      </c>
      <c r="L17" s="13">
        <f t="shared" si="1"/>
        <v>201620</v>
      </c>
      <c r="M17" s="13">
        <f t="shared" si="2"/>
        <v>-1620</v>
      </c>
      <c r="N17" s="10">
        <f t="shared" si="3"/>
        <v>10611.57895</v>
      </c>
      <c r="O17" s="4"/>
    </row>
    <row r="18">
      <c r="A18" s="5">
        <v>45530.876005474536</v>
      </c>
      <c r="B18" s="6" t="s">
        <v>37</v>
      </c>
      <c r="C18" s="6" t="s">
        <v>38</v>
      </c>
      <c r="D18" s="6" t="str">
        <f>VLOOKUP(C18,'Справочник городов'!$A$1:$B$17, 2, FALSE)</f>
        <v>Osh</v>
      </c>
      <c r="E18" s="7">
        <v>45474.0</v>
      </c>
      <c r="F18" s="7">
        <v>45535.0</v>
      </c>
      <c r="G18" s="6">
        <v>200000.0</v>
      </c>
      <c r="H18" s="6">
        <v>65865.0</v>
      </c>
      <c r="I18" s="6">
        <v>37942.0</v>
      </c>
      <c r="J18" s="6">
        <v>54333.0</v>
      </c>
      <c r="K18" s="9">
        <v>3.0</v>
      </c>
      <c r="L18" s="13">
        <f t="shared" si="1"/>
        <v>158140</v>
      </c>
      <c r="M18" s="13">
        <f t="shared" si="2"/>
        <v>41860</v>
      </c>
      <c r="N18" s="10">
        <f t="shared" si="3"/>
        <v>2550.645161</v>
      </c>
      <c r="O18" s="4"/>
    </row>
    <row r="19">
      <c r="A19" s="5">
        <v>45531.43662851852</v>
      </c>
      <c r="B19" s="6" t="s">
        <v>39</v>
      </c>
      <c r="C19" s="6" t="s">
        <v>40</v>
      </c>
      <c r="D19" s="6" t="str">
        <f>VLOOKUP(C19,'Справочник городов'!$A$1:$B$17, 2, FALSE)</f>
        <v>Budapest</v>
      </c>
      <c r="E19" s="7">
        <v>45444.0</v>
      </c>
      <c r="F19" s="7">
        <v>45566.0</v>
      </c>
      <c r="G19" s="6">
        <v>400000.0</v>
      </c>
      <c r="H19" s="6">
        <v>267900.0</v>
      </c>
      <c r="I19" s="6">
        <v>143567.0</v>
      </c>
      <c r="J19" s="6">
        <v>98776.0</v>
      </c>
      <c r="K19" s="9">
        <v>5.0</v>
      </c>
      <c r="L19" s="13">
        <f>sum(H19:K19)</f>
        <v>510248</v>
      </c>
      <c r="M19" s="13">
        <f t="shared" si="2"/>
        <v>-110248</v>
      </c>
      <c r="N19" s="10">
        <f t="shared" si="3"/>
        <v>4148.357724</v>
      </c>
      <c r="O19" s="4"/>
    </row>
    <row r="20">
      <c r="A20" s="14"/>
      <c r="E20" s="15"/>
      <c r="F20" s="15"/>
    </row>
    <row r="21">
      <c r="A21" s="14">
        <v>45552.96112934028</v>
      </c>
      <c r="B21" s="16" t="s">
        <v>41</v>
      </c>
      <c r="C21" s="16" t="s">
        <v>42</v>
      </c>
      <c r="E21" s="15">
        <v>45523.0</v>
      </c>
      <c r="F21" s="15">
        <v>45562.0</v>
      </c>
      <c r="G21" s="16">
        <v>100000.0</v>
      </c>
    </row>
  </sheetData>
  <conditionalFormatting sqref="K2:K19">
    <cfRule type="cellIs" dxfId="0" priority="1" operator="lessThanOrEqual">
      <formula>2</formula>
    </cfRule>
  </conditionalFormatting>
  <conditionalFormatting sqref="K2:K19">
    <cfRule type="cellIs" dxfId="1" priority="2" operator="between">
      <formula>3</formula>
      <formula>4</formula>
    </cfRule>
  </conditionalFormatting>
  <conditionalFormatting sqref="K2:K19">
    <cfRule type="cellIs" dxfId="2" priority="3" operator="equal">
      <formula>5</formula>
    </cfRule>
  </conditionalFormatting>
  <conditionalFormatting sqref="M2:M19">
    <cfRule type="cellIs" dxfId="2" priority="4" operator="greaterThan">
      <formula>0</formula>
    </cfRule>
  </conditionalFormatting>
  <conditionalFormatting sqref="M2:M19">
    <cfRule type="cellIs" dxfId="0" priority="5" operator="lessThan">
      <formula>0</formula>
    </cfRule>
  </conditionalFormatting>
  <conditionalFormatting sqref="F27">
    <cfRule type="notContainsBlanks" dxfId="3" priority="6">
      <formula>LEN(TRIM(F27))&gt;0</formula>
    </cfRule>
  </conditionalFormatting>
  <conditionalFormatting sqref="K25">
    <cfRule type="notContainsBlanks" dxfId="3" priority="7">
      <formula>LEN(TRIM(K25))&gt;0</formula>
    </cfRule>
  </conditionalFormatting>
  <dataValidations>
    <dataValidation type="list" allowBlank="1" showErrorMessage="1" sqref="K2:K19">
      <formula1>"5,4,3,2,1"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43</v>
      </c>
      <c r="B1" s="1" t="s">
        <v>44</v>
      </c>
    </row>
    <row r="2">
      <c r="A2" s="13" t="str">
        <f>IFERROR(__xludf.DUMMYFUNCTION("UNIQUE('Ответы на форму (1)'!C2:C19)"),"Анталия")</f>
        <v>Анталия</v>
      </c>
      <c r="B2" s="13" t="str">
        <f>IFERROR(__xludf.DUMMYFUNCTION("GOOGLETRANSLATE(A2,""RU"",""EN"")"),"Antalya")</f>
        <v>Antalya</v>
      </c>
    </row>
    <row r="3">
      <c r="A3" s="13" t="str">
        <f>IFERROR(__xludf.DUMMYFUNCTION("""COMPUTED_VALUE"""),"Липецк")</f>
        <v>Липецк</v>
      </c>
      <c r="B3" s="13" t="str">
        <f>IFERROR(__xludf.DUMMYFUNCTION("GOOGLETRANSLATE(A3,""RU"",""EN"")"),"Lipetsk")</f>
        <v>Lipetsk</v>
      </c>
    </row>
    <row r="4">
      <c r="A4" s="13" t="str">
        <f>IFERROR(__xludf.DUMMYFUNCTION("""COMPUTED_VALUE"""),"Джугба")</f>
        <v>Джугба</v>
      </c>
      <c r="B4" s="13" t="str">
        <f>IFERROR(__xludf.DUMMYFUNCTION("GOOGLETRANSLATE(A4,""RU"",""EN"")"),"Dzhugba")</f>
        <v>Dzhugba</v>
      </c>
    </row>
    <row r="5">
      <c r="A5" s="13" t="str">
        <f>IFERROR(__xludf.DUMMYFUNCTION("""COMPUTED_VALUE"""),"Дубай")</f>
        <v>Дубай</v>
      </c>
      <c r="B5" s="13" t="str">
        <f>IFERROR(__xludf.DUMMYFUNCTION("GOOGLETRANSLATE(A5,""RU"",""EN"")"),"Dubai")</f>
        <v>Dubai</v>
      </c>
    </row>
    <row r="6">
      <c r="A6" s="13" t="str">
        <f>IFERROR(__xludf.DUMMYFUNCTION("""COMPUTED_VALUE"""),"Санкт-Петербург")</f>
        <v>Санкт-Петербург</v>
      </c>
      <c r="B6" s="13" t="s">
        <v>45</v>
      </c>
    </row>
    <row r="7">
      <c r="A7" s="13" t="str">
        <f>IFERROR(__xludf.DUMMYFUNCTION("""COMPUTED_VALUE"""),"Бангкок")</f>
        <v>Бангкок</v>
      </c>
      <c r="B7" s="13" t="str">
        <f>IFERROR(__xludf.DUMMYFUNCTION("GOOGLETRANSLATE(A7,""RU"",""EN"")"),"Bangkok")</f>
        <v>Bangkok</v>
      </c>
    </row>
    <row r="8">
      <c r="A8" s="13" t="str">
        <f>IFERROR(__xludf.DUMMYFUNCTION("""COMPUTED_VALUE"""),"Нови-Сад")</f>
        <v>Нови-Сад</v>
      </c>
      <c r="B8" s="13" t="str">
        <f>IFERROR(__xludf.DUMMYFUNCTION("GOOGLETRANSLATE(A8,""RU"",""EN"")"),"Novi Sad")</f>
        <v>Novi Sad</v>
      </c>
    </row>
    <row r="9">
      <c r="A9" s="13" t="str">
        <f>IFERROR(__xludf.DUMMYFUNCTION("""COMPUTED_VALUE"""),"Москва")</f>
        <v>Москва</v>
      </c>
      <c r="B9" s="13" t="str">
        <f>IFERROR(__xludf.DUMMYFUNCTION("GOOGLETRANSLATE(A9,""RU"",""EN"")"),"Moscow")</f>
        <v>Moscow</v>
      </c>
    </row>
    <row r="10">
      <c r="A10" s="13" t="str">
        <f>IFERROR(__xludf.DUMMYFUNCTION("""COMPUTED_VALUE"""),"Берлин")</f>
        <v>Берлин</v>
      </c>
      <c r="B10" s="13" t="str">
        <f>IFERROR(__xludf.DUMMYFUNCTION("GOOGLETRANSLATE(A10,""RU"",""EN"")"),"Berlin")</f>
        <v>Berlin</v>
      </c>
    </row>
    <row r="11">
      <c r="A11" s="13" t="str">
        <f>IFERROR(__xludf.DUMMYFUNCTION("""COMPUTED_VALUE"""),"Нью-Йорк")</f>
        <v>Нью-Йорк</v>
      </c>
      <c r="B11" s="13" t="str">
        <f>IFERROR(__xludf.DUMMYFUNCTION("GOOGLETRANSLATE(A11,""RU"",""EN"")"),"New York")</f>
        <v>New York</v>
      </c>
    </row>
    <row r="12">
      <c r="A12" s="13" t="str">
        <f>IFERROR(__xludf.DUMMYFUNCTION("""COMPUTED_VALUE"""),"Шанхай")</f>
        <v>Шанхай</v>
      </c>
      <c r="B12" s="13" t="str">
        <f>IFERROR(__xludf.DUMMYFUNCTION("GOOGLETRANSLATE(A12,""RU"",""EN"")"),"Shanghai")</f>
        <v>Shanghai</v>
      </c>
    </row>
    <row r="13">
      <c r="A13" s="13" t="str">
        <f>IFERROR(__xludf.DUMMYFUNCTION("""COMPUTED_VALUE"""),"Мюнхен")</f>
        <v>Мюнхен</v>
      </c>
      <c r="B13" s="6" t="s">
        <v>46</v>
      </c>
    </row>
    <row r="14">
      <c r="A14" s="13" t="str">
        <f>IFERROR(__xludf.DUMMYFUNCTION("""COMPUTED_VALUE"""),"Астана")</f>
        <v>Астана</v>
      </c>
      <c r="B14" s="13" t="str">
        <f>IFERROR(__xludf.DUMMYFUNCTION("GOOGLETRANSLATE(A14,""RU"",""EN"")"),"Astana")</f>
        <v>Astana</v>
      </c>
    </row>
    <row r="15">
      <c r="A15" s="13" t="str">
        <f>IFERROR(__xludf.DUMMYFUNCTION("""COMPUTED_VALUE"""),"Стамбул")</f>
        <v>Стамбул</v>
      </c>
      <c r="B15" s="13" t="str">
        <f>IFERROR(__xludf.DUMMYFUNCTION("GOOGLETRANSLATE(A15,""RU"",""EN"")"),"Istanbul")</f>
        <v>Istanbul</v>
      </c>
    </row>
    <row r="16">
      <c r="A16" s="13" t="str">
        <f>IFERROR(__xludf.DUMMYFUNCTION("""COMPUTED_VALUE"""),"Ош")</f>
        <v>Ош</v>
      </c>
      <c r="B16" s="13" t="str">
        <f>IFERROR(__xludf.DUMMYFUNCTION("GOOGLETRANSLATE(A16,""RU"",""EN"")"),"Osh")</f>
        <v>Osh</v>
      </c>
    </row>
    <row r="17">
      <c r="A17" s="13" t="str">
        <f>IFERROR(__xludf.DUMMYFUNCTION("""COMPUTED_VALUE"""),"Будапешт")</f>
        <v>Будапешт</v>
      </c>
      <c r="B17" s="13" t="str">
        <f>IFERROR(__xludf.DUMMYFUNCTION("GOOGLETRANSLATE(A17,""RU"",""EN"")"),"Budapest")</f>
        <v>Budapest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47</v>
      </c>
      <c r="B1" s="18">
        <f>CORREL('Ответы на форму (1)'!K2:K1000, 'Ответы на форму (1)'!N2:N1000)</f>
        <v>0.09860419411</v>
      </c>
    </row>
    <row r="18">
      <c r="A18" s="19" t="s">
        <v>48</v>
      </c>
      <c r="B18" s="13">
        <f>COUNT('Ответы на форму (1)'!M2:M19)</f>
        <v>18</v>
      </c>
    </row>
    <row r="19">
      <c r="A19" s="19" t="s">
        <v>49</v>
      </c>
      <c r="B19" s="18">
        <f>STDEV('Ответы на форму (1)'!M2:M19)</f>
        <v>45665.40357</v>
      </c>
    </row>
    <row r="20">
      <c r="A20" s="19" t="s">
        <v>50</v>
      </c>
      <c r="B20" s="20">
        <f>AVERAGE('Ответы на форму (1)'!M2:M19)</f>
        <v>-7330.5</v>
      </c>
      <c r="D20" s="19" t="s">
        <v>51</v>
      </c>
      <c r="E20" s="18">
        <v>0.05</v>
      </c>
    </row>
    <row r="23">
      <c r="A23" s="21" t="s">
        <v>52</v>
      </c>
      <c r="B23" s="21" t="s">
        <v>53</v>
      </c>
      <c r="C23" s="22" t="s">
        <v>54</v>
      </c>
      <c r="D23" s="21" t="s">
        <v>55</v>
      </c>
      <c r="E23" s="22" t="s">
        <v>56</v>
      </c>
      <c r="F23" s="22" t="s">
        <v>57</v>
      </c>
    </row>
    <row r="24">
      <c r="A24" s="6">
        <v>0.0</v>
      </c>
      <c r="B24" s="6" t="s">
        <v>58</v>
      </c>
      <c r="C24" s="13">
        <f>COUNT('Ответы на форму (1)'!A2:A19) - 1</f>
        <v>17</v>
      </c>
      <c r="D24" s="13">
        <f>ABS(($B$20-$A$24)*sqrt($B$18)/$B$19)</f>
        <v>0.6810555722</v>
      </c>
      <c r="E24" s="13">
        <f>TDIST(D24,C24,2)</f>
        <v>0.5050083363</v>
      </c>
      <c r="F24" s="23" t="str">
        <f>IF($E$24 &gt; $E$20, "ДА", "НЕТ")</f>
        <v>ДА</v>
      </c>
    </row>
  </sheetData>
  <conditionalFormatting sqref="F24">
    <cfRule type="cellIs" dxfId="3" priority="1" operator="equal">
      <formula>"ДА"</formula>
    </cfRule>
  </conditionalFormatting>
  <drawing r:id="rId1"/>
</worksheet>
</file>