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ltech-my.sharepoint.com/personal/lester_caltech_edu/Documents/CCH-Most HAL Docs/Documents/PAPERS/Nichols Aaron SSRIs/"/>
    </mc:Choice>
  </mc:AlternateContent>
  <xr:revisionPtr revIDLastSave="50" documentId="8_{D49762DA-5668-465D-B8C3-26C0DD839878}" xr6:coauthVersionLast="47" xr6:coauthVersionMax="47" xr10:uidLastSave="{6AE39338-B4BC-433F-98CE-25D133CE23EF}"/>
  <bookViews>
    <workbookView xWindow="24202" yWindow="-98" windowWidth="28995" windowHeight="16395" xr2:uid="{F948E581-2BC3-44FB-B759-5BD38B362282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E32" i="1"/>
  <c r="K27" i="1"/>
  <c r="K30" i="1"/>
  <c r="E28" i="1"/>
  <c r="H28" i="1"/>
  <c r="K28" i="1"/>
  <c r="B28" i="1"/>
  <c r="J18" i="1" s="1"/>
  <c r="B39" i="1"/>
  <c r="B40" i="1" s="1"/>
  <c r="K53" i="1"/>
  <c r="K47" i="1"/>
  <c r="K50" i="1"/>
  <c r="B23" i="1"/>
  <c r="K48" i="1" s="1"/>
  <c r="K46" i="1"/>
  <c r="B50" i="1"/>
  <c r="B47" i="1"/>
  <c r="B46" i="1"/>
  <c r="K38" i="1"/>
  <c r="E50" i="1"/>
  <c r="E47" i="1"/>
  <c r="E46" i="1"/>
  <c r="E38" i="1"/>
  <c r="E53" i="1"/>
  <c r="E30" i="1"/>
  <c r="B53" i="1"/>
  <c r="B30" i="1"/>
  <c r="B44" i="1"/>
  <c r="B45" i="1" s="1"/>
  <c r="K32" i="1"/>
  <c r="D69" i="1"/>
  <c r="D70" i="1"/>
  <c r="H38" i="1"/>
  <c r="H53" i="1"/>
  <c r="H46" i="1"/>
  <c r="H50" i="1"/>
  <c r="H47" i="1"/>
  <c r="H30" i="1"/>
  <c r="H32" i="1"/>
  <c r="B18" i="1"/>
  <c r="B19" i="1" s="1"/>
  <c r="E16" i="1"/>
  <c r="F16" i="1"/>
  <c r="G16" i="1"/>
  <c r="K29" i="1"/>
  <c r="B29" i="1"/>
  <c r="H29" i="1"/>
  <c r="E29" i="1" l="1"/>
  <c r="J16" i="1"/>
  <c r="K39" i="1"/>
  <c r="K40" i="1" s="1"/>
  <c r="B41" i="1"/>
  <c r="B42" i="1" s="1"/>
  <c r="B55" i="1" s="1"/>
  <c r="B63" i="1" s="1"/>
  <c r="H39" i="1"/>
  <c r="H40" i="1" s="1"/>
  <c r="E39" i="1"/>
  <c r="E40" i="1" s="1"/>
  <c r="B49" i="1"/>
  <c r="H49" i="1"/>
  <c r="K49" i="1"/>
  <c r="K51" i="1" s="1"/>
  <c r="E49" i="1"/>
  <c r="B48" i="1"/>
  <c r="H48" i="1"/>
  <c r="E48" i="1"/>
  <c r="C63" i="1" l="1"/>
  <c r="D63" i="1"/>
  <c r="H18" i="1"/>
  <c r="K52" i="1"/>
  <c r="K56" i="1" s="1"/>
  <c r="H17" i="1"/>
  <c r="E51" i="1"/>
  <c r="H51" i="1"/>
  <c r="B51" i="1"/>
  <c r="G17" i="1" l="1"/>
  <c r="G18" i="1"/>
  <c r="H52" i="1"/>
  <c r="H56" i="1" s="1"/>
  <c r="D68" i="1"/>
  <c r="D64" i="1"/>
  <c r="F18" i="1"/>
  <c r="E52" i="1"/>
  <c r="E56" i="1" s="1"/>
  <c r="F17" i="1"/>
  <c r="H43" i="1"/>
  <c r="B52" i="1"/>
  <c r="B56" i="1" s="1"/>
  <c r="K43" i="1"/>
  <c r="E43" i="1"/>
  <c r="E17" i="1"/>
  <c r="E44" i="1"/>
  <c r="E18" i="1"/>
  <c r="E55" i="1" l="1"/>
  <c r="B65" i="1" s="1"/>
  <c r="B64" i="1"/>
  <c r="B68" i="1"/>
  <c r="C64" i="1"/>
  <c r="C68" i="1"/>
  <c r="B57" i="1"/>
  <c r="H44" i="1"/>
  <c r="H55" i="1" s="1"/>
  <c r="K44" i="1"/>
  <c r="K55" i="1" s="1"/>
  <c r="B67" i="1" l="1"/>
  <c r="B75" i="1" s="1"/>
  <c r="E57" i="1"/>
  <c r="F15" i="1" s="1"/>
  <c r="K57" i="1"/>
  <c r="D67" i="1"/>
  <c r="D65" i="1"/>
  <c r="C67" i="1"/>
  <c r="H57" i="1"/>
  <c r="G15" i="1" s="1"/>
  <c r="G19" i="1" s="1"/>
  <c r="E15" i="1"/>
  <c r="C65" i="1"/>
  <c r="B73" i="1" l="1"/>
  <c r="B78" i="1"/>
  <c r="B74" i="1"/>
  <c r="B76" i="1" s="1"/>
  <c r="C78" i="1"/>
  <c r="C75" i="1"/>
  <c r="C74" i="1"/>
  <c r="C79" i="1" s="1"/>
  <c r="C73" i="1"/>
  <c r="D78" i="1"/>
  <c r="D74" i="1"/>
  <c r="D73" i="1"/>
  <c r="E19" i="1"/>
  <c r="K15" i="1"/>
  <c r="J15" i="1"/>
  <c r="D75" i="1"/>
  <c r="F19" i="1"/>
  <c r="L15" i="1"/>
  <c r="B79" i="1" l="1"/>
  <c r="B80" i="1"/>
  <c r="B77" i="1"/>
  <c r="C103" i="1" s="1"/>
  <c r="D79" i="1"/>
  <c r="C87" i="1"/>
  <c r="D76" i="1"/>
  <c r="C117" i="1"/>
  <c r="D80" i="1"/>
  <c r="D77" i="1"/>
  <c r="C80" i="1"/>
  <c r="C77" i="1"/>
  <c r="C76" i="1"/>
  <c r="C83" i="1"/>
  <c r="C109" i="1"/>
  <c r="C82" i="1" l="1"/>
  <c r="C85" i="1"/>
  <c r="B101" i="1"/>
  <c r="B105" i="1"/>
  <c r="B114" i="1"/>
  <c r="B86" i="1"/>
  <c r="E13" i="1" s="1"/>
  <c r="K13" i="1" s="1"/>
  <c r="B91" i="1"/>
  <c r="B102" i="1"/>
  <c r="B110" i="1"/>
  <c r="B115" i="1"/>
  <c r="B82" i="1"/>
  <c r="B111" i="1"/>
  <c r="C114" i="1"/>
  <c r="C115" i="1"/>
  <c r="C89" i="1"/>
  <c r="B116" i="1"/>
  <c r="B112" i="1"/>
  <c r="B94" i="1"/>
  <c r="C93" i="1"/>
  <c r="C86" i="1"/>
  <c r="F13" i="1" s="1"/>
  <c r="L13" i="1" s="1"/>
  <c r="B93" i="1"/>
  <c r="B89" i="1"/>
  <c r="B92" i="1"/>
  <c r="C94" i="1"/>
  <c r="C112" i="1"/>
  <c r="B95" i="1"/>
  <c r="B113" i="1"/>
  <c r="B107" i="1"/>
  <c r="B106" i="1"/>
  <c r="B109" i="1"/>
  <c r="B97" i="1"/>
  <c r="B96" i="1"/>
  <c r="B104" i="1"/>
  <c r="B84" i="1"/>
  <c r="B88" i="1"/>
  <c r="E14" i="1" s="1"/>
  <c r="K14" i="1" s="1"/>
  <c r="B117" i="1"/>
  <c r="B90" i="1"/>
  <c r="B103" i="1"/>
  <c r="B85" i="1"/>
  <c r="B108" i="1"/>
  <c r="B98" i="1"/>
  <c r="B87" i="1"/>
  <c r="B83" i="1"/>
  <c r="C91" i="1"/>
  <c r="C106" i="1"/>
  <c r="C90" i="1"/>
  <c r="C111" i="1"/>
  <c r="C108" i="1"/>
  <c r="C98" i="1"/>
  <c r="C95" i="1"/>
  <c r="C96" i="1"/>
  <c r="C92" i="1"/>
  <c r="C102" i="1"/>
  <c r="C110" i="1"/>
  <c r="C101" i="1"/>
  <c r="C97" i="1"/>
  <c r="C113" i="1"/>
  <c r="C88" i="1"/>
  <c r="F14" i="1" s="1"/>
  <c r="L14" i="1" s="1"/>
  <c r="C104" i="1"/>
  <c r="C105" i="1"/>
  <c r="C107" i="1"/>
  <c r="C84" i="1"/>
  <c r="C116" i="1"/>
  <c r="D83" i="1"/>
  <c r="D90" i="1"/>
  <c r="D88" i="1"/>
  <c r="G14" i="1" s="1"/>
  <c r="D84" i="1"/>
  <c r="E87" i="1"/>
  <c r="H14" i="1" s="1"/>
  <c r="E104" i="1"/>
  <c r="E83" i="1"/>
  <c r="D89" i="1"/>
  <c r="E102" i="1"/>
  <c r="D97" i="1"/>
  <c r="E82" i="1"/>
  <c r="E98" i="1"/>
  <c r="E106" i="1"/>
  <c r="E103" i="1"/>
  <c r="E85" i="1"/>
  <c r="E108" i="1"/>
  <c r="E84" i="1"/>
  <c r="E90" i="1"/>
  <c r="E94" i="1"/>
  <c r="D93" i="1"/>
  <c r="D98" i="1"/>
  <c r="D85" i="1"/>
  <c r="E112" i="1"/>
  <c r="D96" i="1"/>
  <c r="E113" i="1"/>
  <c r="E110" i="1"/>
  <c r="E95" i="1"/>
  <c r="E105" i="1"/>
  <c r="E96" i="1"/>
  <c r="D91" i="1"/>
  <c r="E92" i="1"/>
  <c r="E93" i="1"/>
  <c r="E107" i="1"/>
  <c r="D95" i="1"/>
  <c r="E115" i="1"/>
  <c r="E101" i="1"/>
  <c r="D82" i="1"/>
  <c r="D92" i="1"/>
  <c r="E97" i="1"/>
  <c r="E111" i="1"/>
  <c r="E114" i="1"/>
  <c r="E88" i="1"/>
  <c r="H15" i="1" s="1"/>
  <c r="H19" i="1" s="1"/>
  <c r="D87" i="1"/>
  <c r="E86" i="1"/>
  <c r="H13" i="1" s="1"/>
  <c r="E89" i="1"/>
  <c r="E109" i="1"/>
  <c r="D86" i="1"/>
  <c r="G13" i="1" s="1"/>
  <c r="D94" i="1"/>
  <c r="E117" i="1"/>
  <c r="E91" i="1"/>
  <c r="E116" i="1"/>
  <c r="J13" i="1" l="1"/>
  <c r="J14" i="1"/>
  <c r="J19" i="1"/>
  <c r="G20" i="1" l="1"/>
  <c r="E20" i="1"/>
  <c r="F20" i="1"/>
  <c r="H20" i="1"/>
</calcChain>
</file>

<file path=xl/sharedStrings.xml><?xml version="1.0" encoding="utf-8"?>
<sst xmlns="http://schemas.openxmlformats.org/spreadsheetml/2006/main" count="307" uniqueCount="176">
  <si>
    <t>Cytoplasm Lysosome Mitochondria Nucleus &amp; Lipids</t>
  </si>
  <si>
    <t>Monovalent ions</t>
  </si>
  <si>
    <t>color code</t>
  </si>
  <si>
    <t xml:space="preserve">message from me </t>
  </si>
  <si>
    <t>Data</t>
  </si>
  <si>
    <t>enter input data</t>
  </si>
  <si>
    <t>stt@env.dtu.dk</t>
  </si>
  <si>
    <t>Constants</t>
  </si>
  <si>
    <t>don't change</t>
  </si>
  <si>
    <t>Cyt</t>
  </si>
  <si>
    <t>pH 7, -70 mV</t>
  </si>
  <si>
    <t>Cytoplasm</t>
  </si>
  <si>
    <t>END</t>
  </si>
  <si>
    <t>pH 5.5, +10 mV</t>
  </si>
  <si>
    <t>ENDOSOMES</t>
  </si>
  <si>
    <t>Mit</t>
  </si>
  <si>
    <t>pH 8, - 160 mV</t>
  </si>
  <si>
    <t>Mitochondrium</t>
  </si>
  <si>
    <t>GOLGI</t>
  </si>
  <si>
    <t>pH 6.5, 0 mV</t>
  </si>
  <si>
    <t>calculations</t>
  </si>
  <si>
    <t>math - better don't care</t>
  </si>
  <si>
    <t>Math</t>
  </si>
  <si>
    <t>DATA</t>
  </si>
  <si>
    <t>RESULT</t>
  </si>
  <si>
    <t>Ergebnisse für Tabelle 1</t>
  </si>
  <si>
    <t xml:space="preserve">Chemical </t>
  </si>
  <si>
    <t>Time</t>
  </si>
  <si>
    <t>Cyt/out</t>
  </si>
  <si>
    <t>End/out</t>
  </si>
  <si>
    <t>Mit/out</t>
  </si>
  <si>
    <t>Golgi</t>
  </si>
  <si>
    <t>BCF (average C)</t>
  </si>
  <si>
    <t>Cyt solved</t>
  </si>
  <si>
    <t>Vesikels solved</t>
  </si>
  <si>
    <t>log Kow = logP</t>
  </si>
  <si>
    <t xml:space="preserve">of neutral </t>
  </si>
  <si>
    <t>10 min</t>
  </si>
  <si>
    <t>kg/m3</t>
  </si>
  <si>
    <t>pKa</t>
  </si>
  <si>
    <t>30 min</t>
  </si>
  <si>
    <t>valency</t>
  </si>
  <si>
    <t>base is +</t>
  </si>
  <si>
    <t>t = oo</t>
  </si>
  <si>
    <t>i</t>
  </si>
  <si>
    <t>acid -1base +1</t>
  </si>
  <si>
    <t>Nernst ratio</t>
  </si>
  <si>
    <t>MW</t>
  </si>
  <si>
    <t>g/mol</t>
  </si>
  <si>
    <t>solved fraction</t>
  </si>
  <si>
    <t>(-)</t>
  </si>
  <si>
    <t>% neutral outside</t>
  </si>
  <si>
    <t>at lipids</t>
  </si>
  <si>
    <t>sum volume</t>
  </si>
  <si>
    <t>% ion outside</t>
  </si>
  <si>
    <r>
      <t xml:space="preserve">mass </t>
    </r>
    <r>
      <rPr>
        <sz val="10"/>
        <rFont val="Arial"/>
        <family val="2"/>
      </rPr>
      <t>(t = oo)</t>
    </r>
  </si>
  <si>
    <t>kg</t>
  </si>
  <si>
    <t>sum mass t = oo</t>
  </si>
  <si>
    <t>mass %</t>
  </si>
  <si>
    <t>%</t>
  </si>
  <si>
    <t>Model section</t>
  </si>
  <si>
    <t>Good luck</t>
  </si>
  <si>
    <t>Calculated data</t>
  </si>
  <si>
    <t>History</t>
  </si>
  <si>
    <t>Kow</t>
  </si>
  <si>
    <t>Faraday</t>
  </si>
  <si>
    <t>C/mol</t>
  </si>
  <si>
    <t>Standard model</t>
  </si>
  <si>
    <t>log Kow diss</t>
  </si>
  <si>
    <t>log Kow neutral - 3.5</t>
  </si>
  <si>
    <t xml:space="preserve">R </t>
  </si>
  <si>
    <t>J mol-1 K-1</t>
  </si>
  <si>
    <t>P aqua added Feb 2010</t>
  </si>
  <si>
    <t>Kow diss</t>
  </si>
  <si>
    <t>Temp</t>
  </si>
  <si>
    <t>K</t>
  </si>
  <si>
    <t>Cyt Cytoplasm</t>
  </si>
  <si>
    <t>ENDOSOME</t>
  </si>
  <si>
    <t>Mit Mitochondria</t>
  </si>
  <si>
    <t>Diameter</t>
  </si>
  <si>
    <t>m</t>
  </si>
  <si>
    <t>Volume</t>
  </si>
  <si>
    <t>m3</t>
  </si>
  <si>
    <t>volume %</t>
  </si>
  <si>
    <t>area</t>
  </si>
  <si>
    <t>m2</t>
  </si>
  <si>
    <t>pH inside</t>
  </si>
  <si>
    <t>pH outside</t>
  </si>
  <si>
    <t xml:space="preserve">lipid </t>
  </si>
  <si>
    <t>g/g</t>
  </si>
  <si>
    <t xml:space="preserve">water </t>
  </si>
  <si>
    <t>Ion strength</t>
  </si>
  <si>
    <t>mol</t>
  </si>
  <si>
    <t>E</t>
  </si>
  <si>
    <t>V</t>
  </si>
  <si>
    <t>dx</t>
  </si>
  <si>
    <t xml:space="preserve">m   </t>
  </si>
  <si>
    <t>Pn</t>
  </si>
  <si>
    <t>m/s</t>
  </si>
  <si>
    <t>Paqua</t>
  </si>
  <si>
    <t>Pd calc</t>
  </si>
  <si>
    <t>Pd</t>
  </si>
  <si>
    <t>Fractions</t>
  </si>
  <si>
    <t>outside</t>
  </si>
  <si>
    <t>fon cytoplasm</t>
  </si>
  <si>
    <t>fon</t>
  </si>
  <si>
    <t>fod cytoplasm</t>
  </si>
  <si>
    <t>fod</t>
  </si>
  <si>
    <t>Fractions inside</t>
  </si>
  <si>
    <t>gammain</t>
  </si>
  <si>
    <t>gammaid</t>
  </si>
  <si>
    <t>Kin</t>
  </si>
  <si>
    <t>Kd</t>
  </si>
  <si>
    <t>Di</t>
  </si>
  <si>
    <t>fni</t>
  </si>
  <si>
    <t>fdi</t>
  </si>
  <si>
    <t>Ni</t>
  </si>
  <si>
    <t>Fluxes</t>
  </si>
  <si>
    <t>Eoi</t>
  </si>
  <si>
    <t>Eim</t>
  </si>
  <si>
    <t>Eio</t>
  </si>
  <si>
    <t>Emi</t>
  </si>
  <si>
    <t>Ratio in/out</t>
  </si>
  <si>
    <t xml:space="preserve">Co </t>
  </si>
  <si>
    <t>arbitrary value</t>
  </si>
  <si>
    <t>Analytical solution - parallel 2 x 2 matrices</t>
  </si>
  <si>
    <t xml:space="preserve">WN Nazaroff and L Alvarez-Cohen: Environmental engineering science, John Wiley &amp; Sons New York, 2001, page 624-625 </t>
  </si>
  <si>
    <t>Coefficients</t>
  </si>
  <si>
    <t>Cyt Lys</t>
  </si>
  <si>
    <t>Cyt Mit</t>
  </si>
  <si>
    <t>Cyt Nuc</t>
  </si>
  <si>
    <t>Units</t>
  </si>
  <si>
    <t>Equation</t>
  </si>
  <si>
    <t>Meaning</t>
  </si>
  <si>
    <t>S1 = I1</t>
  </si>
  <si>
    <t>kg/m3s</t>
  </si>
  <si>
    <t>Acyt/Vcyt*Eoi*Co</t>
  </si>
  <si>
    <t>Input to comp 1</t>
  </si>
  <si>
    <t>A2 = a12</t>
  </si>
  <si>
    <t>1/s</t>
  </si>
  <si>
    <t>Amit/Vcyt*Emi</t>
  </si>
  <si>
    <t>exchange rate 2 to 1</t>
  </si>
  <si>
    <t>L1 = - a11</t>
  </si>
  <si>
    <t>Acyt/Vcyt*Eio+Amyt/Vcyt*Eim</t>
  </si>
  <si>
    <t>loss rate 1</t>
  </si>
  <si>
    <t>S2 = I2</t>
  </si>
  <si>
    <t>Input to comp 2</t>
  </si>
  <si>
    <t>A1 = a21</t>
  </si>
  <si>
    <t>Amit/Vmit*Eim</t>
  </si>
  <si>
    <t>exchange rate 1 to 2</t>
  </si>
  <si>
    <t>L2 = - a22</t>
  </si>
  <si>
    <t>Amit/Vmit*Emi</t>
  </si>
  <si>
    <t>loss rate 2</t>
  </si>
  <si>
    <t>B1 = C1(0)</t>
  </si>
  <si>
    <t xml:space="preserve">kg/m3 </t>
  </si>
  <si>
    <t>initial conc C1</t>
  </si>
  <si>
    <t>B2 = C2(0)</t>
  </si>
  <si>
    <t>initial conc C2</t>
  </si>
  <si>
    <t>Terms</t>
  </si>
  <si>
    <t>r1</t>
  </si>
  <si>
    <t>r2</t>
  </si>
  <si>
    <t>C2ss</t>
  </si>
  <si>
    <t>F</t>
  </si>
  <si>
    <t>G</t>
  </si>
  <si>
    <t>C1ss</t>
  </si>
  <si>
    <t>H</t>
  </si>
  <si>
    <t>J</t>
  </si>
  <si>
    <t>Time (s)</t>
  </si>
  <si>
    <t>C Cytosol</t>
  </si>
  <si>
    <t>C ENDOSOMES</t>
  </si>
  <si>
    <t>C Mit</t>
  </si>
  <si>
    <t>C GOLGI</t>
  </si>
  <si>
    <t>SOLVATED FRACTION BY COMPARTMENT</t>
  </si>
  <si>
    <t>Stefan Trapp, Henry Lester - AKM modified</t>
  </si>
  <si>
    <t>last change Oct 6, 2022</t>
  </si>
  <si>
    <t>fluoxetine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</si>
</sst>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E+00"/>
    <numFmt numFmtId="167" formatCode="0.0"/>
  </numFmts>
  <fonts count="9" x14ac:knownFonts="1">
    <font>
      <sz val="10"/>
      <name val="Arial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2" borderId="0" xfId="0" applyFont="1" applyFill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2" fontId="4" fillId="2" borderId="0" xfId="0" applyNumberFormat="1" applyFont="1" applyFill="1"/>
    <xf numFmtId="11" fontId="4" fillId="2" borderId="0" xfId="0" applyNumberFormat="1" applyFont="1" applyFill="1"/>
    <xf numFmtId="0" fontId="5" fillId="3" borderId="0" xfId="0" applyFont="1" applyFill="1"/>
    <xf numFmtId="0" fontId="1" fillId="3" borderId="0" xfId="0" applyFont="1" applyFill="1" applyProtection="1"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1" fillId="7" borderId="0" xfId="0" applyFont="1" applyFill="1" applyProtection="1">
      <protection locked="0"/>
    </xf>
    <xf numFmtId="0" fontId="0" fillId="8" borderId="0" xfId="0" applyFill="1"/>
    <xf numFmtId="0" fontId="4" fillId="2" borderId="0" xfId="0" applyFont="1" applyFill="1" applyProtection="1">
      <protection locked="0"/>
    </xf>
    <xf numFmtId="0" fontId="0" fillId="9" borderId="0" xfId="0" applyFill="1"/>
    <xf numFmtId="0" fontId="1" fillId="10" borderId="0" xfId="0" applyFont="1" applyFill="1" applyProtection="1">
      <protection locked="0"/>
    </xf>
    <xf numFmtId="0" fontId="6" fillId="11" borderId="0" xfId="0" applyFont="1" applyFill="1" applyProtection="1">
      <protection locked="0"/>
    </xf>
    <xf numFmtId="11" fontId="0" fillId="2" borderId="0" xfId="0" applyNumberFormat="1" applyFill="1"/>
    <xf numFmtId="0" fontId="5" fillId="12" borderId="0" xfId="0" applyFont="1" applyFill="1" applyProtection="1">
      <protection locked="0"/>
    </xf>
    <xf numFmtId="0" fontId="0" fillId="4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11" fontId="1" fillId="8" borderId="0" xfId="0" applyNumberFormat="1" applyFont="1" applyFill="1" applyProtection="1">
      <protection locked="0"/>
    </xf>
    <xf numFmtId="11" fontId="5" fillId="2" borderId="0" xfId="0" applyNumberFormat="1" applyFont="1" applyFill="1"/>
    <xf numFmtId="0" fontId="1" fillId="5" borderId="0" xfId="0" applyFont="1" applyFill="1" applyProtection="1">
      <protection locked="0"/>
    </xf>
    <xf numFmtId="0" fontId="6" fillId="4" borderId="0" xfId="0" applyFont="1" applyFill="1" applyProtection="1">
      <protection locked="0"/>
    </xf>
    <xf numFmtId="11" fontId="1" fillId="7" borderId="0" xfId="0" applyNumberFormat="1" applyFont="1" applyFill="1" applyProtection="1">
      <protection locked="0"/>
    </xf>
    <xf numFmtId="0" fontId="1" fillId="11" borderId="0" xfId="0" applyFont="1" applyFill="1" applyProtection="1">
      <protection locked="0"/>
    </xf>
    <xf numFmtId="164" fontId="1" fillId="11" borderId="0" xfId="0" applyNumberFormat="1" applyFont="1" applyFill="1" applyProtection="1">
      <protection locked="0"/>
    </xf>
    <xf numFmtId="0" fontId="1" fillId="13" borderId="0" xfId="0" applyFont="1" applyFill="1" applyProtection="1">
      <protection locked="0"/>
    </xf>
    <xf numFmtId="11" fontId="1" fillId="2" borderId="0" xfId="0" applyNumberFormat="1" applyFont="1" applyFill="1" applyProtection="1">
      <protection locked="0"/>
    </xf>
    <xf numFmtId="0" fontId="7" fillId="4" borderId="0" xfId="0" applyFont="1" applyFill="1" applyProtection="1">
      <protection locked="0"/>
    </xf>
    <xf numFmtId="11" fontId="0" fillId="4" borderId="0" xfId="0" applyNumberFormat="1" applyFill="1"/>
    <xf numFmtId="0" fontId="5" fillId="9" borderId="0" xfId="0" applyFont="1" applyFill="1" applyProtection="1">
      <protection locked="0"/>
    </xf>
    <xf numFmtId="0" fontId="1" fillId="9" borderId="0" xfId="0" applyFont="1" applyFill="1" applyProtection="1">
      <protection locked="0"/>
    </xf>
    <xf numFmtId="0" fontId="5" fillId="0" borderId="0" xfId="0" applyFont="1"/>
    <xf numFmtId="2" fontId="1" fillId="9" borderId="0" xfId="0" applyNumberFormat="1" applyFont="1" applyFill="1" applyProtection="1">
      <protection locked="0"/>
    </xf>
    <xf numFmtId="0" fontId="1" fillId="6" borderId="0" xfId="0" applyFont="1" applyFill="1" applyProtection="1">
      <protection locked="0"/>
    </xf>
    <xf numFmtId="11" fontId="0" fillId="0" borderId="0" xfId="0" applyNumberFormat="1"/>
    <xf numFmtId="0" fontId="5" fillId="7" borderId="0" xfId="0" applyFont="1" applyFill="1" applyProtection="1">
      <protection locked="0"/>
    </xf>
    <xf numFmtId="0" fontId="5" fillId="8" borderId="0" xfId="0" applyFont="1" applyFill="1" applyProtection="1">
      <protection locked="0"/>
    </xf>
    <xf numFmtId="0" fontId="1" fillId="8" borderId="0" xfId="0" applyFont="1" applyFill="1" applyProtection="1">
      <protection locked="0"/>
    </xf>
    <xf numFmtId="11" fontId="1" fillId="9" borderId="0" xfId="0" applyNumberFormat="1" applyFont="1" applyFill="1" applyProtection="1">
      <protection locked="0"/>
    </xf>
    <xf numFmtId="0" fontId="1" fillId="14" borderId="0" xfId="0" applyFont="1" applyFill="1" applyProtection="1">
      <protection locked="0"/>
    </xf>
    <xf numFmtId="0" fontId="1" fillId="15" borderId="0" xfId="0" applyFont="1" applyFill="1" applyProtection="1">
      <protection locked="0"/>
    </xf>
    <xf numFmtId="165" fontId="5" fillId="0" borderId="0" xfId="0" applyNumberFormat="1" applyFont="1"/>
    <xf numFmtId="165" fontId="0" fillId="0" borderId="0" xfId="0" applyNumberFormat="1"/>
    <xf numFmtId="11" fontId="1" fillId="14" borderId="0" xfId="0" applyNumberFormat="1" applyFont="1" applyFill="1" applyProtection="1">
      <protection locked="0"/>
    </xf>
    <xf numFmtId="11" fontId="1" fillId="15" borderId="0" xfId="0" applyNumberFormat="1" applyFont="1" applyFill="1" applyProtection="1">
      <protection locked="0"/>
    </xf>
    <xf numFmtId="0" fontId="5" fillId="3" borderId="0" xfId="0" applyFont="1" applyFill="1" applyProtection="1">
      <protection locked="0"/>
    </xf>
    <xf numFmtId="0" fontId="1" fillId="16" borderId="0" xfId="0" applyFont="1" applyFill="1" applyProtection="1">
      <protection locked="0"/>
    </xf>
    <xf numFmtId="0" fontId="0" fillId="13" borderId="0" xfId="0" applyFill="1"/>
    <xf numFmtId="0" fontId="1" fillId="4" borderId="0" xfId="0" applyFont="1" applyFill="1" applyProtection="1">
      <protection locked="0"/>
    </xf>
    <xf numFmtId="11" fontId="1" fillId="7" borderId="0" xfId="0" applyNumberFormat="1" applyFont="1" applyFill="1"/>
    <xf numFmtId="0" fontId="0" fillId="17" borderId="0" xfId="0" applyFill="1"/>
    <xf numFmtId="0" fontId="5" fillId="17" borderId="0" xfId="0" applyFont="1" applyFill="1"/>
    <xf numFmtId="0" fontId="5" fillId="2" borderId="0" xfId="0" applyFont="1" applyFill="1"/>
    <xf numFmtId="2" fontId="1" fillId="2" borderId="0" xfId="0" applyNumberFormat="1" applyFont="1" applyFill="1" applyProtection="1">
      <protection locked="0"/>
    </xf>
    <xf numFmtId="166" fontId="1" fillId="9" borderId="0" xfId="0" applyNumberFormat="1" applyFont="1" applyFill="1" applyProtection="1">
      <protection locked="0"/>
    </xf>
    <xf numFmtId="0" fontId="1" fillId="17" borderId="0" xfId="0" applyFont="1" applyFill="1" applyProtection="1">
      <protection locked="0"/>
    </xf>
    <xf numFmtId="11" fontId="1" fillId="17" borderId="0" xfId="0" applyNumberFormat="1" applyFont="1" applyFill="1"/>
    <xf numFmtId="11" fontId="1" fillId="17" borderId="0" xfId="0" applyNumberFormat="1" applyFont="1" applyFill="1" applyProtection="1">
      <protection locked="0"/>
    </xf>
    <xf numFmtId="2" fontId="1" fillId="2" borderId="0" xfId="0" applyNumberFormat="1" applyFont="1" applyFill="1"/>
    <xf numFmtId="0" fontId="5" fillId="2" borderId="0" xfId="0" applyFont="1" applyFill="1" applyAlignment="1">
      <alignment horizontal="left"/>
    </xf>
    <xf numFmtId="0" fontId="1" fillId="0" borderId="0" xfId="0" applyFont="1" applyProtection="1">
      <protection locked="0"/>
    </xf>
    <xf numFmtId="11" fontId="1" fillId="0" borderId="0" xfId="0" applyNumberFormat="1" applyFont="1" applyProtection="1">
      <protection locked="0"/>
    </xf>
    <xf numFmtId="0" fontId="0" fillId="18" borderId="0" xfId="0" applyFill="1"/>
    <xf numFmtId="0" fontId="1" fillId="18" borderId="0" xfId="0" applyFont="1" applyFill="1" applyProtection="1">
      <protection locked="0"/>
    </xf>
    <xf numFmtId="11" fontId="1" fillId="18" borderId="0" xfId="0" applyNumberFormat="1" applyFont="1" applyFill="1" applyProtection="1">
      <protection locked="0"/>
    </xf>
    <xf numFmtId="0" fontId="5" fillId="18" borderId="0" xfId="0" applyFont="1" applyFill="1" applyProtection="1">
      <protection locked="0"/>
    </xf>
    <xf numFmtId="0" fontId="5" fillId="18" borderId="0" xfId="0" applyFont="1" applyFill="1"/>
    <xf numFmtId="0" fontId="5" fillId="17" borderId="0" xfId="0" applyFont="1" applyFill="1" applyProtection="1">
      <protection locked="0"/>
    </xf>
    <xf numFmtId="0" fontId="1" fillId="19" borderId="0" xfId="0" applyFont="1" applyFill="1" applyProtection="1">
      <protection locked="0"/>
    </xf>
    <xf numFmtId="11" fontId="1" fillId="19" borderId="0" xfId="0" applyNumberFormat="1" applyFont="1" applyFill="1" applyProtection="1">
      <protection locked="0"/>
    </xf>
    <xf numFmtId="166" fontId="0" fillId="0" borderId="0" xfId="0" applyNumberFormat="1"/>
    <xf numFmtId="11" fontId="1" fillId="20" borderId="0" xfId="0" applyNumberFormat="1" applyFont="1" applyFill="1" applyProtection="1">
      <protection locked="0"/>
    </xf>
    <xf numFmtId="11" fontId="1" fillId="21" borderId="0" xfId="0" applyNumberFormat="1" applyFont="1" applyFill="1" applyProtection="1">
      <protection locked="0"/>
    </xf>
    <xf numFmtId="11" fontId="1" fillId="21" borderId="0" xfId="0" applyNumberFormat="1" applyFont="1" applyFill="1"/>
    <xf numFmtId="0" fontId="0" fillId="21" borderId="0" xfId="0" applyFill="1"/>
    <xf numFmtId="0" fontId="1" fillId="21" borderId="0" xfId="0" applyFont="1" applyFill="1"/>
    <xf numFmtId="0" fontId="5" fillId="21" borderId="0" xfId="0" applyFont="1" applyFill="1" applyProtection="1">
      <protection locked="0"/>
    </xf>
    <xf numFmtId="0" fontId="1" fillId="21" borderId="0" xfId="0" applyFont="1" applyFill="1" applyProtection="1">
      <protection locked="0"/>
    </xf>
    <xf numFmtId="0" fontId="1" fillId="22" borderId="0" xfId="0" applyFont="1" applyFill="1" applyProtection="1">
      <protection locked="0"/>
    </xf>
    <xf numFmtId="11" fontId="1" fillId="22" borderId="0" xfId="0" applyNumberFormat="1" applyFont="1" applyFill="1" applyProtection="1">
      <protection locked="0"/>
    </xf>
    <xf numFmtId="11" fontId="4" fillId="4" borderId="0" xfId="0" applyNumberFormat="1" applyFont="1" applyFill="1"/>
    <xf numFmtId="0" fontId="5" fillId="4" borderId="0" xfId="0" applyFont="1" applyFill="1"/>
    <xf numFmtId="0" fontId="5" fillId="13" borderId="0" xfId="0" applyFont="1" applyFill="1" applyProtection="1">
      <protection locked="0"/>
    </xf>
    <xf numFmtId="0" fontId="4" fillId="23" borderId="0" xfId="0" applyFont="1" applyFill="1" applyAlignment="1">
      <alignment horizontal="left"/>
    </xf>
    <xf numFmtId="0" fontId="1" fillId="12" borderId="0" xfId="0" applyFont="1" applyFill="1" applyProtection="1">
      <protection locked="0"/>
    </xf>
    <xf numFmtId="11" fontId="0" fillId="18" borderId="0" xfId="0" applyNumberFormat="1" applyFill="1"/>
    <xf numFmtId="0" fontId="1" fillId="24" borderId="0" xfId="0" applyFont="1" applyFill="1" applyProtection="1">
      <protection locked="0"/>
    </xf>
    <xf numFmtId="167" fontId="1" fillId="9" borderId="0" xfId="0" applyNumberFormat="1" applyFont="1" applyFill="1" applyProtection="1">
      <protection locked="0"/>
    </xf>
    <xf numFmtId="167" fontId="4" fillId="25" borderId="0" xfId="0" applyNumberFormat="1" applyFont="1" applyFill="1" applyAlignment="1">
      <alignment horizontal="right"/>
    </xf>
    <xf numFmtId="167" fontId="4" fillId="25" borderId="0" xfId="0" applyNumberFormat="1" applyFont="1" applyFill="1"/>
    <xf numFmtId="167" fontId="0" fillId="25" borderId="0" xfId="0" applyNumberFormat="1" applyFill="1"/>
    <xf numFmtId="0" fontId="5" fillId="25" borderId="0" xfId="0" applyFont="1" applyFill="1" applyAlignment="1">
      <alignment horizontal="left"/>
    </xf>
    <xf numFmtId="0" fontId="0" fillId="25" borderId="0" xfId="0" applyFill="1" applyAlignment="1">
      <alignment horizontal="left"/>
    </xf>
    <xf numFmtId="0" fontId="6" fillId="0" borderId="0" xfId="0" applyFont="1" applyProtection="1">
      <protection locked="0"/>
    </xf>
    <xf numFmtId="0" fontId="1" fillId="26" borderId="0" xfId="0" applyFont="1" applyFill="1" applyProtection="1">
      <protection locked="0"/>
    </xf>
    <xf numFmtId="2" fontId="1" fillId="26" borderId="0" xfId="0" applyNumberFormat="1" applyFont="1" applyFill="1" applyProtection="1">
      <protection locked="0"/>
    </xf>
    <xf numFmtId="0" fontId="0" fillId="26" borderId="0" xfId="0" applyFill="1"/>
    <xf numFmtId="0" fontId="0" fillId="7" borderId="0" xfId="0" applyFill="1" applyProtection="1">
      <protection locked="0"/>
    </xf>
    <xf numFmtId="0" fontId="0" fillId="8" borderId="0" xfId="0" applyFill="1" applyProtection="1">
      <protection locked="0"/>
    </xf>
    <xf numFmtId="0" fontId="5" fillId="11" borderId="0" xfId="0" applyFont="1" applyFill="1" applyProtection="1">
      <protection locked="0"/>
    </xf>
    <xf numFmtId="2" fontId="5" fillId="12" borderId="1" xfId="0" applyNumberFormat="1" applyFont="1" applyFill="1" applyBorder="1" applyProtection="1">
      <protection locked="0"/>
    </xf>
    <xf numFmtId="0" fontId="5" fillId="12" borderId="1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3" borderId="2" xfId="0" applyFont="1" applyFill="1" applyBorder="1" applyProtection="1">
      <protection locked="0"/>
    </xf>
    <xf numFmtId="0" fontId="1" fillId="13" borderId="3" xfId="0" applyFont="1" applyFill="1" applyBorder="1" applyProtection="1">
      <protection locked="0"/>
    </xf>
    <xf numFmtId="0" fontId="1" fillId="6" borderId="3" xfId="0" applyFont="1" applyFill="1" applyBorder="1" applyProtection="1">
      <protection locked="0"/>
    </xf>
    <xf numFmtId="0" fontId="1" fillId="4" borderId="4" xfId="0" applyFont="1" applyFill="1" applyBorder="1" applyProtection="1">
      <protection locked="0"/>
    </xf>
    <xf numFmtId="0" fontId="5" fillId="1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17" borderId="0" xfId="0" applyFill="1" applyProtection="1">
      <protection locked="0"/>
    </xf>
    <xf numFmtId="0" fontId="5" fillId="5" borderId="0" xfId="0" applyFont="1" applyFill="1" applyProtection="1">
      <protection locked="0"/>
    </xf>
    <xf numFmtId="0" fontId="5" fillId="6" borderId="0" xfId="0" applyFont="1" applyFill="1" applyProtection="1">
      <protection locked="0"/>
    </xf>
    <xf numFmtId="0" fontId="5" fillId="21" borderId="0" xfId="0" applyFont="1" applyFill="1"/>
    <xf numFmtId="0" fontId="5" fillId="4" borderId="0" xfId="0" applyFont="1" applyFill="1" applyProtection="1">
      <protection locked="0"/>
    </xf>
    <xf numFmtId="0" fontId="5" fillId="10" borderId="0" xfId="0" applyFont="1" applyFill="1" applyProtection="1">
      <protection locked="0"/>
    </xf>
    <xf numFmtId="0" fontId="5" fillId="7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5" fillId="14" borderId="0" xfId="0" applyFont="1" applyFill="1" applyProtection="1">
      <protection locked="0"/>
    </xf>
    <xf numFmtId="0" fontId="5" fillId="15" borderId="0" xfId="0" applyFont="1" applyFill="1" applyProtection="1">
      <protection locked="0"/>
    </xf>
    <xf numFmtId="0" fontId="5" fillId="22" borderId="0" xfId="0" applyFont="1" applyFill="1" applyProtection="1">
      <protection locked="0"/>
    </xf>
    <xf numFmtId="0" fontId="5" fillId="19" borderId="0" xfId="0" applyFont="1" applyFill="1" applyProtection="1">
      <protection locked="0"/>
    </xf>
    <xf numFmtId="0" fontId="5" fillId="24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1" fillId="2" borderId="0" xfId="0" applyFont="1" applyFill="1"/>
    <xf numFmtId="0" fontId="1" fillId="2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24464976545919"/>
          <c:y val="3.6666234530857919E-2"/>
          <c:w val="0.77754645568163816"/>
          <c:h val="0.79790850241345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Sheet1!$B$100</c:f>
              <c:strCache>
                <c:ptCount val="1"/>
                <c:pt idx="0">
                  <c:v>C Cytosol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Sheet1!$A$82:$A$93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Sheet1!$B$101:$B$112</c:f>
              <c:numCache>
                <c:formatCode>0.00E+00</c:formatCode>
                <c:ptCount val="12"/>
                <c:pt idx="0">
                  <c:v>7.9258162782039846E-3</c:v>
                </c:pt>
                <c:pt idx="1">
                  <c:v>2.3645614097520955E-2</c:v>
                </c:pt>
                <c:pt idx="2">
                  <c:v>7.7324471466023989E-2</c:v>
                </c:pt>
                <c:pt idx="3">
                  <c:v>0.15060144110347648</c:v>
                </c:pt>
                <c:pt idx="4">
                  <c:v>0.22018831410261833</c:v>
                </c:pt>
                <c:pt idx="5">
                  <c:v>0.34950305968295919</c:v>
                </c:pt>
                <c:pt idx="6">
                  <c:v>0.62598532943109786</c:v>
                </c:pt>
                <c:pt idx="7">
                  <c:v>1.0384331223844692</c:v>
                </c:pt>
                <c:pt idx="8">
                  <c:v>1.3270583444643369</c:v>
                </c:pt>
                <c:pt idx="9">
                  <c:v>1.6801221189762523</c:v>
                </c:pt>
                <c:pt idx="10">
                  <c:v>1.8617558397457079</c:v>
                </c:pt>
                <c:pt idx="11">
                  <c:v>1.9834399597273915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3-4EF7-82C4-308711E8EF49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C ENDOSOMES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Sheet1!$A$82:$A$93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</c:numCache>
            </c:numRef>
          </c:xVal>
          <c:yVal>
            <c:numRef>
              <c:f>Sheet1!$C$82:$C$93</c:f>
              <c:numCache>
                <c:formatCode>General</c:formatCode>
                <c:ptCount val="12"/>
                <c:pt idx="0">
                  <c:v>2.7801967890681567E-3</c:v>
                </c:pt>
                <c:pt idx="1">
                  <c:v>2.4703211210049147E-2</c:v>
                </c:pt>
                <c:pt idx="2">
                  <c:v>0.26254003870698028</c:v>
                </c:pt>
                <c:pt idx="3">
                  <c:v>0.98648758141742476</c:v>
                </c:pt>
                <c:pt idx="4">
                  <c:v>2.0874088567358555</c:v>
                </c:pt>
                <c:pt idx="5">
                  <c:v>5.1454941334331963</c:v>
                </c:pt>
                <c:pt idx="6">
                  <c:v>15.553727939170575</c:v>
                </c:pt>
                <c:pt idx="7">
                  <c:v>38.095329162435874</c:v>
                </c:pt>
                <c:pt idx="8">
                  <c:v>56.580422241386628</c:v>
                </c:pt>
                <c:pt idx="9">
                  <c:v>80.273241434030297</c:v>
                </c:pt>
                <c:pt idx="10">
                  <c:v>92.589080739678053</c:v>
                </c:pt>
                <c:pt idx="11">
                  <c:v>100.84688021956623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3-4EF7-82C4-308711E8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66368"/>
        <c:axId val="1"/>
      </c:scatterChart>
      <c:valAx>
        <c:axId val="177356636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fold accumulation vs extracellular, 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566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42636390943808"/>
          <c:y val="4.3397610777448012E-2"/>
          <c:w val="0.22994577270187055"/>
          <c:h val="0.122645421762353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4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15</xdr:row>
      <xdr:rowOff>123825</xdr:rowOff>
    </xdr:from>
    <xdr:to>
      <xdr:col>23</xdr:col>
      <xdr:colOff>38100</xdr:colOff>
      <xdr:row>46</xdr:row>
      <xdr:rowOff>114300</xdr:rowOff>
    </xdr:to>
    <xdr:graphicFrame macro="">
      <xdr:nvGraphicFramePr>
        <xdr:cNvPr id="1053" name="Chart 1">
          <a:extLst>
            <a:ext uri="{FF2B5EF4-FFF2-40B4-BE49-F238E27FC236}">
              <a16:creationId xmlns:a16="http://schemas.microsoft.com/office/drawing/2014/main" id="{DC32E858-8E84-414E-9204-CC5635759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topLeftCell="J10" zoomScale="120" zoomScaleNormal="120" workbookViewId="0">
      <selection activeCell="F87" sqref="F87"/>
    </sheetView>
  </sheetViews>
  <sheetFormatPr defaultColWidth="9" defaultRowHeight="12.75" x14ac:dyDescent="0.35"/>
  <cols>
    <col min="1" max="1" width="18" customWidth="1"/>
    <col min="2" max="2" width="13" customWidth="1"/>
    <col min="3" max="3" width="11.46484375" customWidth="1"/>
    <col min="4" max="4" width="14" customWidth="1"/>
    <col min="5" max="5" width="13.6640625" customWidth="1"/>
    <col min="6" max="6" width="12.46484375" customWidth="1"/>
    <col min="7" max="7" width="11.46484375" customWidth="1"/>
    <col min="8" max="9" width="11" customWidth="1"/>
    <col min="10" max="10" width="12.6640625" customWidth="1"/>
    <col min="11" max="11" width="17.6640625" customWidth="1"/>
    <col min="13" max="13" width="11" bestFit="1" customWidth="1"/>
  </cols>
  <sheetData>
    <row r="1" spans="1:12" ht="15" x14ac:dyDescent="0.4">
      <c r="A1" s="1" t="s">
        <v>0</v>
      </c>
      <c r="B1" s="2"/>
      <c r="C1" s="3"/>
      <c r="D1" s="4"/>
      <c r="E1" s="5"/>
      <c r="F1" s="5"/>
      <c r="G1" s="5"/>
      <c r="H1" s="5"/>
      <c r="I1" s="5"/>
      <c r="J1" s="13"/>
      <c r="K1" s="13"/>
      <c r="L1" s="13"/>
    </row>
    <row r="2" spans="1:12" ht="13.15" x14ac:dyDescent="0.4">
      <c r="A2" s="6" t="s">
        <v>1</v>
      </c>
      <c r="B2" s="7"/>
      <c r="C2" s="4"/>
      <c r="D2" s="8"/>
      <c r="E2" s="9"/>
      <c r="F2" s="9"/>
      <c r="G2" s="9"/>
      <c r="H2" s="9"/>
      <c r="I2" s="9"/>
      <c r="J2" s="91"/>
      <c r="K2" s="13"/>
      <c r="L2" s="13"/>
    </row>
    <row r="3" spans="1:12" ht="13.15" x14ac:dyDescent="0.4">
      <c r="A3" s="7"/>
      <c r="B3" s="6"/>
      <c r="C3" s="10" t="s">
        <v>2</v>
      </c>
      <c r="D3" s="11"/>
      <c r="E3" s="12" t="s">
        <v>3</v>
      </c>
      <c r="F3" s="12"/>
      <c r="G3" s="12"/>
      <c r="H3" s="12"/>
      <c r="I3" s="12"/>
      <c r="J3" s="13"/>
      <c r="K3" s="13"/>
      <c r="L3" s="13"/>
    </row>
    <row r="4" spans="1:12" ht="13.15" x14ac:dyDescent="0.4">
      <c r="A4" s="6" t="s">
        <v>173</v>
      </c>
      <c r="B4" s="6"/>
      <c r="C4" s="14"/>
      <c r="D4" s="121" t="s">
        <v>4</v>
      </c>
      <c r="E4" s="5" t="s">
        <v>5</v>
      </c>
      <c r="F4" s="5"/>
      <c r="G4" s="14"/>
      <c r="H4" s="14"/>
      <c r="I4" s="14"/>
      <c r="J4" s="13"/>
      <c r="K4" s="13"/>
      <c r="L4" s="13"/>
    </row>
    <row r="5" spans="1:12" ht="13.15" x14ac:dyDescent="0.4">
      <c r="A5" s="7" t="s">
        <v>6</v>
      </c>
      <c r="B5" s="6"/>
      <c r="C5" s="15"/>
      <c r="D5" s="122" t="s">
        <v>7</v>
      </c>
      <c r="E5" s="16" t="s">
        <v>8</v>
      </c>
      <c r="F5" s="15"/>
      <c r="G5" s="15"/>
      <c r="H5" s="15"/>
      <c r="I5" s="15"/>
      <c r="J5" s="13"/>
      <c r="K5" s="13"/>
      <c r="L5" s="13"/>
    </row>
    <row r="6" spans="1:12" ht="13.15" x14ac:dyDescent="0.4">
      <c r="A6" s="134" t="s">
        <v>174</v>
      </c>
      <c r="B6" s="7"/>
      <c r="C6" s="17"/>
      <c r="D6" s="46" t="s">
        <v>9</v>
      </c>
      <c r="E6" s="18" t="s">
        <v>10</v>
      </c>
      <c r="F6" s="17"/>
      <c r="G6" s="19" t="s">
        <v>11</v>
      </c>
      <c r="H6" s="17"/>
      <c r="I6" s="17"/>
      <c r="J6" s="13"/>
      <c r="K6" s="13"/>
      <c r="L6" s="13"/>
    </row>
    <row r="7" spans="1:12" ht="13.15" x14ac:dyDescent="0.4">
      <c r="A7" s="4"/>
      <c r="B7" s="7"/>
      <c r="C7" s="20"/>
      <c r="D7" s="47" t="s">
        <v>12</v>
      </c>
      <c r="E7" s="20" t="s">
        <v>13</v>
      </c>
      <c r="F7" s="20"/>
      <c r="G7" s="20" t="s">
        <v>14</v>
      </c>
      <c r="H7" s="20"/>
      <c r="I7" s="20"/>
      <c r="J7" s="13"/>
      <c r="K7" s="13"/>
      <c r="L7" s="13"/>
    </row>
    <row r="8" spans="1:12" ht="13.15" x14ac:dyDescent="0.4">
      <c r="A8" s="21"/>
      <c r="B8" s="6"/>
      <c r="C8" s="85"/>
      <c r="D8" s="87" t="s">
        <v>15</v>
      </c>
      <c r="E8" s="86" t="s">
        <v>16</v>
      </c>
      <c r="F8" s="85"/>
      <c r="G8" s="85" t="s">
        <v>17</v>
      </c>
      <c r="H8" s="85"/>
      <c r="I8" s="123"/>
      <c r="J8" s="13"/>
      <c r="K8" s="13"/>
      <c r="L8" s="13"/>
    </row>
    <row r="9" spans="1:12" ht="13.15" x14ac:dyDescent="0.4">
      <c r="A9" s="7"/>
      <c r="B9" s="7"/>
      <c r="C9" s="61"/>
      <c r="D9" s="62" t="s">
        <v>18</v>
      </c>
      <c r="E9" s="61" t="s">
        <v>19</v>
      </c>
      <c r="F9" s="61"/>
      <c r="G9" s="61" t="s">
        <v>18</v>
      </c>
      <c r="H9" s="61"/>
      <c r="I9" s="61"/>
      <c r="J9" s="13"/>
      <c r="K9" s="13"/>
      <c r="L9" s="13"/>
    </row>
    <row r="10" spans="1:12" ht="13.15" x14ac:dyDescent="0.4">
      <c r="A10" s="13"/>
      <c r="B10" s="124"/>
      <c r="C10" s="22"/>
      <c r="D10" s="40" t="s">
        <v>20</v>
      </c>
      <c r="E10" s="22" t="s">
        <v>21</v>
      </c>
      <c r="F10" s="22"/>
      <c r="G10" s="22" t="s">
        <v>22</v>
      </c>
      <c r="H10" s="22"/>
      <c r="I10" s="22"/>
      <c r="J10" s="13"/>
      <c r="K10" s="13"/>
      <c r="L10" s="13"/>
    </row>
    <row r="11" spans="1:12" ht="13.15" x14ac:dyDescent="0.4">
      <c r="A11" s="125" t="s">
        <v>23</v>
      </c>
      <c r="B11" s="23"/>
      <c r="C11" s="12"/>
      <c r="D11" s="10" t="s">
        <v>24</v>
      </c>
      <c r="E11" s="12"/>
      <c r="F11" s="12"/>
      <c r="G11" s="12"/>
      <c r="H11" s="12"/>
      <c r="I11" s="12"/>
      <c r="J11" s="13"/>
      <c r="K11" s="102" t="s">
        <v>25</v>
      </c>
      <c r="L11" s="103"/>
    </row>
    <row r="12" spans="1:12" ht="13.5" thickBot="1" x14ac:dyDescent="0.45">
      <c r="A12" s="110" t="s">
        <v>26</v>
      </c>
      <c r="B12" s="24" t="s">
        <v>175</v>
      </c>
      <c r="C12" s="14"/>
      <c r="D12" s="28" t="s">
        <v>27</v>
      </c>
      <c r="E12" s="126" t="s">
        <v>28</v>
      </c>
      <c r="F12" s="119" t="s">
        <v>29</v>
      </c>
      <c r="G12" s="127" t="s">
        <v>30</v>
      </c>
      <c r="H12" s="118" t="s">
        <v>31</v>
      </c>
      <c r="I12" s="28"/>
      <c r="J12" s="70" t="s">
        <v>32</v>
      </c>
      <c r="K12" s="99" t="s">
        <v>33</v>
      </c>
      <c r="L12" s="100" t="s">
        <v>34</v>
      </c>
    </row>
    <row r="13" spans="1:12" ht="13.9" thickTop="1" thickBot="1" x14ac:dyDescent="0.45">
      <c r="A13" s="110" t="s">
        <v>35</v>
      </c>
      <c r="B13" s="111">
        <v>4.17</v>
      </c>
      <c r="C13" s="14" t="s">
        <v>36</v>
      </c>
      <c r="D13" s="94" t="s">
        <v>37</v>
      </c>
      <c r="E13" s="60">
        <f>B86</f>
        <v>0.5348262065839553</v>
      </c>
      <c r="F13" s="29">
        <f>C86</f>
        <v>2.0874088567358555</v>
      </c>
      <c r="G13" s="84">
        <f>D86</f>
        <v>0.35768227793642859</v>
      </c>
      <c r="H13" s="67">
        <f>E86</f>
        <v>1.3783396628329037</v>
      </c>
      <c r="I13" s="13" t="s">
        <v>38</v>
      </c>
      <c r="J13" s="25">
        <f>(E13*$B$28+F13*$E$28+G13*$H$28)/$J$18</f>
        <v>0.53573656569671635</v>
      </c>
      <c r="K13" s="101">
        <f>E13*$E$17</f>
        <v>0.22018831410261833</v>
      </c>
      <c r="L13" s="101">
        <f>F13*$F$17</f>
        <v>2.0294028046380905</v>
      </c>
    </row>
    <row r="14" spans="1:12" ht="13.9" thickTop="1" thickBot="1" x14ac:dyDescent="0.45">
      <c r="A14" s="110" t="s">
        <v>39</v>
      </c>
      <c r="B14" s="112">
        <v>9.8000000000000007</v>
      </c>
      <c r="C14" s="14"/>
      <c r="D14" s="27" t="s">
        <v>40</v>
      </c>
      <c r="E14" s="60">
        <f>B88</f>
        <v>1.5204865002999743</v>
      </c>
      <c r="F14" s="29">
        <f>C88</f>
        <v>15.553727939170575</v>
      </c>
      <c r="G14" s="84">
        <f>D88</f>
        <v>1.047235614369376</v>
      </c>
      <c r="H14" s="67">
        <f>E87</f>
        <v>2.2262137471900214</v>
      </c>
      <c r="I14" s="13" t="s">
        <v>38</v>
      </c>
      <c r="J14" s="25">
        <f>(E14*$B$28+F14*$E$28+G14*$H$28)/$J$18</f>
        <v>1.5793951582598575</v>
      </c>
      <c r="K14" s="101">
        <f>E14*$E$17</f>
        <v>0.62598532943109786</v>
      </c>
      <c r="L14" s="101">
        <f>F14*$F$17</f>
        <v>15.121512491658866</v>
      </c>
    </row>
    <row r="15" spans="1:12" ht="13.5" thickTop="1" x14ac:dyDescent="0.4">
      <c r="A15" s="110" t="s">
        <v>41</v>
      </c>
      <c r="B15" s="26">
        <v>1</v>
      </c>
      <c r="C15" s="14" t="s">
        <v>42</v>
      </c>
      <c r="D15" s="28" t="s">
        <v>43</v>
      </c>
      <c r="E15" s="60">
        <f>B57</f>
        <v>4.9912761038320701</v>
      </c>
      <c r="F15" s="29">
        <f>B57*E57</f>
        <v>105.69741228198323</v>
      </c>
      <c r="G15" s="84">
        <f>B57*H57</f>
        <v>3.2648564302525847</v>
      </c>
      <c r="H15" s="67">
        <f>E88</f>
        <v>4.0897737903383824</v>
      </c>
      <c r="I15" s="13" t="s">
        <v>38</v>
      </c>
      <c r="J15" s="30">
        <f>(E15*$B$28+F15*$E$28+G15*$H$28)/$J$18</f>
        <v>5.5045653058202291</v>
      </c>
      <c r="K15" s="101">
        <f>E15*$E$17</f>
        <v>2.0549117769361742</v>
      </c>
      <c r="L15" s="101">
        <f>F15*$F$17</f>
        <v>102.7602351287661</v>
      </c>
    </row>
    <row r="16" spans="1:12" ht="13.15" x14ac:dyDescent="0.4">
      <c r="A16" s="110" t="s">
        <v>44</v>
      </c>
      <c r="B16" s="26">
        <v>1</v>
      </c>
      <c r="C16" s="31" t="s">
        <v>45</v>
      </c>
      <c r="D16" s="32" t="s">
        <v>46</v>
      </c>
      <c r="E16" s="33">
        <f>EXP(-$B$15*B36*$F$23/($F$24*$F$25))</f>
        <v>15.976579796481126</v>
      </c>
      <c r="F16" s="29">
        <f>EXP(-$B$15*(E36+B36)*$F$23/($F$24*$F$25))</f>
        <v>10.753691017935147</v>
      </c>
      <c r="G16" s="83">
        <f>EXP(-$B$15*(H36+B36)*$F$23/($F$24*$F$25))</f>
        <v>9001.2734753279201</v>
      </c>
      <c r="H16" s="67"/>
      <c r="I16" s="13" t="s">
        <v>38</v>
      </c>
      <c r="J16" s="25">
        <f>(E16*$B$28+F16*$E$28+G16*$H$28)/$J$18</f>
        <v>15.701645662881134</v>
      </c>
      <c r="K16" s="13"/>
      <c r="L16" s="13"/>
    </row>
    <row r="17" spans="1:15" ht="13.15" x14ac:dyDescent="0.4">
      <c r="A17" s="110" t="s">
        <v>47</v>
      </c>
      <c r="B17" s="95">
        <v>309</v>
      </c>
      <c r="C17" s="31" t="s">
        <v>48</v>
      </c>
      <c r="D17" s="32" t="s">
        <v>49</v>
      </c>
      <c r="E17" s="60">
        <f>B51*(B34/B46+B50*B34/B47)</f>
        <v>0.41170068218796957</v>
      </c>
      <c r="F17" s="29">
        <f>E51*(E34/E46+E50*E34/E47)</f>
        <v>0.97221145636582629</v>
      </c>
      <c r="G17" s="83">
        <f>H51*(H34/H46+H50*H34/H47)</f>
        <v>0.10055862311818577</v>
      </c>
      <c r="H17" s="68">
        <f>K51*(K34/K46+K50*K34/K47)</f>
        <v>0.77791913963038573</v>
      </c>
      <c r="I17" s="13" t="s">
        <v>50</v>
      </c>
      <c r="J17" s="25"/>
      <c r="K17" s="13"/>
      <c r="L17" s="13"/>
    </row>
    <row r="18" spans="1:15" ht="13.15" x14ac:dyDescent="0.4">
      <c r="A18" s="110" t="s">
        <v>51</v>
      </c>
      <c r="B18" s="35">
        <f>100/(1+10^(B16*(B14-B32)))</f>
        <v>0.39652856191521968</v>
      </c>
      <c r="C18" s="36"/>
      <c r="D18" s="32" t="s">
        <v>52</v>
      </c>
      <c r="E18" s="33">
        <f>B51*(B48/B46+B50*B49/B47)</f>
        <v>0.58829931781203049</v>
      </c>
      <c r="F18" s="82">
        <f>E51*(E48/E46+E50*E49/E47)</f>
        <v>2.7788543634173681E-2</v>
      </c>
      <c r="G18" s="83">
        <f>H51*(H48/H46+H50*H49/H47)</f>
        <v>0.89944137688181425</v>
      </c>
      <c r="H18" s="68">
        <f>K51*(K48/K46+K50*K49/K47)</f>
        <v>0.22208086036961439</v>
      </c>
      <c r="I18" s="13" t="s">
        <v>50</v>
      </c>
      <c r="J18" s="25">
        <f>B28+E28+H28+K28</f>
        <v>2.738668072916666E-16</v>
      </c>
      <c r="K18" s="13" t="s">
        <v>53</v>
      </c>
      <c r="L18" s="13"/>
    </row>
    <row r="19" spans="1:15" ht="13.15" x14ac:dyDescent="0.4">
      <c r="A19" s="110" t="s">
        <v>54</v>
      </c>
      <c r="B19" s="35">
        <f>100-B18</f>
        <v>99.603471438084782</v>
      </c>
      <c r="C19" s="36"/>
      <c r="D19" s="38" t="s">
        <v>55</v>
      </c>
      <c r="E19" s="33">
        <f>E15*B28</f>
        <v>1.3380346777760805E-15</v>
      </c>
      <c r="F19" s="29">
        <f>F15*E28</f>
        <v>1.6948304805738191E-16</v>
      </c>
      <c r="G19" s="83">
        <f>G15*H28</f>
        <v>1.7094244126064156E-36</v>
      </c>
      <c r="H19" s="67">
        <f>H15*$K$28</f>
        <v>1.7130699149797367E-17</v>
      </c>
      <c r="I19" s="39" t="s">
        <v>56</v>
      </c>
      <c r="J19" s="25">
        <f>E19+F19+G19+H19</f>
        <v>1.5246484249832597E-15</v>
      </c>
      <c r="K19" s="39" t="s">
        <v>57</v>
      </c>
      <c r="L19" s="13"/>
    </row>
    <row r="20" spans="1:15" ht="13.15" x14ac:dyDescent="0.4">
      <c r="A20" s="110"/>
      <c r="B20" s="34"/>
      <c r="C20" s="31"/>
      <c r="D20" s="38" t="s">
        <v>58</v>
      </c>
      <c r="E20" s="37">
        <f>100*E19/$J$19</f>
        <v>87.760211196936879</v>
      </c>
      <c r="F20" s="37">
        <f>100*F19/$J$19</f>
        <v>11.116205236577265</v>
      </c>
      <c r="G20" s="37">
        <f>100*G19/$J$19</f>
        <v>1.1211925218925043E-19</v>
      </c>
      <c r="H20" s="37">
        <f>100*H19/$J$19</f>
        <v>1.1235835664858578</v>
      </c>
      <c r="I20" s="69" t="s">
        <v>59</v>
      </c>
      <c r="J20" s="13"/>
      <c r="K20" s="39"/>
      <c r="L20" s="13"/>
    </row>
    <row r="21" spans="1:15" ht="13.15" x14ac:dyDescent="0.4">
      <c r="A21" s="10" t="s">
        <v>60</v>
      </c>
      <c r="B21" s="12"/>
      <c r="C21" s="12" t="s">
        <v>61</v>
      </c>
      <c r="D21" s="11"/>
      <c r="E21" s="11"/>
      <c r="F21" s="12"/>
      <c r="G21" s="12"/>
      <c r="H21" s="12"/>
      <c r="I21" s="12"/>
      <c r="J21" s="12"/>
      <c r="K21" s="12"/>
      <c r="L21" s="13"/>
    </row>
    <row r="22" spans="1:15" ht="13.15" x14ac:dyDescent="0.4">
      <c r="A22" s="40" t="s">
        <v>62</v>
      </c>
      <c r="B22" s="41"/>
      <c r="C22" s="22"/>
      <c r="D22" s="22"/>
      <c r="E22" s="122" t="s">
        <v>7</v>
      </c>
      <c r="F22" s="15"/>
      <c r="G22" s="15"/>
      <c r="H22" s="63" t="s">
        <v>63</v>
      </c>
      <c r="I22" s="5"/>
      <c r="J22" s="5"/>
      <c r="K22" s="5"/>
      <c r="L22" s="92"/>
    </row>
    <row r="23" spans="1:15" ht="13.15" x14ac:dyDescent="0.4">
      <c r="A23" s="41" t="s">
        <v>64</v>
      </c>
      <c r="B23" s="49">
        <f>10^B13</f>
        <v>14791.083881682089</v>
      </c>
      <c r="C23" s="22"/>
      <c r="D23" s="22"/>
      <c r="E23" s="44" t="s">
        <v>65</v>
      </c>
      <c r="F23" s="44">
        <v>96484.56</v>
      </c>
      <c r="G23" s="15" t="s">
        <v>66</v>
      </c>
      <c r="H23" s="5" t="s">
        <v>67</v>
      </c>
      <c r="I23" s="7"/>
      <c r="J23" s="5"/>
      <c r="K23" s="5"/>
      <c r="L23" s="92"/>
    </row>
    <row r="24" spans="1:15" ht="13.15" x14ac:dyDescent="0.4">
      <c r="A24" s="105" t="s">
        <v>68</v>
      </c>
      <c r="B24" s="106">
        <f>B13-7.5</f>
        <v>-3.33</v>
      </c>
      <c r="C24" s="135" t="s">
        <v>69</v>
      </c>
      <c r="D24" s="107"/>
      <c r="E24" s="44" t="s">
        <v>70</v>
      </c>
      <c r="F24" s="44">
        <v>8.3140000000000001</v>
      </c>
      <c r="G24" s="44" t="s">
        <v>71</v>
      </c>
      <c r="H24" s="5" t="s">
        <v>72</v>
      </c>
      <c r="I24" s="6"/>
      <c r="J24" s="5"/>
      <c r="K24" s="5"/>
      <c r="L24" s="13"/>
    </row>
    <row r="25" spans="1:15" x14ac:dyDescent="0.35">
      <c r="A25" s="22" t="s">
        <v>73</v>
      </c>
      <c r="B25" s="43">
        <f>10^B24</f>
        <v>4.677351412871977E-4</v>
      </c>
      <c r="C25" s="22"/>
      <c r="D25" s="22"/>
      <c r="E25" s="44" t="s">
        <v>74</v>
      </c>
      <c r="F25" s="44">
        <v>293.14999999999998</v>
      </c>
      <c r="G25" s="44" t="s">
        <v>75</v>
      </c>
      <c r="H25" s="5"/>
      <c r="I25" s="64"/>
      <c r="J25" s="5"/>
      <c r="K25" s="5"/>
      <c r="L25" s="13"/>
      <c r="M25" s="45"/>
      <c r="N25" s="45"/>
    </row>
    <row r="26" spans="1:15" ht="13.15" x14ac:dyDescent="0.4">
      <c r="A26" s="46" t="s">
        <v>76</v>
      </c>
      <c r="B26" s="19"/>
      <c r="C26" s="17"/>
      <c r="D26" s="47" t="s">
        <v>77</v>
      </c>
      <c r="E26" s="48"/>
      <c r="F26" s="20"/>
      <c r="G26" s="87" t="s">
        <v>78</v>
      </c>
      <c r="H26" s="88"/>
      <c r="I26" s="85"/>
      <c r="J26" s="78" t="s">
        <v>18</v>
      </c>
      <c r="K26" s="66"/>
      <c r="L26" s="61"/>
    </row>
    <row r="27" spans="1:15" ht="13.15" x14ac:dyDescent="0.4">
      <c r="A27" s="46" t="s">
        <v>79</v>
      </c>
      <c r="B27" s="33">
        <v>7.9999999999999996E-6</v>
      </c>
      <c r="C27" s="17" t="s">
        <v>80</v>
      </c>
      <c r="D27" s="47" t="s">
        <v>79</v>
      </c>
      <c r="E27" s="29">
        <v>2.4999999999999999E-7</v>
      </c>
      <c r="F27" s="20" t="s">
        <v>80</v>
      </c>
      <c r="G27" s="87" t="s">
        <v>79</v>
      </c>
      <c r="H27" s="83">
        <v>9.9999999999999998E-13</v>
      </c>
      <c r="I27" s="85" t="s">
        <v>80</v>
      </c>
      <c r="J27" s="78" t="s">
        <v>79</v>
      </c>
      <c r="K27" s="68">
        <f>2*10^-6</f>
        <v>1.9999999999999999E-6</v>
      </c>
      <c r="L27" s="61" t="s">
        <v>80</v>
      </c>
    </row>
    <row r="28" spans="1:15" ht="13.15" x14ac:dyDescent="0.4">
      <c r="A28" s="128" t="s">
        <v>81</v>
      </c>
      <c r="B28" s="49">
        <f>4/3*3.1415*(B27/2)^3</f>
        <v>2.680746666666666E-16</v>
      </c>
      <c r="C28" s="50" t="s">
        <v>82</v>
      </c>
      <c r="D28" s="129" t="s">
        <v>81</v>
      </c>
      <c r="E28" s="49">
        <f>196*4/3*3.1415*(E27/2)^3</f>
        <v>1.603473958333333E-18</v>
      </c>
      <c r="F28" s="51" t="s">
        <v>82</v>
      </c>
      <c r="G28" s="130" t="s">
        <v>81</v>
      </c>
      <c r="H28" s="49">
        <f>4/3*3.1415*(H27/2)^3</f>
        <v>5.2358333333333327E-37</v>
      </c>
      <c r="I28" s="89" t="s">
        <v>82</v>
      </c>
      <c r="J28" s="131" t="s">
        <v>81</v>
      </c>
      <c r="K28" s="49">
        <f>4/3*3.1415*(K27/2)^3</f>
        <v>4.1886666666666656E-18</v>
      </c>
      <c r="L28" s="79" t="s">
        <v>82</v>
      </c>
      <c r="M28" s="52"/>
      <c r="N28" s="52"/>
      <c r="O28" s="52"/>
    </row>
    <row r="29" spans="1:15" ht="13.15" x14ac:dyDescent="0.4">
      <c r="A29" s="128" t="s">
        <v>83</v>
      </c>
      <c r="B29" s="98">
        <f>100*B28/($B$28+$E$28+$H$28+$K$28)</f>
        <v>97.885051977536151</v>
      </c>
      <c r="C29" s="50"/>
      <c r="D29" s="129" t="s">
        <v>83</v>
      </c>
      <c r="E29" s="98">
        <f>100*E28/($B$28+$E$28+$H$28+$K$28)</f>
        <v>0.58549408531485236</v>
      </c>
      <c r="F29" s="51"/>
      <c r="G29" s="130" t="s">
        <v>83</v>
      </c>
      <c r="H29" s="98">
        <f>100*H28/($B$28+$E$28+$H$28+$K$28)</f>
        <v>1.911817421436253E-19</v>
      </c>
      <c r="I29" s="89"/>
      <c r="J29" s="131" t="s">
        <v>83</v>
      </c>
      <c r="K29" s="98">
        <f>100*K28/($B$28+$E$28+$H$28+$K$28)</f>
        <v>1.5294539371490024</v>
      </c>
      <c r="L29" s="79"/>
      <c r="M29" s="52"/>
      <c r="N29" s="52"/>
      <c r="O29" s="52"/>
    </row>
    <row r="30" spans="1:15" ht="13.5" thickBot="1" x14ac:dyDescent="0.45">
      <c r="A30" s="128" t="s">
        <v>84</v>
      </c>
      <c r="B30" s="49">
        <f>4*3.1415*(B27/2)^2</f>
        <v>2.0105600000000002E-10</v>
      </c>
      <c r="C30" s="50" t="s">
        <v>85</v>
      </c>
      <c r="D30" s="129" t="s">
        <v>84</v>
      </c>
      <c r="E30" s="49">
        <f>4*3.1415*(E27/2)^2</f>
        <v>1.9634375000000002E-13</v>
      </c>
      <c r="F30" s="51" t="s">
        <v>85</v>
      </c>
      <c r="G30" s="130" t="s">
        <v>84</v>
      </c>
      <c r="H30" s="49">
        <f>4*3.1415*(H27/2)^2</f>
        <v>3.1414999999999998E-24</v>
      </c>
      <c r="I30" s="89" t="s">
        <v>85</v>
      </c>
      <c r="J30" s="131" t="s">
        <v>84</v>
      </c>
      <c r="K30" s="49">
        <f>4*3.1415*(K27/2)^2</f>
        <v>1.2566000000000001E-11</v>
      </c>
      <c r="L30" s="79" t="s">
        <v>85</v>
      </c>
    </row>
    <row r="31" spans="1:15" ht="13.9" thickTop="1" thickBot="1" x14ac:dyDescent="0.45">
      <c r="A31" s="128" t="s">
        <v>86</v>
      </c>
      <c r="B31" s="50">
        <v>7.2</v>
      </c>
      <c r="C31" s="50"/>
      <c r="D31" s="129" t="s">
        <v>86</v>
      </c>
      <c r="E31" s="113">
        <v>5.5</v>
      </c>
      <c r="F31" s="51"/>
      <c r="G31" s="130" t="s">
        <v>86</v>
      </c>
      <c r="H31" s="89">
        <v>8</v>
      </c>
      <c r="I31" s="89"/>
      <c r="J31" s="131" t="s">
        <v>86</v>
      </c>
      <c r="K31" s="79">
        <v>6.5</v>
      </c>
      <c r="L31" s="79"/>
    </row>
    <row r="32" spans="1:15" ht="13.5" thickTop="1" x14ac:dyDescent="0.4">
      <c r="A32" s="128" t="s">
        <v>87</v>
      </c>
      <c r="B32" s="50">
        <v>7.4</v>
      </c>
      <c r="C32" s="50"/>
      <c r="D32" s="128" t="s">
        <v>87</v>
      </c>
      <c r="E32" s="50">
        <f>B31</f>
        <v>7.2</v>
      </c>
      <c r="F32" s="50"/>
      <c r="G32" s="128" t="s">
        <v>87</v>
      </c>
      <c r="H32" s="50">
        <f>B31</f>
        <v>7.2</v>
      </c>
      <c r="I32" s="50"/>
      <c r="J32" s="128" t="s">
        <v>87</v>
      </c>
      <c r="K32" s="50">
        <f>B31</f>
        <v>7.2</v>
      </c>
      <c r="L32" s="50"/>
      <c r="M32" s="53"/>
      <c r="N32" s="53"/>
      <c r="O32" s="53"/>
    </row>
    <row r="33" spans="1:15" ht="13.15" x14ac:dyDescent="0.4">
      <c r="A33" s="128" t="s">
        <v>88</v>
      </c>
      <c r="B33" s="50">
        <v>0.05</v>
      </c>
      <c r="C33" s="50" t="s">
        <v>89</v>
      </c>
      <c r="D33" s="129" t="s">
        <v>88</v>
      </c>
      <c r="E33" s="51">
        <v>0.05</v>
      </c>
      <c r="F33" s="51" t="s">
        <v>89</v>
      </c>
      <c r="G33" s="130" t="s">
        <v>88</v>
      </c>
      <c r="H33" s="89">
        <v>0.05</v>
      </c>
      <c r="I33" s="89" t="s">
        <v>89</v>
      </c>
      <c r="J33" s="131" t="s">
        <v>88</v>
      </c>
      <c r="K33" s="79">
        <v>0.05</v>
      </c>
      <c r="L33" s="79" t="s">
        <v>89</v>
      </c>
      <c r="M33" s="53"/>
      <c r="N33" s="53"/>
      <c r="O33" s="53"/>
    </row>
    <row r="34" spans="1:15" ht="13.15" x14ac:dyDescent="0.4">
      <c r="A34" s="128" t="s">
        <v>90</v>
      </c>
      <c r="B34" s="50">
        <v>0.95</v>
      </c>
      <c r="C34" s="50" t="s">
        <v>89</v>
      </c>
      <c r="D34" s="129" t="s">
        <v>90</v>
      </c>
      <c r="E34" s="51">
        <v>0.95</v>
      </c>
      <c r="F34" s="51" t="s">
        <v>89</v>
      </c>
      <c r="G34" s="130" t="s">
        <v>90</v>
      </c>
      <c r="H34" s="89">
        <v>0.95</v>
      </c>
      <c r="I34" s="89" t="s">
        <v>89</v>
      </c>
      <c r="J34" s="131" t="s">
        <v>90</v>
      </c>
      <c r="K34" s="79">
        <v>0.95</v>
      </c>
      <c r="L34" s="79" t="s">
        <v>89</v>
      </c>
      <c r="M34" s="52"/>
      <c r="N34" s="52"/>
      <c r="O34" s="52"/>
    </row>
    <row r="35" spans="1:15" ht="13.15" x14ac:dyDescent="0.4">
      <c r="A35" s="128" t="s">
        <v>91</v>
      </c>
      <c r="B35" s="50">
        <v>0.3</v>
      </c>
      <c r="C35" s="50" t="s">
        <v>92</v>
      </c>
      <c r="D35" s="129" t="s">
        <v>91</v>
      </c>
      <c r="E35" s="51">
        <v>0.3</v>
      </c>
      <c r="F35" s="51" t="s">
        <v>92</v>
      </c>
      <c r="G35" s="130" t="s">
        <v>91</v>
      </c>
      <c r="H35" s="89">
        <v>0.3</v>
      </c>
      <c r="I35" s="89" t="s">
        <v>92</v>
      </c>
      <c r="J35" s="131" t="s">
        <v>91</v>
      </c>
      <c r="K35" s="79">
        <v>0.3</v>
      </c>
      <c r="L35" s="79" t="s">
        <v>92</v>
      </c>
    </row>
    <row r="36" spans="1:15" ht="13.15" x14ac:dyDescent="0.4">
      <c r="A36" s="128" t="s">
        <v>93</v>
      </c>
      <c r="B36" s="54">
        <v>-7.0000000000000007E-2</v>
      </c>
      <c r="C36" s="50" t="s">
        <v>94</v>
      </c>
      <c r="D36" s="129" t="s">
        <v>93</v>
      </c>
      <c r="E36" s="55">
        <v>0.01</v>
      </c>
      <c r="F36" s="51" t="s">
        <v>94</v>
      </c>
      <c r="G36" s="130" t="s">
        <v>93</v>
      </c>
      <c r="H36" s="90">
        <v>-0.16</v>
      </c>
      <c r="I36" s="89" t="s">
        <v>94</v>
      </c>
      <c r="J36" s="131" t="s">
        <v>93</v>
      </c>
      <c r="K36" s="80">
        <v>9.9999999999999995E-8</v>
      </c>
      <c r="L36" s="79" t="s">
        <v>94</v>
      </c>
    </row>
    <row r="37" spans="1:15" ht="13.15" x14ac:dyDescent="0.4">
      <c r="A37" s="56"/>
      <c r="B37" s="11"/>
      <c r="C37" s="12"/>
      <c r="D37" s="56"/>
      <c r="E37" s="11"/>
      <c r="F37" s="12"/>
      <c r="G37" s="56"/>
      <c r="H37" s="11"/>
      <c r="I37" s="12"/>
      <c r="J37" s="56"/>
      <c r="K37" s="11"/>
      <c r="L37" s="12"/>
      <c r="N37" s="42"/>
    </row>
    <row r="38" spans="1:15" ht="13.15" x14ac:dyDescent="0.4">
      <c r="A38" s="132" t="s">
        <v>95</v>
      </c>
      <c r="B38" s="96">
        <v>1E-4</v>
      </c>
      <c r="C38" s="97" t="s">
        <v>96</v>
      </c>
      <c r="D38" s="41" t="s">
        <v>97</v>
      </c>
      <c r="E38" s="41">
        <f>10^(B13-6.7)</f>
        <v>2.9512092266663838E-3</v>
      </c>
      <c r="F38" s="41" t="s">
        <v>98</v>
      </c>
      <c r="G38" s="41" t="s">
        <v>97</v>
      </c>
      <c r="H38" s="41">
        <f>10^(B13-6.7)</f>
        <v>2.9512092266663838E-3</v>
      </c>
      <c r="I38" s="41" t="s">
        <v>98</v>
      </c>
      <c r="J38" s="41" t="s">
        <v>97</v>
      </c>
      <c r="K38" s="65">
        <f>10^(B13-6.7)</f>
        <v>2.9512092266663838E-3</v>
      </c>
      <c r="L38" s="41" t="s">
        <v>98</v>
      </c>
      <c r="M38" s="81"/>
    </row>
    <row r="39" spans="1:15" ht="13.15" x14ac:dyDescent="0.4">
      <c r="A39" s="132" t="s">
        <v>99</v>
      </c>
      <c r="B39" s="96">
        <f>0.000000002*SQRT(32/B17)/B38</f>
        <v>6.4361438936730371E-6</v>
      </c>
      <c r="C39" s="97" t="s">
        <v>98</v>
      </c>
      <c r="D39" s="41" t="s">
        <v>100</v>
      </c>
      <c r="E39" s="41">
        <f>10^(B24-6.7)</f>
        <v>9.3325430079698775E-11</v>
      </c>
      <c r="F39" s="22"/>
      <c r="G39" s="41" t="s">
        <v>100</v>
      </c>
      <c r="H39" s="41">
        <f>10^(B24-6.7)</f>
        <v>9.3325430079698775E-11</v>
      </c>
      <c r="I39" s="22"/>
      <c r="J39" s="41" t="s">
        <v>100</v>
      </c>
      <c r="K39" s="65">
        <f>10^(B24-6.7)</f>
        <v>9.3325430079698775E-11</v>
      </c>
      <c r="L39" s="22"/>
      <c r="M39" s="81"/>
    </row>
    <row r="40" spans="1:15" x14ac:dyDescent="0.35">
      <c r="A40" s="41" t="s">
        <v>97</v>
      </c>
      <c r="B40" s="49">
        <f>1/(1/10^(B13-6.7)+1/B39)</f>
        <v>6.4221381752619009E-6</v>
      </c>
      <c r="C40" s="41" t="s">
        <v>98</v>
      </c>
      <c r="D40" s="41" t="s">
        <v>101</v>
      </c>
      <c r="E40" s="49">
        <f>E39</f>
        <v>9.3325430079698775E-11</v>
      </c>
      <c r="F40" s="41"/>
      <c r="G40" s="41" t="s">
        <v>101</v>
      </c>
      <c r="H40" s="49">
        <f>H39</f>
        <v>9.3325430079698775E-11</v>
      </c>
      <c r="I40" s="41"/>
      <c r="J40" s="41" t="s">
        <v>101</v>
      </c>
      <c r="K40" s="49">
        <f>K39</f>
        <v>9.3325430079698775E-11</v>
      </c>
      <c r="L40" s="41"/>
      <c r="M40" s="81"/>
    </row>
    <row r="41" spans="1:15" x14ac:dyDescent="0.35">
      <c r="A41" s="41" t="s">
        <v>100</v>
      </c>
      <c r="B41" s="41">
        <f>10^(B24-6.7)</f>
        <v>9.3325430079698775E-11</v>
      </c>
      <c r="C41" s="22"/>
      <c r="D41" s="41"/>
      <c r="E41" s="41"/>
      <c r="F41" s="22"/>
      <c r="G41" s="41"/>
      <c r="H41" s="41"/>
      <c r="I41" s="22"/>
      <c r="J41" s="41"/>
      <c r="K41" s="41"/>
      <c r="L41" s="22"/>
      <c r="M41" s="81"/>
    </row>
    <row r="42" spans="1:15" ht="13.15" x14ac:dyDescent="0.4">
      <c r="A42" s="41" t="s">
        <v>101</v>
      </c>
      <c r="B42" s="49">
        <f>1/(1/B41+1/B39)</f>
        <v>9.3324076861101785E-11</v>
      </c>
      <c r="C42" s="41" t="s">
        <v>98</v>
      </c>
      <c r="D42" s="41" t="s">
        <v>102</v>
      </c>
      <c r="E42" s="41" t="s">
        <v>103</v>
      </c>
      <c r="F42" s="22"/>
      <c r="G42" s="41" t="s">
        <v>102</v>
      </c>
      <c r="H42" s="41" t="s">
        <v>103</v>
      </c>
      <c r="I42" s="22"/>
      <c r="J42" s="41" t="s">
        <v>102</v>
      </c>
      <c r="K42" s="41" t="s">
        <v>103</v>
      </c>
      <c r="L42" s="22"/>
      <c r="M42" s="81"/>
      <c r="O42" s="42"/>
    </row>
    <row r="43" spans="1:15" ht="13.15" x14ac:dyDescent="0.4">
      <c r="A43" s="41" t="s">
        <v>102</v>
      </c>
      <c r="B43" s="41"/>
      <c r="C43" s="22"/>
      <c r="D43" s="41" t="s">
        <v>104</v>
      </c>
      <c r="E43" s="41">
        <f>B51</f>
        <v>8.0215703276106996E-4</v>
      </c>
      <c r="F43" s="41"/>
      <c r="G43" s="41" t="s">
        <v>104</v>
      </c>
      <c r="H43" s="41">
        <f>B51</f>
        <v>8.0215703276106996E-4</v>
      </c>
      <c r="I43" s="41"/>
      <c r="J43" s="41" t="s">
        <v>104</v>
      </c>
      <c r="K43" s="41">
        <f>B51</f>
        <v>8.0215703276106996E-4</v>
      </c>
      <c r="L43" s="41"/>
      <c r="M43" s="81"/>
      <c r="N43" s="52"/>
    </row>
    <row r="44" spans="1:15" ht="13.15" x14ac:dyDescent="0.4">
      <c r="A44" s="41" t="s">
        <v>105</v>
      </c>
      <c r="B44" s="41">
        <f>1/(1+10^(B16*(B14-B32)))</f>
        <v>3.9652856191521963E-3</v>
      </c>
      <c r="C44" s="41"/>
      <c r="D44" s="41" t="s">
        <v>106</v>
      </c>
      <c r="E44" s="41">
        <f>B50*B51</f>
        <v>0.31934446665209915</v>
      </c>
      <c r="F44" s="41"/>
      <c r="G44" s="41" t="s">
        <v>106</v>
      </c>
      <c r="H44" s="41">
        <f>B52</f>
        <v>0.31934446665209915</v>
      </c>
      <c r="I44" s="41"/>
      <c r="J44" s="41" t="s">
        <v>106</v>
      </c>
      <c r="K44" s="41">
        <f>B52</f>
        <v>0.31934446665209915</v>
      </c>
      <c r="L44" s="41"/>
      <c r="M44" s="81"/>
      <c r="N44" s="42"/>
    </row>
    <row r="45" spans="1:15" x14ac:dyDescent="0.35">
      <c r="A45" s="41" t="s">
        <v>107</v>
      </c>
      <c r="B45" s="41">
        <f>1-B44</f>
        <v>0.99603471438084779</v>
      </c>
      <c r="C45" s="41"/>
      <c r="D45" s="41" t="s">
        <v>108</v>
      </c>
      <c r="E45" s="41"/>
      <c r="F45" s="22"/>
      <c r="G45" s="41" t="s">
        <v>108</v>
      </c>
      <c r="H45" s="41"/>
      <c r="I45" s="22"/>
      <c r="J45" s="41" t="s">
        <v>108</v>
      </c>
      <c r="K45" s="41"/>
      <c r="L45" s="22"/>
      <c r="M45" s="81"/>
    </row>
    <row r="46" spans="1:15" x14ac:dyDescent="0.35">
      <c r="A46" s="41" t="s">
        <v>109</v>
      </c>
      <c r="B46" s="41">
        <f>10^(0.3*B35)</f>
        <v>1.2302687708123816</v>
      </c>
      <c r="C46" s="22"/>
      <c r="D46" s="41" t="s">
        <v>109</v>
      </c>
      <c r="E46" s="41">
        <f>10^(0.3*E35)</f>
        <v>1.2302687708123816</v>
      </c>
      <c r="F46" s="22"/>
      <c r="G46" s="41" t="s">
        <v>109</v>
      </c>
      <c r="H46" s="41">
        <f>10^(0.3*H35)</f>
        <v>1.2302687708123816</v>
      </c>
      <c r="I46" s="22"/>
      <c r="J46" s="41" t="s">
        <v>109</v>
      </c>
      <c r="K46" s="41">
        <f>10^(0.3*K35)</f>
        <v>1.2302687708123816</v>
      </c>
      <c r="L46" s="22"/>
      <c r="M46" s="81"/>
    </row>
    <row r="47" spans="1:15" x14ac:dyDescent="0.35">
      <c r="A47" s="41" t="s">
        <v>110</v>
      </c>
      <c r="B47" s="41">
        <f>10^(-0.5*B15*B15*(SQRT(B35)/(1+SQRT(B35))-0.3*B35))</f>
        <v>0.73799822294199757</v>
      </c>
      <c r="C47" s="41"/>
      <c r="D47" s="41" t="s">
        <v>110</v>
      </c>
      <c r="E47" s="41">
        <f>10^(-0.5*B15*B15*(SQRT(E35)/(1+SQRT(E35))-0.3*E35))</f>
        <v>0.73799822294199757</v>
      </c>
      <c r="F47" s="41"/>
      <c r="G47" s="41" t="s">
        <v>110</v>
      </c>
      <c r="H47" s="41">
        <f>10^(-0.5*B15*B15*(SQRT(H35)/(1+SQRT(H35))-0.3*H35))</f>
        <v>0.73799822294199757</v>
      </c>
      <c r="I47" s="41"/>
      <c r="J47" s="41" t="s">
        <v>110</v>
      </c>
      <c r="K47" s="41">
        <f>10^(-0.5*B15*B15*(SQRT(K35)/(1+SQRT(K35))-0.3*K35))</f>
        <v>0.73799822294199757</v>
      </c>
      <c r="L47" s="41"/>
      <c r="M47" s="81"/>
    </row>
    <row r="48" spans="1:15" x14ac:dyDescent="0.35">
      <c r="A48" s="41" t="s">
        <v>111</v>
      </c>
      <c r="B48" s="41">
        <f>B33*1.22*B23</f>
        <v>902.25611678260736</v>
      </c>
      <c r="C48" s="22"/>
      <c r="D48" s="41" t="s">
        <v>111</v>
      </c>
      <c r="E48" s="41">
        <f>E33*1.22*B23</f>
        <v>902.25611678260736</v>
      </c>
      <c r="F48" s="22"/>
      <c r="G48" s="41" t="s">
        <v>111</v>
      </c>
      <c r="H48" s="41">
        <f>H33*1.22*B23</f>
        <v>902.25611678260736</v>
      </c>
      <c r="I48" s="22"/>
      <c r="J48" s="41" t="s">
        <v>111</v>
      </c>
      <c r="K48" s="41">
        <f>K33*1.22*B23</f>
        <v>902.25611678260736</v>
      </c>
      <c r="L48" s="22"/>
      <c r="M48" s="81"/>
    </row>
    <row r="49" spans="1:15" ht="13.15" x14ac:dyDescent="0.4">
      <c r="A49" s="41" t="s">
        <v>112</v>
      </c>
      <c r="B49" s="41">
        <f>B33*1.22*B25</f>
        <v>2.8531843618519058E-5</v>
      </c>
      <c r="C49" s="22"/>
      <c r="D49" s="41" t="s">
        <v>112</v>
      </c>
      <c r="E49" s="41">
        <f>E33*1.22*B25</f>
        <v>2.8531843618519058E-5</v>
      </c>
      <c r="F49" s="22"/>
      <c r="G49" s="41" t="s">
        <v>112</v>
      </c>
      <c r="H49" s="41">
        <f>H33*1.22*B25</f>
        <v>2.8531843618519058E-5</v>
      </c>
      <c r="I49" s="22"/>
      <c r="J49" s="41" t="s">
        <v>112</v>
      </c>
      <c r="K49" s="41">
        <f>K33*1.22*B25</f>
        <v>2.8531843618519058E-5</v>
      </c>
      <c r="L49" s="22"/>
      <c r="M49" s="81"/>
      <c r="O49" s="42"/>
    </row>
    <row r="50" spans="1:15" ht="13.15" x14ac:dyDescent="0.4">
      <c r="A50" s="41" t="s">
        <v>113</v>
      </c>
      <c r="B50" s="41">
        <f>10^(B16*(B14-B31))</f>
        <v>398.10717055349795</v>
      </c>
      <c r="C50" s="22"/>
      <c r="D50" s="41" t="s">
        <v>113</v>
      </c>
      <c r="E50" s="41">
        <f>10^(B16*(B14-E31))</f>
        <v>19952.623149688861</v>
      </c>
      <c r="F50" s="22"/>
      <c r="G50" s="41" t="s">
        <v>113</v>
      </c>
      <c r="H50" s="41">
        <f>10^(B16*(B14-H31))</f>
        <v>63.095734448019471</v>
      </c>
      <c r="I50" s="22"/>
      <c r="J50" s="41" t="s">
        <v>113</v>
      </c>
      <c r="K50" s="41">
        <f>10^(B16*(B14-K31))</f>
        <v>1995.2623149688841</v>
      </c>
      <c r="L50" s="22"/>
      <c r="M50" s="81"/>
      <c r="N50" s="52"/>
      <c r="O50" s="52"/>
    </row>
    <row r="51" spans="1:15" x14ac:dyDescent="0.35">
      <c r="A51" s="41" t="s">
        <v>114</v>
      </c>
      <c r="B51" s="41">
        <f>1/(B34/B46+B48/B46+B50*B34/B47+B50*B49/B47)</f>
        <v>8.0215703276106996E-4</v>
      </c>
      <c r="C51" s="22"/>
      <c r="D51" s="41" t="s">
        <v>114</v>
      </c>
      <c r="E51" s="41">
        <f>1/(E34/E46+E48/E46+E50*E34/E47+E50*E49/E47)</f>
        <v>3.7851176988699454E-5</v>
      </c>
      <c r="F51" s="22"/>
      <c r="G51" s="41" t="s">
        <v>114</v>
      </c>
      <c r="H51" s="41">
        <f>1/(H34/H46+H48/H46+H50*H34/H47+H50*H49/H47)</f>
        <v>1.2264266608925166E-3</v>
      </c>
      <c r="I51" s="22"/>
      <c r="J51" s="41" t="s">
        <v>114</v>
      </c>
      <c r="K51" s="41">
        <f>1/(K34/K46+K48/K46+K50*K34/K47+K50*K49/K47)</f>
        <v>3.0278587985911571E-4</v>
      </c>
      <c r="L51" s="22"/>
      <c r="M51" s="81"/>
    </row>
    <row r="52" spans="1:15" x14ac:dyDescent="0.35">
      <c r="A52" s="41" t="s">
        <v>115</v>
      </c>
      <c r="B52" s="41">
        <f>B50*B51</f>
        <v>0.31934446665209915</v>
      </c>
      <c r="C52" s="22"/>
      <c r="D52" s="41" t="s">
        <v>115</v>
      </c>
      <c r="E52" s="41">
        <f>E50*E51</f>
        <v>0.75523027022769507</v>
      </c>
      <c r="F52" s="22"/>
      <c r="G52" s="41" t="s">
        <v>115</v>
      </c>
      <c r="H52" s="41">
        <f>H50*H51</f>
        <v>7.7382290915645455E-2</v>
      </c>
      <c r="I52" s="22"/>
      <c r="J52" s="41" t="s">
        <v>115</v>
      </c>
      <c r="K52" s="41">
        <f>K50*K51</f>
        <v>0.60413725558758957</v>
      </c>
      <c r="L52" s="22"/>
      <c r="M52" s="81"/>
    </row>
    <row r="53" spans="1:15" x14ac:dyDescent="0.35">
      <c r="A53" s="41" t="s">
        <v>116</v>
      </c>
      <c r="B53" s="41">
        <f>B15*B36*F23/(F24*F25)</f>
        <v>-2.7711238871726325</v>
      </c>
      <c r="C53" s="22"/>
      <c r="D53" s="41" t="s">
        <v>116</v>
      </c>
      <c r="E53" s="41">
        <f>B15*E36*F23/(F24*F25)</f>
        <v>0.39587484102466175</v>
      </c>
      <c r="F53" s="22"/>
      <c r="G53" s="41" t="s">
        <v>116</v>
      </c>
      <c r="H53" s="41">
        <f>B15*H36*$F$23/($F$24*$F$25)</f>
        <v>-6.333997456394588</v>
      </c>
      <c r="I53" s="22"/>
      <c r="J53" s="41" t="s">
        <v>116</v>
      </c>
      <c r="K53" s="41">
        <f>B15*K36*$F$23/($F$24*$F$25)</f>
        <v>3.9587484102466178E-6</v>
      </c>
      <c r="L53" s="22"/>
      <c r="M53" s="81"/>
    </row>
    <row r="54" spans="1:15" x14ac:dyDescent="0.35">
      <c r="A54" s="41" t="s">
        <v>117</v>
      </c>
      <c r="B54" s="41"/>
      <c r="C54" s="22"/>
      <c r="D54" s="41" t="s">
        <v>117</v>
      </c>
      <c r="E54" s="41"/>
      <c r="F54" s="22"/>
      <c r="G54" s="41" t="s">
        <v>117</v>
      </c>
      <c r="H54" s="41"/>
      <c r="I54" s="22"/>
      <c r="J54" s="41" t="s">
        <v>117</v>
      </c>
      <c r="K54" s="41"/>
      <c r="L54" s="22"/>
      <c r="M54" s="81"/>
    </row>
    <row r="55" spans="1:15" x14ac:dyDescent="0.35">
      <c r="A55" s="41" t="s">
        <v>118</v>
      </c>
      <c r="B55" s="41">
        <f>(B44*B40+B45*B42*B53/(EXP(B53)-1))</f>
        <v>2.5740398584317313E-8</v>
      </c>
      <c r="C55" s="22"/>
      <c r="D55" s="41" t="s">
        <v>119</v>
      </c>
      <c r="E55" s="41">
        <f>(E43*E38+E44*E40*E53/(EXP(E53)-1))</f>
        <v>2.3673575283646147E-6</v>
      </c>
      <c r="F55" s="22"/>
      <c r="G55" s="41" t="s">
        <v>119</v>
      </c>
      <c r="H55" s="41">
        <f>(H43*H38+H44*H40*H53/(EXP(H53)-1))</f>
        <v>2.3675223438422456E-6</v>
      </c>
      <c r="I55" s="22"/>
      <c r="J55" s="41" t="s">
        <v>119</v>
      </c>
      <c r="K55" s="41">
        <f>(K43*K38+K44*K40*K53/(EXP(K53)-1))</f>
        <v>2.3673630392205007E-6</v>
      </c>
      <c r="L55" s="22"/>
      <c r="M55" s="81"/>
    </row>
    <row r="56" spans="1:15" x14ac:dyDescent="0.35">
      <c r="A56" s="41" t="s">
        <v>120</v>
      </c>
      <c r="B56" s="41">
        <f>(B51*B40+B52*B42*EXP(B53)*B53/(EXP(B53)-1))</f>
        <v>5.1570776789036033E-9</v>
      </c>
      <c r="C56" s="22"/>
      <c r="D56" s="41" t="s">
        <v>121</v>
      </c>
      <c r="E56" s="41">
        <f>(E51*E38+E52*E40*EXP(E53)*E53/(EXP(E53)-1))</f>
        <v>1.1179209410566984E-7</v>
      </c>
      <c r="F56" s="22"/>
      <c r="G56" s="41" t="s">
        <v>121</v>
      </c>
      <c r="H56" s="41">
        <f>(H51*H38+H52*H40*EXP(H53)*H53/(EXP(H53)-1))</f>
        <v>3.6194417587893992E-6</v>
      </c>
      <c r="I56" s="22"/>
      <c r="J56" s="41" t="s">
        <v>121</v>
      </c>
      <c r="K56" s="41">
        <f>(K51*K38+K52*K40*EXP(K53)*K53/(EXP(K53)-1))</f>
        <v>8.9364086382532562E-7</v>
      </c>
      <c r="L56" s="22"/>
      <c r="M56" s="81"/>
    </row>
    <row r="57" spans="1:15" x14ac:dyDescent="0.35">
      <c r="A57" s="57" t="s">
        <v>122</v>
      </c>
      <c r="B57" s="57">
        <f>B55/B56</f>
        <v>4.9912761038320701</v>
      </c>
      <c r="C57" s="22"/>
      <c r="D57" s="57" t="s">
        <v>122</v>
      </c>
      <c r="E57" s="57">
        <f>E55/E56</f>
        <v>21.176430652841198</v>
      </c>
      <c r="F57" s="22"/>
      <c r="G57" s="57" t="s">
        <v>122</v>
      </c>
      <c r="H57" s="57">
        <f>H55/H56</f>
        <v>0.65411256807572304</v>
      </c>
      <c r="I57" s="22"/>
      <c r="J57" s="57" t="s">
        <v>122</v>
      </c>
      <c r="K57" s="57">
        <f>K55/K56</f>
        <v>2.649121291395236</v>
      </c>
      <c r="L57" s="22"/>
      <c r="M57" s="81"/>
    </row>
    <row r="58" spans="1:15" x14ac:dyDescent="0.35">
      <c r="A58" s="36" t="s">
        <v>123</v>
      </c>
      <c r="B58" s="36">
        <v>1</v>
      </c>
      <c r="C58" s="58" t="s">
        <v>38</v>
      </c>
      <c r="D58" s="58" t="s">
        <v>124</v>
      </c>
      <c r="E58" s="41"/>
      <c r="F58" s="41"/>
      <c r="G58" s="22"/>
      <c r="H58" s="22"/>
      <c r="I58" s="22"/>
      <c r="J58" s="22"/>
      <c r="K58" s="22"/>
      <c r="L58" s="22"/>
      <c r="M58" s="81"/>
      <c r="O58" s="45"/>
    </row>
    <row r="59" spans="1:15" ht="13.15" x14ac:dyDescent="0.4">
      <c r="A59" s="56" t="s">
        <v>125</v>
      </c>
      <c r="B59" s="11"/>
      <c r="C59" s="12"/>
      <c r="D59" s="12"/>
      <c r="E59" s="11"/>
      <c r="F59" s="11"/>
      <c r="G59" s="12"/>
      <c r="H59" s="12"/>
      <c r="I59" s="12"/>
      <c r="J59" s="11"/>
      <c r="K59" s="11"/>
      <c r="L59" s="12"/>
      <c r="O59" s="45"/>
    </row>
    <row r="60" spans="1:15" x14ac:dyDescent="0.35">
      <c r="A60" s="74" t="s">
        <v>126</v>
      </c>
      <c r="B60" s="74"/>
      <c r="C60" s="73"/>
      <c r="D60" s="73"/>
      <c r="E60" s="74"/>
      <c r="F60" s="73"/>
      <c r="G60" s="74"/>
      <c r="H60" s="74"/>
      <c r="I60" s="73"/>
      <c r="L60" s="71"/>
    </row>
    <row r="61" spans="1:15" ht="13.15" x14ac:dyDescent="0.4">
      <c r="A61" s="76"/>
      <c r="B61" s="76"/>
      <c r="C61" s="77"/>
      <c r="D61" s="76"/>
      <c r="E61" s="73"/>
      <c r="F61" s="73"/>
      <c r="G61" s="73"/>
      <c r="H61" s="73"/>
      <c r="I61" s="73"/>
      <c r="N61" s="71"/>
    </row>
    <row r="62" spans="1:15" ht="13.15" x14ac:dyDescent="0.4">
      <c r="A62" s="76" t="s">
        <v>127</v>
      </c>
      <c r="B62" s="76" t="s">
        <v>128</v>
      </c>
      <c r="C62" s="77" t="s">
        <v>129</v>
      </c>
      <c r="D62" s="76" t="s">
        <v>130</v>
      </c>
      <c r="E62" s="77" t="s">
        <v>131</v>
      </c>
      <c r="F62" s="77" t="s">
        <v>132</v>
      </c>
      <c r="G62" s="77"/>
      <c r="H62" s="77" t="s">
        <v>133</v>
      </c>
      <c r="I62" s="73"/>
      <c r="N62" s="71"/>
    </row>
    <row r="63" spans="1:15" x14ac:dyDescent="0.35">
      <c r="A63" s="74" t="s">
        <v>134</v>
      </c>
      <c r="B63" s="75">
        <f>B30/B28*B55*B58</f>
        <v>1.9305298938237989E-2</v>
      </c>
      <c r="C63" s="75">
        <f>B30/B28*B55*B58</f>
        <v>1.9305298938237989E-2</v>
      </c>
      <c r="D63" s="75">
        <f>B30/B28*B55*B58</f>
        <v>1.9305298938237989E-2</v>
      </c>
      <c r="E63" s="73" t="s">
        <v>135</v>
      </c>
      <c r="F63" s="73" t="s">
        <v>136</v>
      </c>
      <c r="G63" s="73"/>
      <c r="H63" s="73" t="s">
        <v>137</v>
      </c>
      <c r="I63" s="73"/>
      <c r="N63" s="72"/>
    </row>
    <row r="64" spans="1:15" x14ac:dyDescent="0.35">
      <c r="A64" s="74" t="s">
        <v>138</v>
      </c>
      <c r="B64" s="75">
        <f>E30/B28*E56</f>
        <v>8.1878975175051175E-5</v>
      </c>
      <c r="C64" s="75">
        <f>H30/B28*H56</f>
        <v>4.2415333110813278E-14</v>
      </c>
      <c r="D64" s="75">
        <f>K30/B28*K56</f>
        <v>4.1889415491812153E-2</v>
      </c>
      <c r="E64" s="73" t="s">
        <v>139</v>
      </c>
      <c r="F64" s="73" t="s">
        <v>140</v>
      </c>
      <c r="G64" s="73"/>
      <c r="H64" s="73" t="s">
        <v>141</v>
      </c>
      <c r="I64" s="73"/>
      <c r="N64" s="72"/>
    </row>
    <row r="65" spans="1:14" x14ac:dyDescent="0.35">
      <c r="A65" s="74" t="s">
        <v>142</v>
      </c>
      <c r="B65" s="75">
        <f>B30/B28*B56+E30/B28*E55</f>
        <v>5.6017126988978806E-3</v>
      </c>
      <c r="C65" s="75">
        <f>B30/B28*B56+H30/B28*H55</f>
        <v>3.8678082592054478E-3</v>
      </c>
      <c r="D65" s="75">
        <f>B30/B28*B56+K30/B28*K55</f>
        <v>0.11483795072263871</v>
      </c>
      <c r="E65" s="73" t="s">
        <v>139</v>
      </c>
      <c r="F65" s="73" t="s">
        <v>143</v>
      </c>
      <c r="G65" s="73"/>
      <c r="H65" s="73" t="s">
        <v>144</v>
      </c>
      <c r="I65" s="73"/>
      <c r="N65" s="72"/>
    </row>
    <row r="66" spans="1:14" x14ac:dyDescent="0.35">
      <c r="A66" s="74" t="s">
        <v>145</v>
      </c>
      <c r="B66" s="75">
        <v>0</v>
      </c>
      <c r="C66" s="74">
        <v>0</v>
      </c>
      <c r="D66" s="75">
        <v>0</v>
      </c>
      <c r="E66" s="73" t="s">
        <v>135</v>
      </c>
      <c r="F66" s="73" t="s">
        <v>146</v>
      </c>
      <c r="G66" s="73"/>
      <c r="H66" s="73" t="s">
        <v>146</v>
      </c>
      <c r="I66" s="73"/>
      <c r="N66" s="71"/>
    </row>
    <row r="67" spans="1:14" x14ac:dyDescent="0.35">
      <c r="A67" s="74" t="s">
        <v>147</v>
      </c>
      <c r="B67" s="75">
        <f>E30/E28*E55</f>
        <v>0.28988051367729983</v>
      </c>
      <c r="C67" s="75">
        <f>H30/H28*H55</f>
        <v>14205134.063053474</v>
      </c>
      <c r="D67" s="75">
        <f>K30/K28*K55</f>
        <v>7.102089117661504</v>
      </c>
      <c r="E67" s="73" t="s">
        <v>139</v>
      </c>
      <c r="F67" s="73" t="s">
        <v>148</v>
      </c>
      <c r="G67" s="73"/>
      <c r="H67" s="73" t="s">
        <v>149</v>
      </c>
      <c r="I67" s="73"/>
      <c r="N67" s="72"/>
    </row>
    <row r="68" spans="1:14" x14ac:dyDescent="0.35">
      <c r="A68" s="74" t="s">
        <v>150</v>
      </c>
      <c r="B68" s="75">
        <f>E30/E28*E56</f>
        <v>1.3688827849673863E-2</v>
      </c>
      <c r="C68" s="75">
        <f>H30/H28*H56</f>
        <v>21716650.552736394</v>
      </c>
      <c r="D68" s="75">
        <f>K30/K28*K56</f>
        <v>2.6809225914759778</v>
      </c>
      <c r="E68" s="73" t="s">
        <v>139</v>
      </c>
      <c r="F68" s="73" t="s">
        <v>151</v>
      </c>
      <c r="G68" s="73"/>
      <c r="H68" s="73" t="s">
        <v>152</v>
      </c>
      <c r="I68" s="73"/>
      <c r="N68" s="72"/>
    </row>
    <row r="69" spans="1:14" x14ac:dyDescent="0.35">
      <c r="A69" s="74" t="s">
        <v>153</v>
      </c>
      <c r="B69" s="75">
        <v>0</v>
      </c>
      <c r="C69" s="74">
        <v>0</v>
      </c>
      <c r="D69" s="75">
        <f>N69</f>
        <v>0</v>
      </c>
      <c r="E69" s="73" t="s">
        <v>154</v>
      </c>
      <c r="F69" s="73" t="s">
        <v>155</v>
      </c>
      <c r="G69" s="73"/>
      <c r="H69" s="73" t="s">
        <v>155</v>
      </c>
      <c r="I69" s="73"/>
      <c r="N69" s="71"/>
    </row>
    <row r="70" spans="1:14" x14ac:dyDescent="0.35">
      <c r="A70" s="74" t="s">
        <v>156</v>
      </c>
      <c r="B70" s="75">
        <v>0</v>
      </c>
      <c r="C70" s="74">
        <v>0</v>
      </c>
      <c r="D70" s="75">
        <f>N70</f>
        <v>0</v>
      </c>
      <c r="E70" s="73" t="s">
        <v>38</v>
      </c>
      <c r="F70" s="73" t="s">
        <v>157</v>
      </c>
      <c r="G70" s="73"/>
      <c r="H70" s="73" t="s">
        <v>157</v>
      </c>
      <c r="I70" s="73"/>
      <c r="N70" s="71"/>
    </row>
    <row r="71" spans="1:14" x14ac:dyDescent="0.35">
      <c r="A71" s="74"/>
      <c r="B71" s="74"/>
      <c r="C71" s="73"/>
      <c r="D71" s="73"/>
      <c r="E71" s="74"/>
      <c r="F71" s="73"/>
      <c r="G71" s="73"/>
      <c r="H71" s="74"/>
      <c r="I71" s="73"/>
    </row>
    <row r="72" spans="1:14" ht="13.15" x14ac:dyDescent="0.4">
      <c r="A72" s="76" t="s">
        <v>158</v>
      </c>
      <c r="B72" s="74"/>
      <c r="C72" s="74"/>
      <c r="D72" s="74"/>
      <c r="E72" s="74"/>
      <c r="F72" s="73"/>
      <c r="G72" s="73"/>
      <c r="H72" s="74"/>
      <c r="I72" s="73"/>
    </row>
    <row r="73" spans="1:14" x14ac:dyDescent="0.35">
      <c r="A73" s="74" t="s">
        <v>159</v>
      </c>
      <c r="B73" s="74">
        <f>-(B65+B68)/2+0.5*SQRT((B65-B68)^2+4*B67*B64)</f>
        <v>-3.3139609903705524E-3</v>
      </c>
      <c r="C73" s="74">
        <f>-(C65+C68)/2+0.5*SQRT((C65-C68)^2+4*C67*C64)</f>
        <v>-3.8678087294101715E-3</v>
      </c>
      <c r="D73" s="74">
        <f>-(D65+D68)/2+0.5*SQRT((D65-D68)^2+4*D67*D64)</f>
        <v>-3.7138686253610498E-3</v>
      </c>
      <c r="E73" s="74"/>
      <c r="F73" s="73"/>
      <c r="G73" s="73"/>
      <c r="H73" s="74"/>
      <c r="I73" s="73"/>
    </row>
    <row r="74" spans="1:14" x14ac:dyDescent="0.35">
      <c r="A74" s="74" t="s">
        <v>160</v>
      </c>
      <c r="B74" s="74">
        <f>-(B65+B68)/2-0.5*SQRT((B65-B68)^2+4*B67*B64)</f>
        <v>-1.5976579558201191E-2</v>
      </c>
      <c r="C74" s="74">
        <f>-(C65+C68)/2-0.5*SQRT((C65-C68)^2+4*C67*C64)</f>
        <v>-21716650.552736394</v>
      </c>
      <c r="D74" s="74">
        <f>-(D65+D68)/2-0.5*SQRT((D65-D68)^2+4*D67*D64)</f>
        <v>-2.7920466735732559</v>
      </c>
      <c r="E74" s="74"/>
      <c r="F74" s="73"/>
      <c r="G74" s="73"/>
      <c r="H74" s="74"/>
      <c r="I74" s="73"/>
    </row>
    <row r="75" spans="1:14" x14ac:dyDescent="0.35">
      <c r="A75" s="74" t="s">
        <v>161</v>
      </c>
      <c r="B75" s="74">
        <f>(B67*B63+B65*B66)/(B65*B68-B67*B64)</f>
        <v>105.6974122819832</v>
      </c>
      <c r="C75" s="74">
        <f>(C67*C63+C65*C66)/(C65*C68-C67*C64)</f>
        <v>3.2648564302525855</v>
      </c>
      <c r="D75" s="74">
        <f>(D67*D63+D65*D66)/(D65*D68-D67*D64)</f>
        <v>13.222495797893828</v>
      </c>
      <c r="E75" s="74"/>
      <c r="F75" s="73"/>
      <c r="G75" s="73"/>
      <c r="H75" s="74"/>
      <c r="I75" s="73"/>
    </row>
    <row r="76" spans="1:14" x14ac:dyDescent="0.35">
      <c r="A76" s="74" t="s">
        <v>162</v>
      </c>
      <c r="B76" s="74">
        <f>((B66+B67*B69)-B70*(B74+B68)+B74*B75)/SQRT((B65-B68)^2+4*B67*B64)</f>
        <v>-133.35970813408159</v>
      </c>
      <c r="C76" s="74">
        <f>((C66+C67*C69)-C70*(C74+C68)+C74*C75)/SQRT((C65-C68)^2+4*C67*C64)</f>
        <v>-3.2648564308340675</v>
      </c>
      <c r="D76" s="74">
        <f>((D66+D67*D69)-D70*(D74+D68)+D74*D75)/SQRT((D65-D68)^2+4*D67*D64)</f>
        <v>-13.240107258120393</v>
      </c>
      <c r="E76" s="74"/>
      <c r="F76" s="73"/>
      <c r="G76" s="73"/>
      <c r="H76" s="74"/>
      <c r="I76" s="73"/>
    </row>
    <row r="77" spans="1:14" x14ac:dyDescent="0.35">
      <c r="A77" s="74" t="s">
        <v>163</v>
      </c>
      <c r="B77" s="74">
        <f>(B70*(B73+B68)-(B66+B67*B69)-B73*B75)/SQRT((B65-B68)^2+4*B67*B64)</f>
        <v>27.662295852098396</v>
      </c>
      <c r="C77" s="74">
        <f>(C70*(C73+C68)-(C66+C67*C69)-C73*C75)/SQRT((C65-C68)^2+4*C67*C64)</f>
        <v>5.814819450534363E-10</v>
      </c>
      <c r="D77" s="74">
        <f>(D70*(D73+D68)-(D66+D67*D69)-D73*D75)/SQRT((D65-D68)^2+4*D67*D64)</f>
        <v>1.7611460226564978E-2</v>
      </c>
      <c r="E77" s="74"/>
      <c r="F77" s="73"/>
      <c r="G77" s="73"/>
      <c r="H77" s="74"/>
      <c r="I77" s="73"/>
    </row>
    <row r="78" spans="1:14" x14ac:dyDescent="0.35">
      <c r="A78" s="74" t="s">
        <v>164</v>
      </c>
      <c r="B78" s="74">
        <f>(B64*B66+B68*B63)/(B65*B68-B67*B64)</f>
        <v>4.9912761038320683</v>
      </c>
      <c r="C78" s="74">
        <f>(C64*C66+C68*C63)/(C65*C68-C67*C64)</f>
        <v>4.991276103832071</v>
      </c>
      <c r="D78" s="74">
        <f>(D64*D66+D68*D63)/(D65*D68-D67*D64)</f>
        <v>4.9912761038320825</v>
      </c>
      <c r="E78" s="74"/>
      <c r="F78" s="73"/>
      <c r="G78" s="73"/>
      <c r="H78" s="74"/>
      <c r="I78" s="73"/>
    </row>
    <row r="79" spans="1:14" x14ac:dyDescent="0.35">
      <c r="A79" s="74" t="s">
        <v>165</v>
      </c>
      <c r="B79" s="74">
        <f>((B63+B64*B70)-B69*(B74+B65)+B74*B78)/SQRT((B65-B68)^2+4*B67*B64)</f>
        <v>-4.7729638627137296</v>
      </c>
      <c r="C79" s="74">
        <f>((C63+C64*C70)-C69*(C74+C65)+C74*C78)/SQRT((C65-C68)^2+4*C67*C64)</f>
        <v>-4.991276103832071</v>
      </c>
      <c r="D79" s="74">
        <f>((D63+D64*D70)-D69*(D74+D65)+D74*D78)/SQRT((D65-D68)^2+4*D67*D64)</f>
        <v>-4.9910005430330493</v>
      </c>
      <c r="E79" s="73"/>
      <c r="F79" s="73"/>
      <c r="G79" s="73"/>
      <c r="H79" s="74"/>
      <c r="I79" s="73"/>
    </row>
    <row r="80" spans="1:14" x14ac:dyDescent="0.35">
      <c r="A80" s="74" t="s">
        <v>166</v>
      </c>
      <c r="B80" s="74">
        <f>(B69*(B73+B65)-(B63+B64*B70)-B73*B78)/SQRT((B65-B68)^2+4*B67*B64)</f>
        <v>-0.2183122411183388</v>
      </c>
      <c r="C80" s="74">
        <f>(C69*(C73+C65)-(C63+C64*C70)-C73*C78)/SQRT((C65-C68)^2+4*C67*C64)</f>
        <v>1.0807652308984196E-16</v>
      </c>
      <c r="D80" s="74">
        <f>(D69*(D73+D65)-(D63+D64*D70)-D73*D78)/SQRT((D65-D68)^2+4*D67*D64)</f>
        <v>-2.7556079903311089E-4</v>
      </c>
      <c r="E80" s="73"/>
      <c r="F80" s="73"/>
      <c r="G80" s="73"/>
      <c r="H80" s="74"/>
      <c r="I80" s="73"/>
    </row>
    <row r="81" spans="1:14" ht="13.5" thickBot="1" x14ac:dyDescent="0.45">
      <c r="A81" s="93" t="s">
        <v>167</v>
      </c>
      <c r="B81" s="108" t="s">
        <v>168</v>
      </c>
      <c r="C81" s="109" t="s">
        <v>169</v>
      </c>
      <c r="D81" s="88" t="s">
        <v>170</v>
      </c>
      <c r="E81" s="120" t="s">
        <v>171</v>
      </c>
      <c r="F81" s="13"/>
      <c r="G81" s="59"/>
      <c r="M81" s="71"/>
      <c r="N81" s="71"/>
    </row>
    <row r="82" spans="1:14" ht="13.15" thickTop="1" x14ac:dyDescent="0.35">
      <c r="A82" s="114">
        <v>1</v>
      </c>
      <c r="B82" s="19">
        <f>$B$78+$B$79*EXP($B$73*A82)+$B$80*EXP($B$74*A82)</f>
        <v>1.9251404287412149E-2</v>
      </c>
      <c r="C82" s="48">
        <f t="shared" ref="C82:C91" si="0">$B$75+$B$76*EXP($B$73*A82)+$B$77*EXP($B$74*A82)</f>
        <v>2.7801967890681567E-3</v>
      </c>
      <c r="D82" s="88">
        <f t="shared" ref="D82:D91" si="1">$C$75+$C$76*EXP($C$73*A82)+$C$77*EXP($C$74*A82)</f>
        <v>1.260345004155905E-2</v>
      </c>
      <c r="E82" s="66">
        <f t="shared" ref="E82:E91" si="2">$D$75+$D$76*EXP($D$73*A82)+$D$77*EXP($D$74*A82)</f>
        <v>3.2548868046348628E-2</v>
      </c>
      <c r="F82" s="13"/>
      <c r="G82" s="13"/>
      <c r="M82" s="71"/>
      <c r="N82" s="71"/>
    </row>
    <row r="83" spans="1:14" x14ac:dyDescent="0.35">
      <c r="A83" s="115">
        <v>3</v>
      </c>
      <c r="B83" s="19">
        <f t="shared" ref="B83:B90" si="3">$B$78+$B$79*EXP($B$73*A83)+$B$80*EXP($B$74*A83)</f>
        <v>5.7433992996701211E-2</v>
      </c>
      <c r="C83" s="48">
        <f t="shared" si="0"/>
        <v>2.4703211210049147E-2</v>
      </c>
      <c r="D83" s="88">
        <f t="shared" si="1"/>
        <v>3.7664578354020595E-2</v>
      </c>
      <c r="E83" s="66">
        <f t="shared" si="2"/>
        <v>0.12908991309877174</v>
      </c>
      <c r="F83" s="13"/>
      <c r="G83" s="13"/>
      <c r="M83" s="71"/>
    </row>
    <row r="84" spans="1:14" x14ac:dyDescent="0.35">
      <c r="A84" s="115">
        <v>10</v>
      </c>
      <c r="B84" s="19">
        <f t="shared" si="3"/>
        <v>0.18781720509931066</v>
      </c>
      <c r="C84" s="48">
        <f t="shared" si="0"/>
        <v>0.26254003870698028</v>
      </c>
      <c r="D84" s="88">
        <f t="shared" si="1"/>
        <v>0.12386748111444135</v>
      </c>
      <c r="E84" s="66">
        <f t="shared" si="2"/>
        <v>0.46508980331746386</v>
      </c>
      <c r="F84" s="13"/>
      <c r="G84" s="13"/>
      <c r="M84" s="71"/>
    </row>
    <row r="85" spans="1:14" x14ac:dyDescent="0.35">
      <c r="A85" s="115">
        <v>20</v>
      </c>
      <c r="B85" s="19">
        <f t="shared" si="3"/>
        <v>0.3658032342893146</v>
      </c>
      <c r="C85" s="48">
        <f t="shared" si="0"/>
        <v>0.98648758141742476</v>
      </c>
      <c r="D85" s="88">
        <f t="shared" si="1"/>
        <v>0.24303547499314115</v>
      </c>
      <c r="E85" s="66">
        <f t="shared" si="2"/>
        <v>0.93019298360696112</v>
      </c>
      <c r="F85" s="13"/>
      <c r="G85" s="13"/>
      <c r="M85" s="71"/>
    </row>
    <row r="86" spans="1:14" x14ac:dyDescent="0.35">
      <c r="A86" s="116">
        <v>30</v>
      </c>
      <c r="B86" s="19">
        <f t="shared" si="3"/>
        <v>0.5348262065839553</v>
      </c>
      <c r="C86" s="48">
        <f t="shared" si="0"/>
        <v>2.0874088567358555</v>
      </c>
      <c r="D86" s="88">
        <f t="shared" si="1"/>
        <v>0.35768227793642859</v>
      </c>
      <c r="E86" s="66">
        <f t="shared" si="2"/>
        <v>1.3783396628329037</v>
      </c>
      <c r="F86" s="13"/>
      <c r="G86" s="13"/>
      <c r="M86" s="71"/>
    </row>
    <row r="87" spans="1:14" x14ac:dyDescent="0.35">
      <c r="A87" s="115">
        <v>50</v>
      </c>
      <c r="B87" s="19">
        <f t="shared" si="3"/>
        <v>0.8489251410163734</v>
      </c>
      <c r="C87" s="48">
        <f t="shared" si="0"/>
        <v>5.1454941334331963</v>
      </c>
      <c r="D87" s="88">
        <f t="shared" si="1"/>
        <v>0.57409193258881031</v>
      </c>
      <c r="E87" s="66">
        <f t="shared" si="2"/>
        <v>2.2262137471900214</v>
      </c>
      <c r="F87" s="13"/>
      <c r="G87" s="13"/>
      <c r="M87" s="71"/>
    </row>
    <row r="88" spans="1:14" x14ac:dyDescent="0.35">
      <c r="A88" s="116">
        <v>100</v>
      </c>
      <c r="B88" s="19">
        <f t="shared" si="3"/>
        <v>1.5204865002999743</v>
      </c>
      <c r="C88" s="48">
        <f t="shared" si="0"/>
        <v>15.553727939170575</v>
      </c>
      <c r="D88" s="88">
        <f t="shared" si="1"/>
        <v>1.047235614369376</v>
      </c>
      <c r="E88" s="66">
        <f t="shared" si="2"/>
        <v>4.0897737903383824</v>
      </c>
      <c r="F88" s="13"/>
      <c r="G88" s="13"/>
      <c r="M88" s="71"/>
    </row>
    <row r="89" spans="1:14" x14ac:dyDescent="0.35">
      <c r="A89" s="115">
        <v>200</v>
      </c>
      <c r="B89" s="19">
        <f t="shared" si="3"/>
        <v>2.5223011943185298</v>
      </c>
      <c r="C89" s="48">
        <f t="shared" si="0"/>
        <v>38.095329162435874</v>
      </c>
      <c r="D89" s="88">
        <f t="shared" si="1"/>
        <v>1.7585598480833786</v>
      </c>
      <c r="E89" s="66">
        <f t="shared" si="2"/>
        <v>6.9229538348834607</v>
      </c>
      <c r="F89" s="13"/>
      <c r="G89" s="13"/>
      <c r="M89" s="71"/>
    </row>
    <row r="90" spans="1:14" x14ac:dyDescent="0.35">
      <c r="A90" s="115">
        <v>300</v>
      </c>
      <c r="B90" s="19">
        <f t="shared" si="3"/>
        <v>3.2233571666962741</v>
      </c>
      <c r="C90" s="48">
        <f t="shared" si="0"/>
        <v>56.580422241386628</v>
      </c>
      <c r="D90" s="88">
        <f t="shared" si="1"/>
        <v>2.2417196625942291</v>
      </c>
      <c r="E90" s="66">
        <f t="shared" si="2"/>
        <v>8.8772163827426844</v>
      </c>
      <c r="F90" s="13"/>
      <c r="G90" s="13"/>
      <c r="M90" s="71"/>
    </row>
    <row r="91" spans="1:14" ht="13.15" thickBot="1" x14ac:dyDescent="0.4">
      <c r="A91" s="117">
        <v>500</v>
      </c>
      <c r="B91" s="59">
        <f>$B$78+$B$79*EXP($B$73*A91)+$B$80*EXP($B$74*A91)</f>
        <v>4.0809311027790853</v>
      </c>
      <c r="C91" s="13">
        <f t="shared" si="0"/>
        <v>80.273241434030297</v>
      </c>
      <c r="D91" s="59">
        <f t="shared" si="1"/>
        <v>2.7928150254114796</v>
      </c>
      <c r="E91" s="13">
        <f t="shared" si="2"/>
        <v>11.155045022526334</v>
      </c>
      <c r="F91" s="13"/>
      <c r="G91" s="13"/>
    </row>
    <row r="92" spans="1:14" ht="13.5" thickTop="1" x14ac:dyDescent="0.4">
      <c r="A92" s="133">
        <v>700</v>
      </c>
      <c r="B92" s="59">
        <f>$B$78+$B$79*EXP($B$73*A92)+$B$80*EXP($B$74*A92)</f>
        <v>4.5221101647232365</v>
      </c>
      <c r="C92" s="13">
        <f>$B$75+$B$76*EXP($B$73*A92)+$B$77*EXP($B$74*A92)</f>
        <v>92.589080739678053</v>
      </c>
      <c r="D92" s="59">
        <f>$C$75+$C$76*EXP($C$73*A92)+$C$77*EXP($C$74*A92)</f>
        <v>3.0470721662833236</v>
      </c>
      <c r="E92" s="13">
        <f>$D$75+$D$76*EXP($D$73*A92)+$D$77*EXP($D$74*A92)</f>
        <v>12.238818501178727</v>
      </c>
    </row>
    <row r="93" spans="1:14" ht="13.15" x14ac:dyDescent="0.4">
      <c r="A93" s="133">
        <v>1000</v>
      </c>
      <c r="B93" s="59">
        <f t="shared" ref="B93:B98" si="4">$B$78+$B$79*EXP($B$73*A93)+$B$80*EXP($B$74*A93)</f>
        <v>4.8176746980026017</v>
      </c>
      <c r="C93" s="13">
        <f t="shared" ref="C93:C98" si="5">$B$75+$B$76*EXP($B$73*A93)+$B$77*EXP($B$74*A93)</f>
        <v>100.84688021956623</v>
      </c>
      <c r="D93" s="59">
        <f t="shared" ref="D93:D98" si="6">$C$75+$C$76*EXP($C$73*A93)+$C$77*EXP($C$74*A93)</f>
        <v>3.1966074604724839</v>
      </c>
      <c r="E93" s="13">
        <f t="shared" ref="E93:E98" si="7">$D$75+$D$76*EXP($D$73*A93)+$D$77*EXP($D$74*A93)</f>
        <v>12.899662105897404</v>
      </c>
    </row>
    <row r="94" spans="1:14" x14ac:dyDescent="0.35">
      <c r="A94" s="104">
        <v>1200</v>
      </c>
      <c r="B94" s="59">
        <f t="shared" si="4"/>
        <v>4.901800181142991</v>
      </c>
      <c r="C94" s="13">
        <f t="shared" si="5"/>
        <v>103.19739708853342</v>
      </c>
      <c r="D94" s="59">
        <f t="shared" si="6"/>
        <v>3.2333686169002314</v>
      </c>
      <c r="E94" s="13">
        <f t="shared" si="7"/>
        <v>13.068893991642771</v>
      </c>
    </row>
    <row r="95" spans="1:14" x14ac:dyDescent="0.35">
      <c r="A95" s="104">
        <v>1800</v>
      </c>
      <c r="B95" s="59">
        <f t="shared" si="4"/>
        <v>4.9790252827343844</v>
      </c>
      <c r="C95" s="13">
        <f t="shared" si="5"/>
        <v>105.35511638934076</v>
      </c>
      <c r="D95" s="59">
        <f t="shared" si="6"/>
        <v>3.261764129618578</v>
      </c>
      <c r="E95" s="13">
        <f t="shared" si="7"/>
        <v>13.205951485100927</v>
      </c>
    </row>
    <row r="96" spans="1:14" x14ac:dyDescent="0.35">
      <c r="A96">
        <v>3600</v>
      </c>
      <c r="B96" s="59">
        <f t="shared" si="4"/>
        <v>4.991244659509027</v>
      </c>
      <c r="C96" s="13">
        <f t="shared" si="5"/>
        <v>105.69653370718902</v>
      </c>
      <c r="D96" s="59">
        <f t="shared" si="6"/>
        <v>3.2648535013877447</v>
      </c>
      <c r="E96" s="13">
        <f t="shared" si="7"/>
        <v>13.222475124776876</v>
      </c>
    </row>
    <row r="97" spans="1:5" x14ac:dyDescent="0.35">
      <c r="A97">
        <v>5400</v>
      </c>
      <c r="B97" s="59">
        <f t="shared" si="4"/>
        <v>4.9912760231235636</v>
      </c>
      <c r="C97" s="13">
        <f t="shared" si="5"/>
        <v>105.6974100269352</v>
      </c>
      <c r="D97" s="59">
        <f t="shared" si="6"/>
        <v>3.2648564274785183</v>
      </c>
      <c r="E97" s="13">
        <f t="shared" si="7"/>
        <v>13.222495772061521</v>
      </c>
    </row>
    <row r="98" spans="1:5" x14ac:dyDescent="0.35">
      <c r="A98">
        <v>7200</v>
      </c>
      <c r="B98" s="59">
        <f t="shared" si="4"/>
        <v>4.9912761036249131</v>
      </c>
      <c r="C98" s="13">
        <f t="shared" si="5"/>
        <v>105.69741227619515</v>
      </c>
      <c r="D98" s="59">
        <f t="shared" si="6"/>
        <v>3.2648564302499583</v>
      </c>
      <c r="E98" s="13">
        <f t="shared" si="7"/>
        <v>13.22249579786155</v>
      </c>
    </row>
    <row r="99" spans="1:5" x14ac:dyDescent="0.35">
      <c r="A99" t="s">
        <v>172</v>
      </c>
      <c r="C99" s="104"/>
      <c r="D99" s="71"/>
    </row>
    <row r="100" spans="1:5" ht="13.5" thickBot="1" x14ac:dyDescent="0.45">
      <c r="A100" s="93" t="s">
        <v>167</v>
      </c>
      <c r="B100" s="108" t="s">
        <v>168</v>
      </c>
      <c r="C100" s="109" t="s">
        <v>169</v>
      </c>
      <c r="D100" s="88"/>
      <c r="E100" s="120" t="s">
        <v>171</v>
      </c>
    </row>
    <row r="101" spans="1:5" ht="13.15" thickTop="1" x14ac:dyDescent="0.35">
      <c r="A101" s="114">
        <v>1</v>
      </c>
      <c r="B101" s="33">
        <f>($B$78+$B$79*EXP($B$73*A101)+$B$80*EXP($B$74*A101))*$E$17</f>
        <v>7.9258162782039846E-3</v>
      </c>
      <c r="C101" s="29">
        <f>($B$75+$B$76*EXP($B$73*A101)+$B$77*EXP($B$74*A101))*$F$17</f>
        <v>2.7029391692835465E-3</v>
      </c>
      <c r="D101" s="88"/>
      <c r="E101" s="68">
        <f>($D$75+$D$76*EXP($D$73*A101)+$D$77*EXP($D$74*A101))*$H$17</f>
        <v>2.5320387426558479E-2</v>
      </c>
    </row>
    <row r="102" spans="1:5" x14ac:dyDescent="0.35">
      <c r="A102" s="115">
        <v>3</v>
      </c>
      <c r="B102" s="33">
        <f t="shared" ref="B102:B116" si="8">($B$78+$B$79*EXP($B$73*A102)+$B$80*EXP($B$74*A102))*$E$17</f>
        <v>2.3645614097520955E-2</v>
      </c>
      <c r="C102" s="29">
        <f t="shared" ref="C102:C117" si="9">($B$75+$B$76*EXP($B$73*A102)+$B$77*EXP($B$74*A102))*$F$17</f>
        <v>2.4016744947434488E-2</v>
      </c>
      <c r="D102" s="88"/>
      <c r="E102" s="68">
        <f t="shared" ref="E102:E117" si="10">($D$75+$D$76*EXP($D$73*A102)+$D$77*EXP($D$74*A102))*$H$17</f>
        <v>0.10042151413275778</v>
      </c>
    </row>
    <row r="103" spans="1:5" x14ac:dyDescent="0.35">
      <c r="A103" s="115">
        <v>10</v>
      </c>
      <c r="B103" s="33">
        <f t="shared" si="8"/>
        <v>7.7324471466023989E-2</v>
      </c>
      <c r="C103" s="29">
        <f t="shared" si="9"/>
        <v>0.25524443338565372</v>
      </c>
      <c r="D103" s="88"/>
      <c r="E103" s="68">
        <f t="shared" si="10"/>
        <v>0.36180225964758678</v>
      </c>
    </row>
    <row r="104" spans="1:5" x14ac:dyDescent="0.35">
      <c r="A104" s="115">
        <v>20</v>
      </c>
      <c r="B104" s="33">
        <f t="shared" si="8"/>
        <v>0.15060144110347648</v>
      </c>
      <c r="C104" s="29">
        <f t="shared" si="9"/>
        <v>0.95907452821663619</v>
      </c>
      <c r="D104" s="88"/>
      <c r="E104" s="68">
        <f t="shared" si="10"/>
        <v>0.72361492549774864</v>
      </c>
    </row>
    <row r="105" spans="1:5" x14ac:dyDescent="0.35">
      <c r="A105" s="116">
        <v>30</v>
      </c>
      <c r="B105" s="33">
        <f t="shared" si="8"/>
        <v>0.22018831410261833</v>
      </c>
      <c r="C105" s="29">
        <f t="shared" si="9"/>
        <v>2.0294028046380905</v>
      </c>
      <c r="D105" s="88"/>
      <c r="E105" s="68">
        <f t="shared" si="10"/>
        <v>1.0722368046294084</v>
      </c>
    </row>
    <row r="106" spans="1:5" x14ac:dyDescent="0.35">
      <c r="A106" s="115">
        <v>50</v>
      </c>
      <c r="B106" s="33">
        <f t="shared" si="8"/>
        <v>0.34950305968295919</v>
      </c>
      <c r="C106" s="29">
        <f t="shared" si="9"/>
        <v>5.0025083451869028</v>
      </c>
      <c r="D106" s="88"/>
      <c r="E106" s="68">
        <f t="shared" si="10"/>
        <v>1.7318142828473986</v>
      </c>
    </row>
    <row r="107" spans="1:5" x14ac:dyDescent="0.35">
      <c r="A107" s="116">
        <v>100</v>
      </c>
      <c r="B107" s="33">
        <f t="shared" si="8"/>
        <v>0.62598532943109786</v>
      </c>
      <c r="C107" s="29">
        <f t="shared" si="9"/>
        <v>15.121512491658866</v>
      </c>
      <c r="D107" s="88"/>
      <c r="E107" s="68">
        <f t="shared" si="10"/>
        <v>3.1815133082629359</v>
      </c>
    </row>
    <row r="108" spans="1:5" x14ac:dyDescent="0.35">
      <c r="A108" s="115">
        <v>200</v>
      </c>
      <c r="B108" s="33">
        <f t="shared" si="8"/>
        <v>1.0384331223844692</v>
      </c>
      <c r="C108" s="29">
        <f t="shared" si="9"/>
        <v>37.036715445747312</v>
      </c>
      <c r="D108" s="88"/>
      <c r="E108" s="68">
        <f t="shared" si="10"/>
        <v>5.3854982909334215</v>
      </c>
    </row>
    <row r="109" spans="1:5" x14ac:dyDescent="0.35">
      <c r="A109" s="115">
        <v>300</v>
      </c>
      <c r="B109" s="33">
        <f t="shared" si="8"/>
        <v>1.3270583444643369</v>
      </c>
      <c r="C109" s="29">
        <f t="shared" si="9"/>
        <v>55.008134709091884</v>
      </c>
      <c r="D109" s="88"/>
      <c r="E109" s="68">
        <f t="shared" si="10"/>
        <v>6.9057565307759541</v>
      </c>
    </row>
    <row r="110" spans="1:5" ht="13.15" thickBot="1" x14ac:dyDescent="0.4">
      <c r="A110" s="117">
        <v>500</v>
      </c>
      <c r="B110" s="33">
        <f t="shared" si="8"/>
        <v>1.6801221189762523</v>
      </c>
      <c r="C110" s="29">
        <f t="shared" si="9"/>
        <v>78.04256496178418</v>
      </c>
      <c r="D110" s="59"/>
      <c r="E110" s="68">
        <f t="shared" si="10"/>
        <v>8.6777230264619032</v>
      </c>
    </row>
    <row r="111" spans="1:5" ht="13.5" thickTop="1" x14ac:dyDescent="0.4">
      <c r="A111" s="133">
        <v>700</v>
      </c>
      <c r="B111" s="33">
        <f t="shared" si="8"/>
        <v>1.8617558397457079</v>
      </c>
      <c r="C111" s="29">
        <f t="shared" si="9"/>
        <v>90.016165029495482</v>
      </c>
      <c r="D111" s="59"/>
      <c r="E111" s="68">
        <f t="shared" si="10"/>
        <v>9.5208111585294031</v>
      </c>
    </row>
    <row r="112" spans="1:5" ht="13.15" x14ac:dyDescent="0.4">
      <c r="A112" s="133">
        <v>1000</v>
      </c>
      <c r="B112" s="33">
        <f t="shared" si="8"/>
        <v>1.9834399597273915</v>
      </c>
      <c r="C112" s="29">
        <f t="shared" si="9"/>
        <v>98.044492288214528</v>
      </c>
      <c r="D112" s="59"/>
      <c r="E112" s="68">
        <f t="shared" si="10"/>
        <v>10.034894046942398</v>
      </c>
    </row>
    <row r="113" spans="1:5" x14ac:dyDescent="0.35">
      <c r="A113" s="104">
        <v>1000</v>
      </c>
      <c r="B113" s="33">
        <f t="shared" si="8"/>
        <v>1.9834399597273915</v>
      </c>
      <c r="C113" s="29">
        <f t="shared" si="9"/>
        <v>98.044492288214528</v>
      </c>
      <c r="D113" s="59"/>
      <c r="E113" s="68">
        <f t="shared" si="10"/>
        <v>10.034894046942398</v>
      </c>
    </row>
    <row r="114" spans="1:5" x14ac:dyDescent="0.35">
      <c r="A114" s="104">
        <v>1800</v>
      </c>
      <c r="B114" s="33">
        <f t="shared" si="8"/>
        <v>2.049868105532894</v>
      </c>
      <c r="C114" s="29">
        <f t="shared" si="9"/>
        <v>102.42745114047212</v>
      </c>
      <c r="D114" s="59"/>
      <c r="E114" s="68">
        <f t="shared" si="10"/>
        <v>10.273162417290328</v>
      </c>
    </row>
    <row r="115" spans="1:5" x14ac:dyDescent="0.35">
      <c r="A115">
        <v>3600</v>
      </c>
      <c r="B115" s="33">
        <f t="shared" si="8"/>
        <v>2.0548988312869261</v>
      </c>
      <c r="C115" s="29">
        <f t="shared" si="9"/>
        <v>102.75938096828588</v>
      </c>
      <c r="D115" s="59"/>
      <c r="E115" s="68">
        <f t="shared" si="10"/>
        <v>10.286016472850605</v>
      </c>
    </row>
    <row r="116" spans="1:5" x14ac:dyDescent="0.35">
      <c r="A116">
        <v>5400</v>
      </c>
      <c r="B116" s="33">
        <f t="shared" si="8"/>
        <v>2.054911743708427</v>
      </c>
      <c r="C116" s="29">
        <f t="shared" si="9"/>
        <v>102.76023293638256</v>
      </c>
      <c r="D116" s="59"/>
      <c r="E116" s="68">
        <f t="shared" si="10"/>
        <v>10.286032534768511</v>
      </c>
    </row>
    <row r="117" spans="1:5" x14ac:dyDescent="0.35">
      <c r="A117">
        <v>7200</v>
      </c>
      <c r="B117" s="33">
        <f>($B$78+$B$79*EXP($B$73*A117)+$B$80*EXP($B$74*A117))*$E$17</f>
        <v>2.0549117768508873</v>
      </c>
      <c r="C117" s="29">
        <f t="shared" si="9"/>
        <v>102.76023512313886</v>
      </c>
      <c r="D117" s="59"/>
      <c r="E117" s="68">
        <f t="shared" si="10"/>
        <v>10.286032554838847</v>
      </c>
    </row>
  </sheetData>
  <phoneticPr fontId="8" type="noConversion"/>
  <pageMargins left="0.78740157499999996" right="0.78740157499999996" top="0.984251969" bottom="0.984251969" header="0.5" footer="0.5"/>
  <pageSetup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2.75" x14ac:dyDescent="0.35"/>
  <sheetData/>
  <phoneticPr fontId="8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2.75" x14ac:dyDescent="0.35"/>
  <sheetData/>
  <phoneticPr fontId="8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E&amp;R DTU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his</dc:creator>
  <cp:keywords/>
  <dc:description/>
  <cp:lastModifiedBy>Henry Lester</cp:lastModifiedBy>
  <cp:revision/>
  <dcterms:created xsi:type="dcterms:W3CDTF">2007-03-27T20:29:12Z</dcterms:created>
  <dcterms:modified xsi:type="dcterms:W3CDTF">2022-10-10T22:15:05Z</dcterms:modified>
  <cp:category/>
  <cp:contentStatus/>
</cp:coreProperties>
</file>