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Python\"/>
    </mc:Choice>
  </mc:AlternateContent>
  <xr:revisionPtr revIDLastSave="0" documentId="13_ncr:1_{A4AAD4E1-0B4A-4E8C-A75A-9C59E705C0A1}" xr6:coauthVersionLast="47" xr6:coauthVersionMax="47" xr10:uidLastSave="{00000000-0000-0000-0000-000000000000}"/>
  <bookViews>
    <workbookView xWindow="348" yWindow="372" windowWidth="17652" windowHeight="11892" tabRatio="834" activeTab="1" xr2:uid="{735DB18D-B3C1-4F50-9722-9235DA91A0BB}"/>
  </bookViews>
  <sheets>
    <sheet name="Default" sheetId="4" r:id="rId1"/>
    <sheet name="ThangDung_B" sheetId="3" r:id="rId2"/>
    <sheet name="ThangDung_N" sheetId="5" r:id="rId3"/>
    <sheet name="ThangCuon" sheetId="2" r:id="rId4"/>
    <sheet name="TinhChieuCaoH_KimThuSet" sheetId="1" r:id="rId5"/>
    <sheet name="ChongSet_R QuaCauLa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5" l="1"/>
  <c r="E5" i="5" s="1"/>
  <c r="G4" i="2"/>
  <c r="G5" i="2"/>
  <c r="G6" i="2"/>
  <c r="G7" i="2"/>
  <c r="G3" i="2"/>
  <c r="F7" i="3"/>
  <c r="F6" i="3"/>
  <c r="U5" i="2"/>
  <c r="W5" i="2" s="1"/>
  <c r="U6" i="2"/>
  <c r="W6" i="2" s="1"/>
  <c r="U7" i="2"/>
  <c r="W7" i="2" s="1"/>
  <c r="K7" i="3" l="1"/>
  <c r="L3" i="2"/>
  <c r="P7" i="5"/>
  <c r="G5" i="5" s="1"/>
  <c r="G5" i="3"/>
  <c r="G6" i="3"/>
  <c r="N5" i="3"/>
  <c r="N6" i="3"/>
  <c r="V73" i="4"/>
  <c r="T73" i="4"/>
  <c r="T74" i="4"/>
  <c r="V74" i="4"/>
  <c r="T75" i="4"/>
  <c r="V75" i="4"/>
  <c r="T76" i="4"/>
  <c r="V76" i="4"/>
  <c r="T77" i="4"/>
  <c r="V77" i="4"/>
  <c r="T78" i="4"/>
  <c r="V78" i="4"/>
  <c r="T79" i="4"/>
  <c r="V79" i="4"/>
  <c r="T80" i="4"/>
  <c r="H5" i="3"/>
  <c r="L7" i="6"/>
  <c r="Q7" i="6" s="1"/>
  <c r="I7" i="6"/>
  <c r="G7" i="6"/>
  <c r="D7" i="6"/>
  <c r="J4" i="6"/>
  <c r="B7" i="6" s="1"/>
  <c r="P13" i="3"/>
  <c r="N13" i="3"/>
  <c r="M13" i="3"/>
  <c r="L13" i="3"/>
  <c r="K13" i="3"/>
  <c r="J13" i="3"/>
  <c r="I13" i="3"/>
  <c r="H13" i="3"/>
  <c r="G13" i="3"/>
  <c r="P12" i="3"/>
  <c r="N12" i="3"/>
  <c r="M12" i="3"/>
  <c r="L12" i="3"/>
  <c r="K12" i="3"/>
  <c r="J12" i="3"/>
  <c r="I12" i="3"/>
  <c r="H12" i="3"/>
  <c r="G12" i="3"/>
  <c r="I11" i="3"/>
  <c r="P11" i="3"/>
  <c r="N11" i="3"/>
  <c r="M11" i="3"/>
  <c r="L11" i="3"/>
  <c r="K11" i="3"/>
  <c r="J11" i="3"/>
  <c r="H11" i="3"/>
  <c r="G11" i="3"/>
  <c r="P10" i="3"/>
  <c r="N10" i="3"/>
  <c r="M10" i="3"/>
  <c r="L10" i="3"/>
  <c r="K10" i="3"/>
  <c r="J10" i="3"/>
  <c r="I10" i="3"/>
  <c r="H10" i="3"/>
  <c r="G10" i="3"/>
  <c r="P9" i="3"/>
  <c r="N9" i="3"/>
  <c r="M9" i="3"/>
  <c r="L9" i="3"/>
  <c r="K9" i="3"/>
  <c r="J9" i="3"/>
  <c r="I9" i="3"/>
  <c r="H9" i="3"/>
  <c r="G9" i="3"/>
  <c r="G8" i="5"/>
  <c r="K5" i="5"/>
  <c r="C6" i="5"/>
  <c r="P6" i="5"/>
  <c r="N7" i="6" l="1"/>
  <c r="D8" i="6" s="1"/>
  <c r="Q10" i="3"/>
  <c r="Q9" i="3"/>
  <c r="O9" i="3"/>
  <c r="Q11" i="3"/>
  <c r="O11" i="3"/>
  <c r="O10" i="3"/>
  <c r="Q12" i="3"/>
  <c r="Q13" i="3"/>
  <c r="O12" i="3"/>
  <c r="O13" i="3"/>
  <c r="C7" i="5"/>
  <c r="G9" i="5" s="1"/>
  <c r="K8" i="5" s="1"/>
  <c r="G12" i="5" s="1"/>
  <c r="M7" i="2" l="1"/>
  <c r="O7" i="2"/>
  <c r="I12" i="5"/>
  <c r="M6" i="2" l="1"/>
  <c r="P7" i="2"/>
  <c r="O6" i="2"/>
  <c r="R7" i="2"/>
  <c r="U3" i="2"/>
  <c r="W3" i="2" s="1"/>
  <c r="U4" i="2"/>
  <c r="P6" i="3"/>
  <c r="J4" i="3"/>
  <c r="C21" i="4"/>
  <c r="C19" i="4"/>
  <c r="C17" i="4"/>
  <c r="C13" i="4"/>
  <c r="C11" i="4"/>
  <c r="C9" i="4"/>
  <c r="M5" i="2" l="1"/>
  <c r="P5" i="2" s="1"/>
  <c r="P6" i="2"/>
  <c r="O5" i="2"/>
  <c r="R5" i="2" s="1"/>
  <c r="R6" i="2"/>
  <c r="K5" i="3"/>
  <c r="P7" i="3"/>
  <c r="N7" i="3"/>
  <c r="M7" i="3"/>
  <c r="L7" i="3"/>
  <c r="J7" i="3"/>
  <c r="I7" i="3"/>
  <c r="H7" i="3"/>
  <c r="G7" i="3"/>
  <c r="P4" i="3"/>
  <c r="P5" i="3"/>
  <c r="M4" i="3"/>
  <c r="M5" i="3"/>
  <c r="M6" i="3"/>
  <c r="H4" i="3"/>
  <c r="H6" i="3"/>
  <c r="P8" i="3"/>
  <c r="M8" i="3"/>
  <c r="H8" i="3"/>
  <c r="G4" i="3"/>
  <c r="I4" i="3"/>
  <c r="I5" i="3"/>
  <c r="I6" i="3"/>
  <c r="I8" i="3"/>
  <c r="J8" i="3"/>
  <c r="J6" i="3"/>
  <c r="N8" i="3"/>
  <c r="L8" i="3"/>
  <c r="K8" i="3"/>
  <c r="G8" i="3"/>
  <c r="N4" i="3"/>
  <c r="L5" i="3"/>
  <c r="L6" i="3"/>
  <c r="L4" i="3"/>
  <c r="K6" i="3"/>
  <c r="K4" i="3"/>
  <c r="O6" i="3" l="1"/>
  <c r="Q6" i="3"/>
  <c r="Q7" i="3"/>
  <c r="O7" i="3"/>
  <c r="Q8" i="3"/>
  <c r="O8" i="3"/>
  <c r="O4" i="3" l="1"/>
  <c r="C5" i="4"/>
  <c r="J5" i="3" s="1"/>
  <c r="O5" i="3" s="1"/>
  <c r="C4" i="4"/>
  <c r="M4" i="2" l="1"/>
  <c r="M3" i="2" s="1"/>
  <c r="P3" i="2" s="1"/>
  <c r="O14" i="3"/>
  <c r="G11" i="5" s="1"/>
  <c r="K11" i="5" s="1"/>
  <c r="Q5" i="3"/>
  <c r="Q4" i="3"/>
  <c r="Q14" i="3" l="1"/>
  <c r="I11" i="5" s="1"/>
  <c r="M11" i="5" s="1"/>
  <c r="L4" i="2" l="1"/>
  <c r="L5" i="2" s="1"/>
  <c r="L6" i="2" s="1"/>
  <c r="L7" i="2" s="1"/>
  <c r="W4" i="2"/>
  <c r="I5" i="1"/>
  <c r="I6" i="1" s="1"/>
  <c r="O4" i="2" l="1"/>
  <c r="I7" i="1"/>
  <c r="P4" i="2"/>
  <c r="O3" i="2" l="1"/>
  <c r="R3" i="2" s="1"/>
  <c r="R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TranThanhQuy</author>
  </authors>
  <commentList>
    <comment ref="F2" authorId="0" shapeId="0" xr:uid="{FE7E19C2-63F4-4AA1-BC89-4742443E35F2}">
      <text>
        <r>
          <rPr>
            <b/>
            <sz val="9"/>
            <color indexed="81"/>
            <rFont val="Tahoma"/>
            <family val="2"/>
          </rPr>
          <t>Số người có nhu cầu sử dụng thang trong công trình</t>
        </r>
      </text>
    </comment>
    <comment ref="F3" authorId="0" shapeId="0" xr:uid="{133C6C79-DA8B-406A-BB39-B03BBFA77901}">
      <text>
        <r>
          <rPr>
            <b/>
            <sz val="9"/>
            <color indexed="81"/>
            <rFont val="Tahoma"/>
            <family val="2"/>
          </rPr>
          <t>Ssd = Sxd*K1</t>
        </r>
      </text>
    </comment>
  </commentList>
</comments>
</file>

<file path=xl/sharedStrings.xml><?xml version="1.0" encoding="utf-8"?>
<sst xmlns="http://schemas.openxmlformats.org/spreadsheetml/2006/main" count="329" uniqueCount="180">
  <si>
    <t>XÁC ĐỊNH CHIỀU CAO H CỦA KIM THU SÉT</t>
  </si>
  <si>
    <t>R</t>
  </si>
  <si>
    <r>
      <rPr>
        <sz val="14"/>
        <color theme="1"/>
        <rFont val="Symbol"/>
        <family val="1"/>
        <charset val="2"/>
      </rPr>
      <t>D</t>
    </r>
    <r>
      <rPr>
        <sz val="14"/>
        <color theme="1"/>
        <rFont val="Calibri"/>
        <family val="2"/>
        <scheme val="minor"/>
      </rPr>
      <t>L</t>
    </r>
  </si>
  <si>
    <t>=</t>
  </si>
  <si>
    <t>D</t>
  </si>
  <si>
    <t xml:space="preserve">TÍNH TOÁN:  </t>
  </si>
  <si>
    <t xml:space="preserve">ĐẦU VÀO:  </t>
  </si>
  <si>
    <t>CÔNG THỨC:</t>
  </si>
  <si>
    <r>
      <t>h</t>
    </r>
    <r>
      <rPr>
        <vertAlign val="superscript"/>
        <sz val="14"/>
        <color rgb="FF000000"/>
        <rFont val="Arial"/>
        <family val="2"/>
      </rPr>
      <t>2</t>
    </r>
    <r>
      <rPr>
        <sz val="14"/>
        <color rgb="FF000000"/>
        <rFont val="Arial"/>
        <family val="2"/>
      </rPr>
      <t xml:space="preserve"> - 2R*h + (R</t>
    </r>
    <r>
      <rPr>
        <vertAlign val="subscript"/>
        <sz val="14"/>
        <color rgb="FF000000"/>
        <rFont val="Arial"/>
        <family val="2"/>
      </rPr>
      <t>BV</t>
    </r>
    <r>
      <rPr>
        <vertAlign val="superscript"/>
        <sz val="14"/>
        <color rgb="FF000000"/>
        <rFont val="Arial"/>
        <family val="2"/>
      </rPr>
      <t>2</t>
    </r>
    <r>
      <rPr>
        <sz val="14"/>
        <color rgb="FF000000"/>
        <rFont val="Arial"/>
        <family val="2"/>
      </rPr>
      <t xml:space="preserve"> - </t>
    </r>
    <r>
      <rPr>
        <sz val="14"/>
        <color rgb="FF000000"/>
        <rFont val="Symbol"/>
        <family val="1"/>
        <charset val="2"/>
      </rPr>
      <t>D</t>
    </r>
    <r>
      <rPr>
        <sz val="14"/>
        <color rgb="FF000000"/>
        <rFont val="Arial"/>
        <family val="2"/>
      </rPr>
      <t>L</t>
    </r>
    <r>
      <rPr>
        <vertAlign val="superscript"/>
        <sz val="14"/>
        <color rgb="FF000000"/>
        <rFont val="Arial"/>
        <family val="2"/>
      </rPr>
      <t>2</t>
    </r>
    <r>
      <rPr>
        <sz val="14"/>
        <color rgb="FF000000"/>
        <rFont val="Arial"/>
        <family val="2"/>
      </rPr>
      <t xml:space="preserve"> - 2R*</t>
    </r>
    <r>
      <rPr>
        <sz val="14"/>
        <color rgb="FF000000"/>
        <rFont val="Symbol"/>
        <family val="1"/>
        <charset val="2"/>
      </rPr>
      <t>D</t>
    </r>
    <r>
      <rPr>
        <sz val="14"/>
        <color rgb="FF000000"/>
        <rFont val="Arial"/>
        <family val="2"/>
      </rPr>
      <t>L) =0</t>
    </r>
  </si>
  <si>
    <r>
      <t>R</t>
    </r>
    <r>
      <rPr>
        <vertAlign val="subscript"/>
        <sz val="14"/>
        <color theme="1"/>
        <rFont val="Calibri"/>
        <family val="2"/>
        <scheme val="minor"/>
      </rPr>
      <t>BV</t>
    </r>
    <r>
      <rPr>
        <vertAlign val="superscript"/>
        <sz val="14"/>
        <color theme="1"/>
        <rFont val="Calibri"/>
        <family val="2"/>
        <scheme val="minor"/>
      </rPr>
      <t>2</t>
    </r>
  </si>
  <si>
    <t>x1</t>
  </si>
  <si>
    <t>x2</t>
  </si>
  <si>
    <r>
      <t>R</t>
    </r>
    <r>
      <rPr>
        <vertAlign val="subscript"/>
        <sz val="14"/>
        <color rgb="FF000000"/>
        <rFont val="Cambria Math"/>
        <family val="1"/>
      </rPr>
      <t>BV</t>
    </r>
    <r>
      <rPr>
        <sz val="14"/>
        <color rgb="FF000000"/>
        <rFont val="Cambria Math"/>
        <family val="1"/>
      </rPr>
      <t xml:space="preserve"> =  </t>
    </r>
    <r>
      <rPr>
        <sz val="14"/>
        <color theme="1"/>
        <rFont val="Cambria Math"/>
        <family val="1"/>
      </rPr>
      <t>√(2h(2R-h)+DL(2R+DL))</t>
    </r>
  </si>
  <si>
    <t>Số
tầng</t>
  </si>
  <si>
    <t>Lựa chọn và xác định
thông số thang</t>
  </si>
  <si>
    <r>
      <t>K</t>
    </r>
    <r>
      <rPr>
        <vertAlign val="subscript"/>
        <sz val="13"/>
        <color theme="1"/>
        <rFont val="Times New Roman"/>
        <family val="1"/>
      </rPr>
      <t>1</t>
    </r>
  </si>
  <si>
    <r>
      <t>P</t>
    </r>
    <r>
      <rPr>
        <vertAlign val="subscript"/>
        <sz val="13"/>
        <color theme="1"/>
        <rFont val="Times New Roman"/>
        <family val="1"/>
      </rPr>
      <t>thang</t>
    </r>
    <r>
      <rPr>
        <vertAlign val="superscript"/>
        <sz val="13"/>
        <color theme="1"/>
        <rFont val="Times New Roman"/>
        <family val="1"/>
      </rPr>
      <t>(max)</t>
    </r>
  </si>
  <si>
    <t>÷</t>
  </si>
  <si>
    <t>(max)</t>
  </si>
  <si>
    <t>(min)</t>
  </si>
  <si>
    <r>
      <t>B</t>
    </r>
    <r>
      <rPr>
        <vertAlign val="subscript"/>
        <sz val="13"/>
        <color theme="1"/>
        <rFont val="Times New Roman"/>
        <family val="1"/>
      </rPr>
      <t>thang</t>
    </r>
    <r>
      <rPr>
        <vertAlign val="superscript"/>
        <sz val="13"/>
        <color theme="1"/>
        <rFont val="Times New Roman"/>
        <family val="1"/>
      </rPr>
      <t>(5P)</t>
    </r>
    <r>
      <rPr>
        <sz val="13"/>
        <color theme="1"/>
        <rFont val="Times New Roman"/>
        <family val="1"/>
      </rPr>
      <t xml:space="preserve"> </t>
    </r>
    <r>
      <rPr>
        <sz val="11"/>
        <color theme="1"/>
        <rFont val="Times New Roman"/>
        <family val="1"/>
      </rPr>
      <t>(Người)</t>
    </r>
  </si>
  <si>
    <r>
      <t>B</t>
    </r>
    <r>
      <rPr>
        <vertAlign val="subscript"/>
        <sz val="13"/>
        <color theme="1"/>
        <rFont val="Times New Roman"/>
        <family val="1"/>
      </rPr>
      <t>thang</t>
    </r>
    <r>
      <rPr>
        <vertAlign val="superscript"/>
        <sz val="13"/>
        <color theme="1"/>
        <rFont val="Times New Roman"/>
        <family val="1"/>
      </rPr>
      <t>(1h)</t>
    </r>
    <r>
      <rPr>
        <sz val="11"/>
        <color theme="1"/>
        <rFont val="Times New Roman"/>
        <family val="1"/>
      </rPr>
      <t xml:space="preserve"> (Người)</t>
    </r>
  </si>
  <si>
    <r>
      <t>B</t>
    </r>
    <r>
      <rPr>
        <vertAlign val="subscript"/>
        <sz val="13"/>
        <color theme="1"/>
        <rFont val="Times New Roman"/>
        <family val="1"/>
      </rPr>
      <t>TT</t>
    </r>
    <r>
      <rPr>
        <vertAlign val="superscript"/>
        <sz val="13"/>
        <color theme="1"/>
        <rFont val="Times New Roman"/>
        <family val="1"/>
      </rPr>
      <t>(5P)</t>
    </r>
    <r>
      <rPr>
        <vertAlign val="superscript"/>
        <sz val="11"/>
        <color theme="1"/>
        <rFont val="Times New Roman"/>
        <family val="1"/>
      </rPr>
      <t xml:space="preserve"> </t>
    </r>
    <r>
      <rPr>
        <sz val="11"/>
        <color theme="1"/>
        <rFont val="Times New Roman"/>
        <family val="1"/>
      </rPr>
      <t>(%)</t>
    </r>
  </si>
  <si>
    <r>
      <t xml:space="preserve">V </t>
    </r>
    <r>
      <rPr>
        <sz val="11"/>
        <color theme="1"/>
        <rFont val="Times New Roman"/>
        <family val="1"/>
      </rPr>
      <t>(m/s)</t>
    </r>
  </si>
  <si>
    <r>
      <t xml:space="preserve">Z1 </t>
    </r>
    <r>
      <rPr>
        <sz val="11"/>
        <color theme="1"/>
        <rFont val="Times New Roman"/>
        <family val="1"/>
      </rPr>
      <t>(m)</t>
    </r>
  </si>
  <si>
    <r>
      <t xml:space="preserve">Xác định
số thang
</t>
    </r>
    <r>
      <rPr>
        <sz val="11"/>
        <color theme="1"/>
        <rFont val="Times New Roman"/>
        <family val="1"/>
      </rPr>
      <t>(cặp)</t>
    </r>
  </si>
  <si>
    <r>
      <t xml:space="preserve">Khả năng
vận chuyển
</t>
    </r>
    <r>
      <rPr>
        <sz val="11"/>
        <color theme="1"/>
        <rFont val="Times New Roman"/>
        <family val="1"/>
      </rPr>
      <t>(max)</t>
    </r>
  </si>
  <si>
    <t>Tầng</t>
  </si>
  <si>
    <t>PHÂN KHU</t>
  </si>
  <si>
    <t>KẾT QUẢ</t>
  </si>
  <si>
    <t>TỔNG CỘNG</t>
  </si>
  <si>
    <r>
      <t>S</t>
    </r>
    <r>
      <rPr>
        <vertAlign val="subscript"/>
        <sz val="13"/>
        <color theme="1"/>
        <rFont val="Times New Roman"/>
        <family val="1"/>
      </rPr>
      <t>XD</t>
    </r>
  </si>
  <si>
    <r>
      <t>S</t>
    </r>
    <r>
      <rPr>
        <vertAlign val="subscript"/>
        <sz val="13"/>
        <color theme="1"/>
        <rFont val="Times New Roman"/>
        <family val="1"/>
      </rPr>
      <t>SD</t>
    </r>
  </si>
  <si>
    <t>STT</t>
  </si>
  <si>
    <t>Loại công trình</t>
  </si>
  <si>
    <t>Thời gian chờ thang cho phép (s)</t>
  </si>
  <si>
    <t>Nhà để xe</t>
  </si>
  <si>
    <t>Cộng dồn theo thể loại công trình</t>
  </si>
  <si>
    <t>Tính toán riêng</t>
  </si>
  <si>
    <t>-</t>
  </si>
  <si>
    <r>
      <t>B</t>
    </r>
    <r>
      <rPr>
        <b/>
        <vertAlign val="subscript"/>
        <sz val="11"/>
        <color theme="1"/>
        <rFont val="Times New Roman"/>
        <family val="1"/>
      </rPr>
      <t>TT</t>
    </r>
    <r>
      <rPr>
        <b/>
        <vertAlign val="superscript"/>
        <sz val="11"/>
        <color theme="1"/>
        <rFont val="Times New Roman"/>
        <family val="1"/>
      </rPr>
      <t>(05’ cao điểm)</t>
    </r>
    <r>
      <rPr>
        <b/>
        <sz val="11"/>
        <color theme="1"/>
        <rFont val="Times New Roman"/>
        <family val="1"/>
      </rPr>
      <t xml:space="preserve"> (%)</t>
    </r>
  </si>
  <si>
    <t>Vị trí</t>
  </si>
  <si>
    <r>
      <t>K</t>
    </r>
    <r>
      <rPr>
        <b/>
        <vertAlign val="subscript"/>
        <sz val="11"/>
        <color theme="1"/>
        <rFont val="Times New Roman"/>
        <family val="1"/>
      </rPr>
      <t>TB</t>
    </r>
  </si>
  <si>
    <t>Bảng 5.3.
HỆ SỐ THANG BỘ GIẢM TẢI THANG MÁY</t>
  </si>
  <si>
    <t>VỊ TRÍ</t>
  </si>
  <si>
    <t>CHỨC NĂNG</t>
  </si>
  <si>
    <r>
      <t>B</t>
    </r>
    <r>
      <rPr>
        <b/>
        <vertAlign val="subscript"/>
        <sz val="11"/>
        <color theme="1"/>
        <rFont val="Times New Roman"/>
        <family val="1"/>
      </rPr>
      <t>VL</t>
    </r>
    <r>
      <rPr>
        <b/>
        <sz val="11"/>
        <color theme="1"/>
        <rFont val="Times New Roman"/>
        <family val="1"/>
      </rPr>
      <t xml:space="preserve"> (%)</t>
    </r>
  </si>
  <si>
    <r>
      <t>S</t>
    </r>
    <r>
      <rPr>
        <b/>
        <vertAlign val="subscript"/>
        <sz val="11"/>
        <color theme="1"/>
        <rFont val="Times New Roman"/>
        <family val="1"/>
      </rPr>
      <t>ĐM</t>
    </r>
    <r>
      <rPr>
        <b/>
        <sz val="11"/>
        <color theme="1"/>
        <rFont val="Times New Roman"/>
        <family val="1"/>
      </rPr>
      <t xml:space="preserve"> (m</t>
    </r>
    <r>
      <rPr>
        <b/>
        <vertAlign val="superscript"/>
        <sz val="11"/>
        <color theme="1"/>
        <rFont val="Times New Roman"/>
        <family val="1"/>
      </rPr>
      <t>2</t>
    </r>
    <r>
      <rPr>
        <b/>
        <sz val="11"/>
        <color theme="1"/>
        <rFont val="Times New Roman"/>
        <family val="1"/>
      </rPr>
      <t>/người)</t>
    </r>
  </si>
  <si>
    <t>(1)</t>
  </si>
  <si>
    <t>(2)</t>
  </si>
  <si>
    <t>(3)</t>
  </si>
  <si>
    <t>(4)</t>
  </si>
  <si>
    <t>(5)</t>
  </si>
  <si>
    <t>(6)</t>
  </si>
  <si>
    <t>Bảng 5.1. THAM KHẢO ĐỊNH MỨC SỬ DỤNG DIỆN TÍCH CÔNG TRÌNH (3)
Bảng 5.2. THAM KHẢO HỆ SỐ TỶ LỆ KHÁCH VÃNG LAI (4)
Bảng 5.4. HỆ SỐ TỶ LỆ NGƯỜI TẬP TRUNG TRONG 5 PHÚT CAO ĐIỂM (5)</t>
  </si>
  <si>
    <t>Không tính</t>
  </si>
  <si>
    <t>*</t>
  </si>
  <si>
    <r>
      <t>S</t>
    </r>
    <r>
      <rPr>
        <vertAlign val="subscript"/>
        <sz val="13"/>
        <color theme="1"/>
        <rFont val="Times New Roman"/>
        <family val="1"/>
      </rPr>
      <t xml:space="preserve">ĐM </t>
    </r>
    <r>
      <rPr>
        <sz val="11"/>
        <color theme="1"/>
        <rFont val="Times New Roman"/>
        <family val="1"/>
      </rPr>
      <t>(m</t>
    </r>
    <r>
      <rPr>
        <vertAlign val="superscript"/>
        <sz val="11"/>
        <color theme="1"/>
        <rFont val="Times New Roman"/>
        <family val="1"/>
      </rPr>
      <t>2</t>
    </r>
    <r>
      <rPr>
        <sz val="11"/>
        <color theme="1"/>
        <rFont val="Times New Roman"/>
        <family val="1"/>
      </rPr>
      <t>/ng)</t>
    </r>
  </si>
  <si>
    <r>
      <t>B</t>
    </r>
    <r>
      <rPr>
        <vertAlign val="subscript"/>
        <sz val="13"/>
        <color theme="1"/>
        <rFont val="Times New Roman"/>
        <family val="1"/>
      </rPr>
      <t>SD</t>
    </r>
    <r>
      <rPr>
        <sz val="11"/>
        <color theme="1"/>
        <rFont val="Times New Roman"/>
        <family val="1"/>
      </rPr>
      <t>(người)</t>
    </r>
    <r>
      <rPr>
        <sz val="13"/>
        <color theme="1"/>
        <rFont val="Times New Roman"/>
        <family val="1"/>
      </rPr>
      <t>=S</t>
    </r>
    <r>
      <rPr>
        <vertAlign val="subscript"/>
        <sz val="13"/>
        <color theme="1"/>
        <rFont val="Times New Roman"/>
        <family val="1"/>
      </rPr>
      <t>SD</t>
    </r>
    <r>
      <rPr>
        <sz val="13"/>
        <color theme="1"/>
        <rFont val="Times New Roman"/>
        <family val="1"/>
      </rPr>
      <t>/S</t>
    </r>
    <r>
      <rPr>
        <vertAlign val="subscript"/>
        <sz val="13"/>
        <color theme="1"/>
        <rFont val="Times New Roman"/>
        <family val="1"/>
      </rPr>
      <t>ĐM</t>
    </r>
  </si>
  <si>
    <t>Phân khu</t>
  </si>
  <si>
    <t>- Lựa chọn loại thang:</t>
  </si>
  <si>
    <t>P</t>
  </si>
  <si>
    <t>CO</t>
  </si>
  <si>
    <t>T (phút)</t>
  </si>
  <si>
    <t>(2</t>
  </si>
  <si>
    <t>HO)</t>
  </si>
  <si>
    <t>+</t>
  </si>
  <si>
    <t>m</t>
  </si>
  <si>
    <t>V</t>
  </si>
  <si>
    <t>Trong đó:</t>
  </si>
  <si>
    <t>HO =</t>
  </si>
  <si>
    <r>
      <t>P</t>
    </r>
    <r>
      <rPr>
        <vertAlign val="subscript"/>
        <sz val="15"/>
        <color theme="1"/>
        <rFont val="Times New Roman"/>
        <family val="1"/>
      </rPr>
      <t>T</t>
    </r>
    <r>
      <rPr>
        <vertAlign val="superscript"/>
        <sz val="15"/>
        <color theme="1"/>
        <rFont val="Times New Roman"/>
        <family val="1"/>
      </rPr>
      <t>(1P)</t>
    </r>
    <r>
      <rPr>
        <sz val="15"/>
        <color theme="1"/>
        <rFont val="Times New Roman"/>
        <family val="1"/>
      </rPr>
      <t>(người/phút)</t>
    </r>
  </si>
  <si>
    <t>N (thang)</t>
  </si>
  <si>
    <r>
      <t>B</t>
    </r>
    <r>
      <rPr>
        <vertAlign val="superscript"/>
        <sz val="15"/>
        <color theme="1"/>
        <rFont val="Times New Roman"/>
        <family val="1"/>
      </rPr>
      <t>1p</t>
    </r>
  </si>
  <si>
    <r>
      <t>P</t>
    </r>
    <r>
      <rPr>
        <vertAlign val="superscript"/>
        <sz val="15"/>
        <color theme="1"/>
        <rFont val="Times New Roman"/>
        <family val="1"/>
      </rPr>
      <t>1p</t>
    </r>
  </si>
  <si>
    <r>
      <t>K</t>
    </r>
    <r>
      <rPr>
        <vertAlign val="subscript"/>
        <sz val="15"/>
        <color theme="1"/>
        <rFont val="Times New Roman"/>
        <family val="1"/>
      </rPr>
      <t>m</t>
    </r>
    <r>
      <rPr>
        <sz val="15"/>
        <color theme="1"/>
        <rFont val="Times New Roman"/>
        <family val="1"/>
      </rPr>
      <t>=</t>
    </r>
  </si>
  <si>
    <r>
      <t>K</t>
    </r>
    <r>
      <rPr>
        <vertAlign val="subscript"/>
        <sz val="15"/>
        <color theme="1"/>
        <rFont val="Times New Roman"/>
        <family val="1"/>
      </rPr>
      <t>m</t>
    </r>
  </si>
  <si>
    <t>¸</t>
  </si>
  <si>
    <t>TBC 3 tầng điểm dừng từ 2-4</t>
  </si>
  <si>
    <t>TBC 3 tầng hầm điểm dừng từ 2-4</t>
  </si>
  <si>
    <t>Tầng điểm đầu hành trình thang</t>
  </si>
  <si>
    <t>Tầng điểm dừng thứ 2 không có thang bộ giảm tải</t>
  </si>
  <si>
    <t>Tầng điểm dừng thứ 2 có thang bộ giảm tải</t>
  </si>
  <si>
    <t>Tầng điểm dừng thứ 3 không có thang bộ giảm tải</t>
  </si>
  <si>
    <t>Tầng điểm dừng thứ 3 có thang bộ giảm tải</t>
  </si>
  <si>
    <t>Tầng điểm dừng thứ 4 không có thang bộ giảm tải</t>
  </si>
  <si>
    <t>Tầng điểm dừng thứ 4 có thang bộ giảm tải</t>
  </si>
  <si>
    <t>Tầng điểm dừng thứ 5</t>
  </si>
  <si>
    <t>Tầng điểm dừng thứ 5 và cao hơn</t>
  </si>
  <si>
    <t>Tầng hầm điểm dừng thứ 1 không có thang bộ giảm tải</t>
  </si>
  <si>
    <t>Tầng hầm điểm dừng thứ 1 có thang bộ giảm tải</t>
  </si>
  <si>
    <t>Tầng hầm điểm dừng thứ 2 không có thang bộ giảm tải</t>
  </si>
  <si>
    <t>Tầng hầm điểm dừng thứ 2 có thang bộ giảm tải</t>
  </si>
  <si>
    <t>Tầng hầm điểm dừng thứ 3 không có thang bộ giảm tải</t>
  </si>
  <si>
    <t>Tầng hầm điểm dừng thứ 3 có thang bộ giảm tải</t>
  </si>
  <si>
    <t>Tầng hầm điểm dừng thứ 4</t>
  </si>
  <si>
    <t>Tầng hầm điểm dừng thứ 4 và thấp hơn</t>
  </si>
  <si>
    <t>Tầng hầm điểm dừng thứ 5</t>
  </si>
  <si>
    <t>Tầng hầm điểm dừng thứ 6</t>
  </si>
  <si>
    <t>Tầng điểm dừng thứ 6</t>
  </si>
  <si>
    <t>Tầng điểm dừng thứ 7</t>
  </si>
  <si>
    <t>Tầng điểm dừng thứ 8</t>
  </si>
  <si>
    <t>Tầng điểm dừng thứ 9</t>
  </si>
  <si>
    <t>Tầng điểm dừng thứ 10</t>
  </si>
  <si>
    <t>Tầng điểm dừng thứ 11</t>
  </si>
  <si>
    <t>Tầng điểm dừng thứ 12</t>
  </si>
  <si>
    <t>Tầng điểm dừng thứ 13</t>
  </si>
  <si>
    <t>Tầng điểm dừng thứ 14</t>
  </si>
  <si>
    <t>Tầng điểm dừng thứ 15</t>
  </si>
  <si>
    <t>Tầng điểm dừng thứ 16</t>
  </si>
  <si>
    <t>Tầng điểm dừng thứ 17</t>
  </si>
  <si>
    <t>Tầng điểm dừng thứ 18</t>
  </si>
  <si>
    <t>Tầng điểm dừng thứ 19</t>
  </si>
  <si>
    <t>Tầng điểm dừng thứ 20</t>
  </si>
  <si>
    <t>Tầng điểm dừng thứ 21</t>
  </si>
  <si>
    <t>Tầng điểm dừng thứ 22</t>
  </si>
  <si>
    <t>Tầng điểm dừng thứ 23</t>
  </si>
  <si>
    <t>Tầng điểm dừng thứ 24</t>
  </si>
  <si>
    <t>Tầng điểm dừng thứ 25</t>
  </si>
  <si>
    <t>Tầng điểm dừng thứ 26</t>
  </si>
  <si>
    <t>Tầng điểm dừng thứ 27</t>
  </si>
  <si>
    <t>Tầng điểm dừng thứ 28</t>
  </si>
  <si>
    <t>Tầng điểm dừng thứ 29</t>
  </si>
  <si>
    <t>Tầng điểm dừng thứ 30</t>
  </si>
  <si>
    <t>Tầng điểm dừng thứ 31</t>
  </si>
  <si>
    <t>Tầng điểm dừng thứ 32</t>
  </si>
  <si>
    <t>Tầng điểm dừng thứ 33</t>
  </si>
  <si>
    <t>Tầng điểm dừng thứ 34</t>
  </si>
  <si>
    <t>Tầng điểm dừng thứ 35</t>
  </si>
  <si>
    <t>Tầng điểm dừng thứ 36</t>
  </si>
  <si>
    <r>
      <t>- Bán kính quả cầu lăn R</t>
    </r>
    <r>
      <rPr>
        <vertAlign val="subscript"/>
        <sz val="15"/>
        <color theme="1"/>
        <rFont val="Times New Roman"/>
        <family val="1"/>
      </rPr>
      <t>1</t>
    </r>
    <r>
      <rPr>
        <sz val="15"/>
        <color theme="1"/>
        <rFont val="Times New Roman"/>
        <family val="1"/>
      </rPr>
      <t xml:space="preserve"> tính toán cho khối tháp có:</t>
    </r>
  </si>
  <si>
    <r>
      <t>(R</t>
    </r>
    <r>
      <rPr>
        <vertAlign val="superscript"/>
        <sz val="15"/>
        <color theme="1"/>
        <rFont val="Times New Roman"/>
        <family val="1"/>
      </rPr>
      <t>1</t>
    </r>
    <r>
      <rPr>
        <vertAlign val="subscript"/>
        <sz val="15"/>
        <color theme="1"/>
        <rFont val="Times New Roman"/>
        <family val="1"/>
      </rPr>
      <t>BV</t>
    </r>
    <r>
      <rPr>
        <sz val="15"/>
        <color theme="1"/>
        <rFont val="Times New Roman"/>
        <family val="1"/>
      </rPr>
      <t>)</t>
    </r>
    <r>
      <rPr>
        <vertAlign val="superscript"/>
        <sz val="15"/>
        <color theme="1"/>
        <rFont val="Times New Roman"/>
        <family val="1"/>
      </rPr>
      <t>2</t>
    </r>
  </si>
  <si>
    <r>
      <t>h</t>
    </r>
    <r>
      <rPr>
        <vertAlign val="subscript"/>
        <sz val="15"/>
        <color theme="1"/>
        <rFont val="Times New Roman"/>
        <family val="1"/>
      </rPr>
      <t>1</t>
    </r>
  </si>
  <si>
    <t>m;</t>
  </si>
  <si>
    <t>∆L =</t>
  </si>
  <si>
    <r>
      <rPr>
        <sz val="15"/>
        <color theme="1"/>
        <rFont val="Symbol"/>
        <family val="1"/>
        <charset val="2"/>
      </rPr>
      <t>Þ</t>
    </r>
  </si>
  <si>
    <r>
      <t>h</t>
    </r>
    <r>
      <rPr>
        <vertAlign val="subscript"/>
        <sz val="15"/>
        <color theme="1"/>
        <rFont val="Times New Roman"/>
        <family val="1"/>
      </rPr>
      <t>1</t>
    </r>
    <r>
      <rPr>
        <sz val="15"/>
        <color theme="1"/>
        <rFont val="Times New Roman"/>
        <family val="1"/>
      </rPr>
      <t>(2R</t>
    </r>
    <r>
      <rPr>
        <vertAlign val="subscript"/>
        <sz val="15"/>
        <color theme="1"/>
        <rFont val="Times New Roman"/>
        <family val="1"/>
      </rPr>
      <t xml:space="preserve">1 </t>
    </r>
    <r>
      <rPr>
        <sz val="15"/>
        <color theme="1"/>
        <rFont val="Times New Roman"/>
        <family val="1"/>
      </rPr>
      <t>- h</t>
    </r>
    <r>
      <rPr>
        <vertAlign val="subscript"/>
        <sz val="15"/>
        <color theme="1"/>
        <rFont val="Times New Roman"/>
        <family val="1"/>
      </rPr>
      <t>1</t>
    </r>
    <r>
      <rPr>
        <sz val="15"/>
        <color theme="1"/>
        <rFont val="Times New Roman"/>
        <family val="1"/>
      </rPr>
      <t>) + ∆L(2R</t>
    </r>
    <r>
      <rPr>
        <vertAlign val="subscript"/>
        <sz val="15"/>
        <color theme="1"/>
        <rFont val="Times New Roman"/>
        <family val="1"/>
      </rPr>
      <t xml:space="preserve">1 </t>
    </r>
    <r>
      <rPr>
        <sz val="15"/>
        <color theme="1"/>
        <rFont val="Times New Roman"/>
        <family val="1"/>
      </rPr>
      <t>+ ∆L)</t>
    </r>
  </si>
  <si>
    <r>
      <t>R</t>
    </r>
    <r>
      <rPr>
        <vertAlign val="subscript"/>
        <sz val="15"/>
        <color theme="1"/>
        <rFont val="Times New Roman"/>
        <family val="1"/>
      </rPr>
      <t>1</t>
    </r>
  </si>
  <si>
    <t>Nhà ở xã hội</t>
  </si>
  <si>
    <t>m2</t>
  </si>
  <si>
    <t>tính 1 người</t>
  </si>
  <si>
    <t>tính 2 người</t>
  </si>
  <si>
    <t>1 phòng ở</t>
  </si>
  <si>
    <t>tính 3 người</t>
  </si>
  <si>
    <t>tính 4 người</t>
  </si>
  <si>
    <t>Chung cư</t>
  </si>
  <si>
    <t>&gt;125</t>
  </si>
  <si>
    <t>tính 5 người</t>
  </si>
  <si>
    <t>Định mức</t>
  </si>
  <si>
    <t>Chung cư. 
Mức độ trung bình</t>
  </si>
  <si>
    <t>Chung cư. 
Mức độ khá</t>
  </si>
  <si>
    <t>Chung cư. 
Mức độ cao cấp</t>
  </si>
  <si>
    <t>Khách sạn. 
Mức độ trung bình</t>
  </si>
  <si>
    <t>Khách sạn. 
Mức độ khá</t>
  </si>
  <si>
    <t>Khách sạn. 
Mức độ cao cấp</t>
  </si>
  <si>
    <t>Văn phòng (thuê riêng). 
Mức độ trung bình</t>
  </si>
  <si>
    <t>Văn phòng (thuê riêng). 
Mức độ khá</t>
  </si>
  <si>
    <t>Văn phòng (thuê riêng). 
Mức độ cao cấp</t>
  </si>
  <si>
    <t>Văn phòng (thuê chung). 
Mức độ trung bình</t>
  </si>
  <si>
    <t>Văn phòng (thuê chung). 
Mức độ khá</t>
  </si>
  <si>
    <t>Văn phòng (thuê chung). 
Mức độ cao cấp</t>
  </si>
  <si>
    <t>Nhà ở xã hội. 
Mức độ trung bình</t>
  </si>
  <si>
    <t>Nhà ở xã hội. 
Mức độ khá</t>
  </si>
  <si>
    <t>Trung tâm thương mại</t>
  </si>
  <si>
    <t>Khu vui chơi giải trí</t>
  </si>
  <si>
    <r>
      <t>S</t>
    </r>
    <r>
      <rPr>
        <b/>
        <vertAlign val="subscript"/>
        <sz val="15"/>
        <color theme="1"/>
        <rFont val="Times New Roman"/>
        <family val="1"/>
      </rPr>
      <t>XD</t>
    </r>
  </si>
  <si>
    <r>
      <t>K</t>
    </r>
    <r>
      <rPr>
        <b/>
        <vertAlign val="subscript"/>
        <sz val="15"/>
        <color theme="1"/>
        <rFont val="Times New Roman"/>
        <family val="1"/>
      </rPr>
      <t>1</t>
    </r>
  </si>
  <si>
    <r>
      <t>B</t>
    </r>
    <r>
      <rPr>
        <b/>
        <vertAlign val="subscript"/>
        <sz val="15"/>
        <color theme="1"/>
        <rFont val="Times New Roman"/>
        <family val="1"/>
      </rPr>
      <t>SD</t>
    </r>
    <r>
      <rPr>
        <b/>
        <sz val="15"/>
        <color theme="1"/>
        <rFont val="Times New Roman"/>
        <family val="1"/>
      </rPr>
      <t>=S</t>
    </r>
    <r>
      <rPr>
        <b/>
        <vertAlign val="subscript"/>
        <sz val="15"/>
        <color theme="1"/>
        <rFont val="Times New Roman"/>
        <family val="1"/>
      </rPr>
      <t>SD</t>
    </r>
    <r>
      <rPr>
        <b/>
        <sz val="15"/>
        <color theme="1"/>
        <rFont val="Times New Roman"/>
        <family val="1"/>
      </rPr>
      <t>/S</t>
    </r>
    <r>
      <rPr>
        <b/>
        <vertAlign val="subscript"/>
        <sz val="15"/>
        <color theme="1"/>
        <rFont val="Times New Roman"/>
        <family val="1"/>
      </rPr>
      <t>ĐM</t>
    </r>
  </si>
  <si>
    <r>
      <t>K</t>
    </r>
    <r>
      <rPr>
        <b/>
        <vertAlign val="subscript"/>
        <sz val="15"/>
        <color theme="1"/>
        <rFont val="Times New Roman"/>
        <family val="1"/>
      </rPr>
      <t>TB</t>
    </r>
  </si>
  <si>
    <r>
      <t>B</t>
    </r>
    <r>
      <rPr>
        <b/>
        <vertAlign val="subscript"/>
        <sz val="15"/>
        <color theme="1"/>
        <rFont val="Times New Roman"/>
        <family val="1"/>
      </rPr>
      <t xml:space="preserve">VL
</t>
    </r>
    <r>
      <rPr>
        <b/>
        <sz val="15"/>
        <color theme="1"/>
        <rFont val="Times New Roman"/>
        <family val="1"/>
      </rPr>
      <t>(%)</t>
    </r>
  </si>
  <si>
    <r>
      <t>B</t>
    </r>
    <r>
      <rPr>
        <b/>
        <vertAlign val="subscript"/>
        <sz val="15"/>
        <color theme="1"/>
        <rFont val="Times New Roman"/>
        <family val="1"/>
      </rPr>
      <t>TT</t>
    </r>
    <r>
      <rPr>
        <b/>
        <vertAlign val="superscript"/>
        <sz val="15"/>
        <color theme="1"/>
        <rFont val="Times New Roman"/>
        <family val="1"/>
      </rPr>
      <t>05'</t>
    </r>
    <r>
      <rPr>
        <b/>
        <sz val="15"/>
        <color theme="1"/>
        <rFont val="Times New Roman"/>
        <family val="1"/>
      </rPr>
      <t xml:space="preserve">
(%)</t>
    </r>
  </si>
  <si>
    <r>
      <t>S</t>
    </r>
    <r>
      <rPr>
        <b/>
        <vertAlign val="subscript"/>
        <sz val="15"/>
        <color theme="1"/>
        <rFont val="Times New Roman"/>
        <family val="1"/>
      </rPr>
      <t>SD</t>
    </r>
  </si>
  <si>
    <r>
      <t>S</t>
    </r>
    <r>
      <rPr>
        <b/>
        <vertAlign val="subscript"/>
        <sz val="15"/>
        <color theme="1"/>
        <rFont val="Times New Roman"/>
        <family val="1"/>
      </rPr>
      <t>ĐM</t>
    </r>
  </si>
  <si>
    <t>Tầng hầm 1 - Nhà xe</t>
  </si>
  <si>
    <t>Tầng thương mại</t>
  </si>
  <si>
    <t>Tầng 1,2,3,4, TT thương mại</t>
  </si>
  <si>
    <r>
      <t>Tầng 5-8, Văn phòng
S</t>
    </r>
    <r>
      <rPr>
        <i/>
        <vertAlign val="subscript"/>
        <sz val="15"/>
        <color theme="1"/>
        <rFont val="Times New Roman"/>
        <family val="1"/>
      </rPr>
      <t>SD</t>
    </r>
    <r>
      <rPr>
        <i/>
        <sz val="15"/>
        <color theme="1"/>
        <rFont val="Times New Roman"/>
        <family val="1"/>
      </rPr>
      <t xml:space="preserve"> = 570*4</t>
    </r>
  </si>
  <si>
    <r>
      <t>Tầng 9-24, Văn phòng
S</t>
    </r>
    <r>
      <rPr>
        <i/>
        <vertAlign val="subscript"/>
        <sz val="15"/>
        <color theme="1"/>
        <rFont val="Times New Roman"/>
        <family val="1"/>
      </rPr>
      <t>SD</t>
    </r>
    <r>
      <rPr>
        <i/>
        <sz val="15"/>
        <color theme="1"/>
        <rFont val="Times New Roman"/>
        <family val="1"/>
      </rPr>
      <t xml:space="preserve"> = 570*16</t>
    </r>
  </si>
  <si>
    <t>m  =</t>
  </si>
  <si>
    <t>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</si>
</sst>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42">
    <font>
      <sz val="11"/>
      <color theme="1"/>
      <name val="Calibri"/>
      <family val="2"/>
      <scheme val="minor"/>
    </font>
    <font>
      <sz val="14"/>
      <color rgb="FF000000"/>
      <name val="Arial"/>
      <family val="2"/>
    </font>
    <font>
      <vertAlign val="subscript"/>
      <sz val="14"/>
      <color rgb="FF000000"/>
      <name val="Arial"/>
      <family val="2"/>
    </font>
    <font>
      <sz val="14"/>
      <color theme="1"/>
      <name val="Cambria Math"/>
      <family val="1"/>
    </font>
    <font>
      <sz val="14"/>
      <color theme="1"/>
      <name val="Symbol"/>
      <family val="1"/>
      <charset val="2"/>
    </font>
    <font>
      <sz val="14"/>
      <color theme="1"/>
      <name val="Calibri"/>
      <family val="2"/>
      <scheme val="minor"/>
    </font>
    <font>
      <vertAlign val="subscript"/>
      <sz val="14"/>
      <color theme="1"/>
      <name val="Calibri"/>
      <family val="2"/>
      <scheme val="minor"/>
    </font>
    <font>
      <sz val="14"/>
      <color theme="1"/>
      <name val="Calibri"/>
      <family val="1"/>
      <charset val="2"/>
      <scheme val="minor"/>
    </font>
    <font>
      <vertAlign val="superscript"/>
      <sz val="14"/>
      <color rgb="FF000000"/>
      <name val="Arial"/>
      <family val="2"/>
    </font>
    <font>
      <sz val="14"/>
      <color rgb="FF000000"/>
      <name val="Symbol"/>
      <family val="1"/>
      <charset val="2"/>
    </font>
    <font>
      <vertAlign val="superscript"/>
      <sz val="14"/>
      <color theme="1"/>
      <name val="Calibri"/>
      <family val="2"/>
      <scheme val="minor"/>
    </font>
    <font>
      <sz val="14"/>
      <color rgb="FF000000"/>
      <name val="Cambria Math"/>
      <family val="1"/>
    </font>
    <font>
      <vertAlign val="subscript"/>
      <sz val="14"/>
      <color rgb="FF000000"/>
      <name val="Cambria Math"/>
      <family val="1"/>
    </font>
    <font>
      <sz val="11"/>
      <color theme="1"/>
      <name val="Calibri"/>
      <family val="2"/>
      <scheme val="minor"/>
    </font>
    <font>
      <sz val="11"/>
      <color theme="1"/>
      <name val="Times New Roman"/>
      <family val="1"/>
    </font>
    <font>
      <vertAlign val="superscript"/>
      <sz val="11"/>
      <color theme="1"/>
      <name val="Times New Roman"/>
      <family val="1"/>
    </font>
    <font>
      <sz val="13"/>
      <color theme="1"/>
      <name val="Times New Roman"/>
      <family val="1"/>
    </font>
    <font>
      <vertAlign val="subscript"/>
      <sz val="13"/>
      <color theme="1"/>
      <name val="Times New Roman"/>
      <family val="1"/>
    </font>
    <font>
      <vertAlign val="superscript"/>
      <sz val="13"/>
      <color theme="1"/>
      <name val="Times New Roman"/>
      <family val="1"/>
    </font>
    <font>
      <b/>
      <sz val="13"/>
      <color theme="1"/>
      <name val="Times New Roman"/>
      <family val="1"/>
    </font>
    <font>
      <b/>
      <sz val="11"/>
      <color theme="1"/>
      <name val="Times New Roman"/>
      <family val="1"/>
    </font>
    <font>
      <b/>
      <sz val="9"/>
      <color indexed="81"/>
      <name val="Tahoma"/>
      <family val="2"/>
    </font>
    <font>
      <b/>
      <vertAlign val="subscript"/>
      <sz val="11"/>
      <color theme="1"/>
      <name val="Times New Roman"/>
      <family val="1"/>
    </font>
    <font>
      <b/>
      <vertAlign val="superscript"/>
      <sz val="11"/>
      <color theme="1"/>
      <name val="Times New Roman"/>
      <family val="1"/>
    </font>
    <font>
      <sz val="8"/>
      <name val="Calibri"/>
      <family val="2"/>
      <scheme val="minor"/>
    </font>
    <font>
      <sz val="15"/>
      <color theme="1"/>
      <name val="Times New Roman"/>
      <family val="1"/>
    </font>
    <font>
      <vertAlign val="subscript"/>
      <sz val="15"/>
      <color theme="1"/>
      <name val="Times New Roman"/>
      <family val="1"/>
    </font>
    <font>
      <vertAlign val="superscript"/>
      <sz val="15"/>
      <color theme="1"/>
      <name val="Times New Roman"/>
      <family val="1"/>
    </font>
    <font>
      <sz val="15"/>
      <color theme="1"/>
      <name val="Symbol"/>
      <family val="1"/>
      <charset val="2"/>
    </font>
    <font>
      <b/>
      <sz val="15"/>
      <color theme="1"/>
      <name val="Times New Roman"/>
      <family val="1"/>
    </font>
    <font>
      <sz val="13"/>
      <color theme="1"/>
      <name val="Calibri"/>
      <family val="2"/>
      <scheme val="minor"/>
    </font>
    <font>
      <sz val="15"/>
      <color theme="1"/>
      <name val="Times New Roman"/>
      <family val="1"/>
      <charset val="2"/>
    </font>
    <font>
      <b/>
      <vertAlign val="subscript"/>
      <sz val="15"/>
      <color theme="1"/>
      <name val="Times New Roman"/>
      <family val="1"/>
    </font>
    <font>
      <b/>
      <vertAlign val="superscript"/>
      <sz val="15"/>
      <color theme="1"/>
      <name val="Times New Roman"/>
      <family val="1"/>
    </font>
    <font>
      <i/>
      <sz val="15"/>
      <color theme="1"/>
      <name val="Times New Roman"/>
      <family val="1"/>
    </font>
    <font>
      <sz val="15"/>
      <name val="Times New Roman"/>
      <family val="1"/>
    </font>
    <font>
      <b/>
      <sz val="15"/>
      <name val="Times New Roman"/>
      <family val="1"/>
    </font>
    <font>
      <i/>
      <vertAlign val="subscript"/>
      <sz val="15"/>
      <color theme="1"/>
      <name val="Times New Roman"/>
      <family val="1"/>
    </font>
    <font>
      <sz val="13"/>
      <name val="Calibri"/>
      <family val="2"/>
      <scheme val="minor"/>
    </font>
    <font>
      <sz val="11"/>
      <name val="Calibri"/>
      <family val="2"/>
      <scheme val="minor"/>
    </font>
    <font>
      <sz val="15"/>
      <color theme="1"/>
      <name val="Calibri"/>
      <family val="2"/>
      <scheme val="minor"/>
    </font>
    <font>
      <b/>
      <sz val="15"/>
      <color theme="1"/>
      <name val="Symbol"/>
      <family val="1"/>
      <charset val="2"/>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37">
    <border>
      <left/>
      <right/>
      <top/>
      <bottom/>
      <diagonal/>
    </border>
    <border>
      <left style="double">
        <color auto="1"/>
      </left>
      <right/>
      <top style="double">
        <color auto="1"/>
      </top>
      <bottom style="thin">
        <color auto="1"/>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thin">
        <color auto="1"/>
      </left>
      <right style="thin">
        <color auto="1"/>
      </right>
      <top style="double">
        <color auto="1"/>
      </top>
      <bottom style="thin">
        <color auto="1"/>
      </bottom>
      <diagonal/>
    </border>
    <border>
      <left style="double">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double">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double">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right/>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thin">
        <color auto="1"/>
      </top>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s>
  <cellStyleXfs count="2">
    <xf numFmtId="0" fontId="0" fillId="0" borderId="0"/>
    <xf numFmtId="43" fontId="13" fillId="0" borderId="0" applyFont="0" applyFill="0" applyBorder="0" applyAlignment="0" applyProtection="0"/>
  </cellStyleXfs>
  <cellXfs count="245">
    <xf numFmtId="0" fontId="0" fillId="0" borderId="0" xfId="0"/>
    <xf numFmtId="0" fontId="5" fillId="0" borderId="0" xfId="0" applyFont="1"/>
    <xf numFmtId="0" fontId="7" fillId="0" borderId="0" xfId="0" applyFont="1"/>
    <xf numFmtId="0" fontId="5" fillId="0" borderId="0" xfId="0" quotePrefix="1" applyFont="1"/>
    <xf numFmtId="0" fontId="4" fillId="0" borderId="0" xfId="0" applyFont="1"/>
    <xf numFmtId="2" fontId="5" fillId="0" borderId="0" xfId="0" applyNumberFormat="1" applyFont="1"/>
    <xf numFmtId="0" fontId="16" fillId="3" borderId="7" xfId="0" applyFont="1" applyFill="1" applyBorder="1" applyAlignment="1">
      <alignment horizontal="center" vertical="center" wrapText="1"/>
    </xf>
    <xf numFmtId="0" fontId="16" fillId="2" borderId="7" xfId="0" applyFont="1" applyFill="1" applyBorder="1" applyAlignment="1">
      <alignment horizontal="center" vertical="center" wrapText="1"/>
    </xf>
    <xf numFmtId="164" fontId="16" fillId="3" borderId="10" xfId="1" applyNumberFormat="1" applyFont="1" applyFill="1" applyBorder="1" applyAlignment="1">
      <alignment horizontal="center" vertical="center"/>
    </xf>
    <xf numFmtId="0" fontId="16" fillId="3" borderId="7" xfId="0" applyFont="1" applyFill="1" applyBorder="1" applyAlignment="1">
      <alignment horizontal="center"/>
    </xf>
    <xf numFmtId="0" fontId="16" fillId="3" borderId="8" xfId="0" applyFont="1" applyFill="1" applyBorder="1" applyAlignment="1">
      <alignment horizontal="center"/>
    </xf>
    <xf numFmtId="164" fontId="16" fillId="0" borderId="8" xfId="1" applyNumberFormat="1" applyFont="1" applyBorder="1" applyAlignment="1">
      <alignment horizontal="right"/>
    </xf>
    <xf numFmtId="2" fontId="16" fillId="2" borderId="7" xfId="0" applyNumberFormat="1" applyFont="1" applyFill="1" applyBorder="1" applyAlignment="1">
      <alignment horizontal="center" vertical="center"/>
    </xf>
    <xf numFmtId="165" fontId="16" fillId="2" borderId="7" xfId="0" applyNumberFormat="1" applyFont="1" applyFill="1" applyBorder="1" applyAlignment="1">
      <alignment horizontal="center" vertical="center"/>
    </xf>
    <xf numFmtId="43" fontId="16" fillId="2" borderId="7" xfId="1" applyFont="1" applyFill="1" applyBorder="1" applyAlignment="1">
      <alignment horizontal="right"/>
    </xf>
    <xf numFmtId="0" fontId="16" fillId="4" borderId="7" xfId="0" applyFont="1" applyFill="1" applyBorder="1" applyAlignment="1">
      <alignment horizontal="center"/>
    </xf>
    <xf numFmtId="164" fontId="16" fillId="4" borderId="11" xfId="1" applyNumberFormat="1" applyFont="1" applyFill="1" applyBorder="1"/>
    <xf numFmtId="0" fontId="16" fillId="3" borderId="8" xfId="0" applyFont="1" applyFill="1" applyBorder="1" applyAlignment="1">
      <alignment horizontal="center" vertical="center" wrapText="1"/>
    </xf>
    <xf numFmtId="0" fontId="16" fillId="3" borderId="8" xfId="0" quotePrefix="1" applyFont="1" applyFill="1" applyBorder="1" applyAlignment="1">
      <alignment vertical="center" wrapText="1"/>
    </xf>
    <xf numFmtId="0" fontId="16" fillId="3" borderId="8" xfId="0" quotePrefix="1" applyFont="1" applyFill="1" applyBorder="1" applyAlignment="1">
      <alignment horizontal="center" vertical="center" wrapText="1"/>
    </xf>
    <xf numFmtId="0" fontId="19" fillId="4" borderId="7" xfId="0" applyFont="1" applyFill="1" applyBorder="1" applyAlignment="1">
      <alignment horizontal="center" vertical="center"/>
    </xf>
    <xf numFmtId="0" fontId="19" fillId="4" borderId="8" xfId="0" applyFont="1" applyFill="1" applyBorder="1" applyAlignment="1">
      <alignment horizontal="center" vertical="center"/>
    </xf>
    <xf numFmtId="164" fontId="16" fillId="0" borderId="9" xfId="1" applyNumberFormat="1" applyFont="1" applyBorder="1" applyAlignment="1">
      <alignment horizontal="right"/>
    </xf>
    <xf numFmtId="164" fontId="16" fillId="0" borderId="10" xfId="1" applyNumberFormat="1" applyFont="1" applyBorder="1" applyAlignment="1">
      <alignment horizontal="right"/>
    </xf>
    <xf numFmtId="0" fontId="16" fillId="3" borderId="10" xfId="0" applyFont="1" applyFill="1" applyBorder="1" applyAlignment="1">
      <alignment horizontal="center" vertical="center" wrapText="1"/>
    </xf>
    <xf numFmtId="0" fontId="14" fillId="0" borderId="0" xfId="0" applyFont="1"/>
    <xf numFmtId="0" fontId="16" fillId="0" borderId="0" xfId="0" applyFont="1"/>
    <xf numFmtId="0" fontId="16" fillId="0" borderId="22" xfId="0" applyFont="1" applyBorder="1"/>
    <xf numFmtId="16" fontId="14" fillId="0" borderId="0" xfId="0" quotePrefix="1" applyNumberFormat="1" applyFont="1" applyAlignment="1">
      <alignment horizontal="center" vertical="center"/>
    </xf>
    <xf numFmtId="0" fontId="14" fillId="0" borderId="0" xfId="0" quotePrefix="1" applyFont="1" applyAlignment="1">
      <alignment horizontal="center" vertical="center"/>
    </xf>
    <xf numFmtId="0" fontId="14" fillId="0" borderId="23" xfId="0" applyFont="1" applyBorder="1" applyAlignment="1">
      <alignment horizontal="center" vertical="center" wrapText="1"/>
    </xf>
    <xf numFmtId="0" fontId="14" fillId="0" borderId="7" xfId="0" applyFont="1" applyBorder="1" applyAlignment="1">
      <alignment horizontal="justify" vertical="center" wrapText="1"/>
    </xf>
    <xf numFmtId="0" fontId="14" fillId="0" borderId="24" xfId="0" applyFont="1" applyBorder="1" applyAlignment="1">
      <alignment horizontal="center" vertical="center" wrapText="1"/>
    </xf>
    <xf numFmtId="0" fontId="14" fillId="0" borderId="13" xfId="0" applyFont="1" applyBorder="1" applyAlignment="1">
      <alignment horizontal="justify" vertical="center" wrapText="1"/>
    </xf>
    <xf numFmtId="0" fontId="14" fillId="0" borderId="0" xfId="0" applyFont="1" applyAlignment="1">
      <alignment horizontal="center" vertical="center"/>
    </xf>
    <xf numFmtId="0" fontId="14" fillId="0" borderId="25"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11"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7" xfId="0" applyFont="1" applyBorder="1" applyAlignment="1">
      <alignment vertical="center"/>
    </xf>
    <xf numFmtId="0" fontId="14" fillId="0" borderId="13" xfId="0" applyFont="1" applyBorder="1" applyAlignment="1">
      <alignment vertical="center"/>
    </xf>
    <xf numFmtId="0" fontId="14" fillId="0" borderId="8" xfId="0" quotePrefix="1" applyFont="1" applyBorder="1" applyAlignment="1">
      <alignment horizontal="center" vertical="center" wrapText="1"/>
    </xf>
    <xf numFmtId="0" fontId="14" fillId="0" borderId="20" xfId="0" applyFont="1" applyBorder="1" applyAlignment="1">
      <alignment horizontal="center" vertical="center" wrapText="1"/>
    </xf>
    <xf numFmtId="0" fontId="20" fillId="0" borderId="23" xfId="0" quotePrefix="1" applyFont="1" applyBorder="1" applyAlignment="1">
      <alignment horizontal="center" vertical="center" wrapText="1"/>
    </xf>
    <xf numFmtId="0" fontId="20" fillId="0" borderId="7" xfId="0" quotePrefix="1" applyFont="1" applyBorder="1" applyAlignment="1">
      <alignment horizontal="center" vertical="center" wrapText="1"/>
    </xf>
    <xf numFmtId="0" fontId="14" fillId="0" borderId="7" xfId="0" quotePrefix="1" applyFont="1" applyBorder="1" applyAlignment="1">
      <alignment horizontal="left" vertical="center" wrapText="1"/>
    </xf>
    <xf numFmtId="0" fontId="14" fillId="0" borderId="11" xfId="0" quotePrefix="1" applyFont="1" applyBorder="1" applyAlignment="1">
      <alignment horizontal="center" vertical="center"/>
    </xf>
    <xf numFmtId="0" fontId="14" fillId="0" borderId="17" xfId="0" quotePrefix="1"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2" fontId="14" fillId="0" borderId="11" xfId="0" quotePrefix="1" applyNumberFormat="1" applyFont="1" applyBorder="1" applyAlignment="1">
      <alignment horizontal="center" vertical="center"/>
    </xf>
    <xf numFmtId="0" fontId="14" fillId="0" borderId="27" xfId="0" applyFont="1" applyBorder="1" applyAlignment="1">
      <alignment horizontal="justify" vertical="center" wrapText="1"/>
    </xf>
    <xf numFmtId="0" fontId="14" fillId="0" borderId="23" xfId="0" quotePrefix="1" applyFont="1" applyBorder="1" applyAlignment="1">
      <alignment horizontal="center" vertical="center" wrapText="1"/>
    </xf>
    <xf numFmtId="0" fontId="14" fillId="0" borderId="15" xfId="0" applyFont="1" applyBorder="1" applyAlignment="1">
      <alignment horizontal="center" vertical="center" wrapText="1"/>
    </xf>
    <xf numFmtId="0" fontId="14" fillId="0" borderId="12" xfId="0" quotePrefix="1" applyFont="1" applyBorder="1" applyAlignment="1">
      <alignment horizontal="center" vertical="center" wrapText="1"/>
    </xf>
    <xf numFmtId="0" fontId="14" fillId="0" borderId="16"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20" xfId="0" applyFont="1" applyBorder="1" applyAlignment="1">
      <alignment horizontal="center" vertical="center"/>
    </xf>
    <xf numFmtId="0" fontId="16" fillId="0" borderId="0" xfId="0" applyFont="1" applyAlignment="1">
      <alignment vertical="center"/>
    </xf>
    <xf numFmtId="0" fontId="14" fillId="0" borderId="30" xfId="0" applyFont="1" applyBorder="1" applyAlignment="1">
      <alignment horizontal="center" vertical="center"/>
    </xf>
    <xf numFmtId="0" fontId="14" fillId="0" borderId="28" xfId="0" applyFont="1" applyBorder="1" applyAlignment="1">
      <alignment horizontal="justify" vertical="center"/>
    </xf>
    <xf numFmtId="0" fontId="14" fillId="0" borderId="29" xfId="0" applyFont="1" applyBorder="1" applyAlignment="1">
      <alignment horizontal="justify" vertical="center"/>
    </xf>
    <xf numFmtId="0" fontId="14" fillId="0" borderId="31" xfId="0" applyFont="1" applyBorder="1" applyAlignment="1">
      <alignment horizontal="justify" vertical="center"/>
    </xf>
    <xf numFmtId="0" fontId="14" fillId="0" borderId="28" xfId="0" applyFont="1" applyBorder="1" applyAlignment="1">
      <alignment horizontal="left" vertical="center"/>
    </xf>
    <xf numFmtId="0" fontId="14" fillId="0" borderId="29" xfId="0" applyFont="1" applyBorder="1" applyAlignment="1">
      <alignment horizontal="left" vertical="center"/>
    </xf>
    <xf numFmtId="0" fontId="14" fillId="0" borderId="31" xfId="0" applyFont="1" applyBorder="1" applyAlignment="1">
      <alignment horizontal="left" vertical="center"/>
    </xf>
    <xf numFmtId="0" fontId="14" fillId="0" borderId="28" xfId="0" applyFont="1" applyBorder="1" applyAlignment="1">
      <alignment horizontal="center" vertical="center"/>
    </xf>
    <xf numFmtId="0" fontId="14" fillId="0" borderId="29" xfId="0" quotePrefix="1" applyFont="1" applyBorder="1" applyAlignment="1">
      <alignment horizontal="center" vertical="center"/>
    </xf>
    <xf numFmtId="1" fontId="14" fillId="0" borderId="11" xfId="0" quotePrefix="1" applyNumberFormat="1" applyFont="1" applyBorder="1" applyAlignment="1">
      <alignment horizontal="center" vertical="center"/>
    </xf>
    <xf numFmtId="0" fontId="25" fillId="0" borderId="0" xfId="0" applyFont="1"/>
    <xf numFmtId="0" fontId="25" fillId="4" borderId="28" xfId="0" applyFont="1" applyFill="1" applyBorder="1" applyAlignment="1">
      <alignment vertical="center"/>
    </xf>
    <xf numFmtId="0" fontId="25" fillId="4" borderId="35" xfId="0" applyFont="1" applyFill="1" applyBorder="1" applyAlignment="1">
      <alignment vertical="center"/>
    </xf>
    <xf numFmtId="0" fontId="25" fillId="4" borderId="0" xfId="0" applyFont="1" applyFill="1" applyAlignment="1">
      <alignment vertical="center"/>
    </xf>
    <xf numFmtId="0" fontId="25" fillId="4" borderId="32" xfId="0" applyFont="1" applyFill="1" applyBorder="1" applyAlignment="1">
      <alignment vertical="center"/>
    </xf>
    <xf numFmtId="0" fontId="25" fillId="4" borderId="22" xfId="0" applyFont="1" applyFill="1" applyBorder="1" applyAlignment="1">
      <alignment vertical="center"/>
    </xf>
    <xf numFmtId="0" fontId="25" fillId="4" borderId="0" xfId="0" applyFont="1" applyFill="1" applyAlignment="1">
      <alignment horizontal="center" vertical="center"/>
    </xf>
    <xf numFmtId="0" fontId="29" fillId="4" borderId="0" xfId="0" quotePrefix="1" applyFont="1" applyFill="1" applyAlignment="1">
      <alignment horizontal="right" vertical="center"/>
    </xf>
    <xf numFmtId="0" fontId="29" fillId="4" borderId="0" xfId="0" quotePrefix="1" applyFont="1" applyFill="1" applyAlignment="1">
      <alignment horizontal="left" vertical="center"/>
    </xf>
    <xf numFmtId="0" fontId="29" fillId="4" borderId="0" xfId="0" applyFont="1" applyFill="1" applyAlignment="1">
      <alignment horizontal="right" vertical="center"/>
    </xf>
    <xf numFmtId="0" fontId="29" fillId="4" borderId="0" xfId="0" applyFont="1" applyFill="1" applyAlignment="1">
      <alignment horizontal="right"/>
    </xf>
    <xf numFmtId="0" fontId="29" fillId="4" borderId="0" xfId="0" applyFont="1" applyFill="1"/>
    <xf numFmtId="0" fontId="0" fillId="4" borderId="0" xfId="0" applyFill="1"/>
    <xf numFmtId="0" fontId="25" fillId="4" borderId="0" xfId="0" applyFont="1" applyFill="1" applyAlignment="1">
      <alignment horizontal="left" vertical="center"/>
    </xf>
    <xf numFmtId="0" fontId="25" fillId="4" borderId="0" xfId="0" quotePrefix="1" applyFont="1" applyFill="1" applyAlignment="1">
      <alignment horizontal="center" vertical="center"/>
    </xf>
    <xf numFmtId="0" fontId="25" fillId="4" borderId="22" xfId="0" applyFont="1" applyFill="1" applyBorder="1" applyAlignment="1">
      <alignment horizontal="center" vertical="center"/>
    </xf>
    <xf numFmtId="0" fontId="25" fillId="4" borderId="29" xfId="0" applyFont="1" applyFill="1" applyBorder="1" applyAlignment="1">
      <alignment horizontal="center" vertical="center"/>
    </xf>
    <xf numFmtId="0" fontId="25" fillId="4" borderId="0" xfId="0" quotePrefix="1" applyFont="1" applyFill="1" applyAlignment="1">
      <alignment vertical="center"/>
    </xf>
    <xf numFmtId="0" fontId="25" fillId="4" borderId="22" xfId="0" applyFont="1" applyFill="1" applyBorder="1" applyAlignment="1">
      <alignment horizontal="left" vertical="center"/>
    </xf>
    <xf numFmtId="0" fontId="16" fillId="4" borderId="0" xfId="0" applyFont="1" applyFill="1"/>
    <xf numFmtId="2" fontId="25" fillId="4" borderId="0" xfId="0" applyNumberFormat="1" applyFont="1" applyFill="1" applyAlignment="1">
      <alignment horizontal="left" vertical="center"/>
    </xf>
    <xf numFmtId="2" fontId="25" fillId="4" borderId="29" xfId="0" applyNumberFormat="1" applyFont="1" applyFill="1" applyBorder="1" applyAlignment="1">
      <alignment horizontal="center"/>
    </xf>
    <xf numFmtId="2" fontId="25" fillId="4" borderId="0" xfId="0" applyNumberFormat="1" applyFont="1" applyFill="1" applyAlignment="1">
      <alignment horizontal="center"/>
    </xf>
    <xf numFmtId="0" fontId="25" fillId="4" borderId="0" xfId="0" applyFont="1" applyFill="1"/>
    <xf numFmtId="0" fontId="25" fillId="4" borderId="22" xfId="0" applyFont="1" applyFill="1" applyBorder="1"/>
    <xf numFmtId="0" fontId="25" fillId="4" borderId="29" xfId="0" applyFont="1" applyFill="1" applyBorder="1"/>
    <xf numFmtId="2" fontId="25" fillId="4" borderId="29" xfId="0" applyNumberFormat="1" applyFont="1" applyFill="1" applyBorder="1"/>
    <xf numFmtId="0" fontId="16" fillId="4" borderId="0" xfId="0" applyFont="1" applyFill="1" applyAlignment="1">
      <alignment vertical="center"/>
    </xf>
    <xf numFmtId="0" fontId="30" fillId="4" borderId="0" xfId="0" applyFont="1" applyFill="1"/>
    <xf numFmtId="0" fontId="25" fillId="4" borderId="0" xfId="0" quotePrefix="1" applyFont="1" applyFill="1"/>
    <xf numFmtId="0" fontId="25" fillId="4" borderId="0" xfId="0" applyFont="1" applyFill="1" applyAlignment="1">
      <alignment horizontal="right"/>
    </xf>
    <xf numFmtId="0" fontId="27" fillId="4" borderId="0" xfId="0" applyFont="1" applyFill="1" applyAlignment="1">
      <alignment horizontal="left"/>
    </xf>
    <xf numFmtId="165" fontId="25" fillId="4" borderId="0" xfId="0" applyNumberFormat="1" applyFont="1" applyFill="1" applyAlignment="1">
      <alignment horizontal="right"/>
    </xf>
    <xf numFmtId="0" fontId="25" fillId="4" borderId="0" xfId="0" applyFont="1" applyFill="1" applyAlignment="1">
      <alignment horizontal="left"/>
    </xf>
    <xf numFmtId="0" fontId="25" fillId="4" borderId="0" xfId="0" applyFont="1" applyFill="1" applyAlignment="1">
      <alignment horizontal="center"/>
    </xf>
    <xf numFmtId="0" fontId="31" fillId="4" borderId="0" xfId="0" quotePrefix="1" applyFont="1" applyFill="1"/>
    <xf numFmtId="0" fontId="25" fillId="4" borderId="0" xfId="0" quotePrefix="1" applyFont="1" applyFill="1" applyAlignment="1">
      <alignment horizontal="right"/>
    </xf>
    <xf numFmtId="0" fontId="14" fillId="0" borderId="0" xfId="0" quotePrefix="1" applyFont="1"/>
    <xf numFmtId="0" fontId="14" fillId="0" borderId="0" xfId="0" applyFont="1" applyAlignment="1">
      <alignment horizontal="center"/>
    </xf>
    <xf numFmtId="165" fontId="14" fillId="0" borderId="0" xfId="0" applyNumberFormat="1" applyFont="1"/>
    <xf numFmtId="165" fontId="14" fillId="0" borderId="0" xfId="0" quotePrefix="1" applyNumberFormat="1" applyFont="1"/>
    <xf numFmtId="0" fontId="14" fillId="0" borderId="10" xfId="0" quotePrefix="1" applyFont="1" applyBorder="1" applyAlignment="1">
      <alignment horizontal="center" vertical="center" wrapText="1"/>
    </xf>
    <xf numFmtId="0" fontId="29" fillId="4" borderId="9" xfId="0" applyFont="1" applyFill="1" applyBorder="1" applyAlignment="1">
      <alignment horizontal="center" vertical="center"/>
    </xf>
    <xf numFmtId="0" fontId="29" fillId="4" borderId="9" xfId="0" applyFont="1" applyFill="1" applyBorder="1" applyAlignment="1">
      <alignment horizontal="center" vertical="center" wrapText="1"/>
    </xf>
    <xf numFmtId="0" fontId="25" fillId="4" borderId="7" xfId="0" applyFont="1" applyFill="1" applyBorder="1" applyAlignment="1">
      <alignment horizontal="left" vertical="center" wrapText="1"/>
    </xf>
    <xf numFmtId="0" fontId="34" fillId="4" borderId="9" xfId="0" applyFont="1" applyFill="1" applyBorder="1" applyAlignment="1">
      <alignment horizontal="left" vertical="center" wrapText="1"/>
    </xf>
    <xf numFmtId="0" fontId="25" fillId="4" borderId="9" xfId="0" applyFont="1" applyFill="1" applyBorder="1" applyAlignment="1">
      <alignment horizontal="left" vertical="center" wrapText="1"/>
    </xf>
    <xf numFmtId="0" fontId="25" fillId="4" borderId="9" xfId="0" applyFont="1" applyFill="1" applyBorder="1" applyAlignment="1">
      <alignment vertical="center"/>
    </xf>
    <xf numFmtId="164" fontId="25" fillId="4" borderId="9" xfId="1" applyNumberFormat="1" applyFont="1" applyFill="1" applyBorder="1" applyAlignment="1">
      <alignment vertical="center"/>
    </xf>
    <xf numFmtId="164" fontId="25" fillId="4" borderId="9" xfId="1" quotePrefix="1" applyNumberFormat="1" applyFont="1" applyFill="1" applyBorder="1" applyAlignment="1">
      <alignment horizontal="right" vertical="center"/>
    </xf>
    <xf numFmtId="0" fontId="25" fillId="4" borderId="8" xfId="1" applyNumberFormat="1" applyFont="1" applyFill="1" applyBorder="1" applyAlignment="1">
      <alignment horizontal="center" vertical="center"/>
    </xf>
    <xf numFmtId="164" fontId="25" fillId="4" borderId="10" xfId="1" applyNumberFormat="1" applyFont="1" applyFill="1" applyBorder="1" applyAlignment="1">
      <alignment horizontal="right" vertical="center"/>
    </xf>
    <xf numFmtId="2" fontId="25" fillId="4" borderId="7" xfId="0" quotePrefix="1" applyNumberFormat="1" applyFont="1" applyFill="1" applyBorder="1" applyAlignment="1">
      <alignment horizontal="center" vertical="center"/>
    </xf>
    <xf numFmtId="164" fontId="25" fillId="4" borderId="9" xfId="1" quotePrefix="1" applyNumberFormat="1" applyFont="1" applyFill="1" applyBorder="1" applyAlignment="1">
      <alignment horizontal="center" vertical="center"/>
    </xf>
    <xf numFmtId="164" fontId="35" fillId="4" borderId="10" xfId="0" applyNumberFormat="1" applyFont="1" applyFill="1" applyBorder="1" applyAlignment="1">
      <alignment horizontal="left" vertical="center"/>
    </xf>
    <xf numFmtId="166" fontId="29" fillId="4" borderId="9" xfId="1" quotePrefix="1" applyNumberFormat="1" applyFont="1" applyFill="1" applyBorder="1" applyAlignment="1">
      <alignment horizontal="center" vertical="center"/>
    </xf>
    <xf numFmtId="166" fontId="36" fillId="4" borderId="10" xfId="0" applyNumberFormat="1" applyFont="1" applyFill="1" applyBorder="1" applyAlignment="1">
      <alignment horizontal="center" vertical="center"/>
    </xf>
    <xf numFmtId="43" fontId="25" fillId="4" borderId="9" xfId="1" applyFont="1" applyFill="1" applyBorder="1" applyAlignment="1">
      <alignment horizontal="center" vertical="center"/>
    </xf>
    <xf numFmtId="2" fontId="25" fillId="4" borderId="9" xfId="0" quotePrefix="1" applyNumberFormat="1" applyFont="1" applyFill="1" applyBorder="1" applyAlignment="1">
      <alignment horizontal="center" vertical="center"/>
    </xf>
    <xf numFmtId="0" fontId="34" fillId="4" borderId="9" xfId="0" applyFont="1" applyFill="1" applyBorder="1" applyAlignment="1">
      <alignment horizontal="left" vertical="center"/>
    </xf>
    <xf numFmtId="0" fontId="25" fillId="4" borderId="9" xfId="0" applyFont="1" applyFill="1" applyBorder="1"/>
    <xf numFmtId="166" fontId="36" fillId="4" borderId="10" xfId="1" quotePrefix="1" applyNumberFormat="1" applyFont="1" applyFill="1" applyBorder="1" applyAlignment="1">
      <alignment horizontal="center" vertical="center"/>
    </xf>
    <xf numFmtId="0" fontId="16" fillId="2" borderId="6" xfId="0" applyFont="1" applyFill="1" applyBorder="1" applyAlignment="1">
      <alignment vertical="center" wrapText="1"/>
    </xf>
    <xf numFmtId="0" fontId="16" fillId="2" borderId="10" xfId="0" applyFont="1" applyFill="1" applyBorder="1" applyAlignment="1">
      <alignment vertical="center" wrapText="1"/>
    </xf>
    <xf numFmtId="0" fontId="16" fillId="2" borderId="11" xfId="0" applyFont="1" applyFill="1" applyBorder="1" applyAlignment="1">
      <alignment horizontal="center" vertical="center"/>
    </xf>
    <xf numFmtId="0" fontId="16" fillId="2" borderId="6" xfId="0" applyFont="1" applyFill="1" applyBorder="1" applyAlignment="1">
      <alignment horizontal="right" vertical="center"/>
    </xf>
    <xf numFmtId="0" fontId="16" fillId="2" borderId="10" xfId="0" applyFont="1" applyFill="1" applyBorder="1" applyAlignment="1">
      <alignment horizontal="left" vertical="center"/>
    </xf>
    <xf numFmtId="0" fontId="16" fillId="2" borderId="9" xfId="0" applyFont="1" applyFill="1" applyBorder="1" applyAlignment="1">
      <alignment horizontal="right" vertical="center"/>
    </xf>
    <xf numFmtId="0" fontId="16" fillId="2" borderId="8" xfId="0" quotePrefix="1" applyFont="1" applyFill="1" applyBorder="1" applyAlignment="1">
      <alignment horizontal="center" vertical="center"/>
    </xf>
    <xf numFmtId="0" fontId="38" fillId="4" borderId="0" xfId="0" applyFont="1" applyFill="1"/>
    <xf numFmtId="0" fontId="39" fillId="4" borderId="0" xfId="0" applyFont="1" applyFill="1"/>
    <xf numFmtId="0" fontId="25" fillId="4" borderId="0" xfId="0" applyFont="1" applyFill="1" applyAlignment="1">
      <alignment horizontal="right" vertical="center"/>
    </xf>
    <xf numFmtId="0" fontId="25" fillId="4" borderId="29" xfId="0" applyFont="1" applyFill="1" applyBorder="1" applyAlignment="1">
      <alignment horizontal="right" vertical="center"/>
    </xf>
    <xf numFmtId="0" fontId="25" fillId="4" borderId="22" xfId="0" applyFont="1" applyFill="1" applyBorder="1" applyAlignment="1">
      <alignment horizontal="right" vertical="center"/>
    </xf>
    <xf numFmtId="0" fontId="40" fillId="4" borderId="0" xfId="0" applyFont="1" applyFill="1"/>
    <xf numFmtId="165" fontId="25" fillId="4" borderId="22" xfId="0" applyNumberFormat="1" applyFont="1" applyFill="1" applyBorder="1" applyAlignment="1">
      <alignment horizontal="left" vertical="center"/>
    </xf>
    <xf numFmtId="165" fontId="25" fillId="0" borderId="0" xfId="0" applyNumberFormat="1" applyFont="1"/>
    <xf numFmtId="165" fontId="25" fillId="0" borderId="0" xfId="0" quotePrefix="1" applyNumberFormat="1" applyFont="1"/>
    <xf numFmtId="165" fontId="25" fillId="4" borderId="0" xfId="0" applyNumberFormat="1" applyFont="1" applyFill="1" applyAlignment="1">
      <alignment vertical="center"/>
    </xf>
    <xf numFmtId="0" fontId="40" fillId="4" borderId="36" xfId="0" applyFont="1" applyFill="1" applyBorder="1"/>
    <xf numFmtId="2" fontId="25" fillId="4" borderId="0" xfId="0" applyNumberFormat="1" applyFont="1" applyFill="1" applyAlignment="1">
      <alignment vertical="center"/>
    </xf>
    <xf numFmtId="2" fontId="16" fillId="4" borderId="0" xfId="0" applyNumberFormat="1" applyFont="1" applyFill="1" applyAlignment="1">
      <alignment vertical="center"/>
    </xf>
    <xf numFmtId="0" fontId="16" fillId="4" borderId="0" xfId="0" applyFont="1" applyFill="1" applyAlignment="1">
      <alignment horizontal="left" vertical="center"/>
    </xf>
    <xf numFmtId="0" fontId="0" fillId="4" borderId="36" xfId="0" applyFill="1" applyBorder="1"/>
    <xf numFmtId="0" fontId="0" fillId="4" borderId="33" xfId="0" applyFill="1" applyBorder="1"/>
    <xf numFmtId="0" fontId="16" fillId="4" borderId="0" xfId="0" quotePrefix="1" applyFont="1" applyFill="1" applyAlignment="1">
      <alignment vertical="center"/>
    </xf>
    <xf numFmtId="0" fontId="30" fillId="4" borderId="36" xfId="0" applyFont="1" applyFill="1" applyBorder="1"/>
    <xf numFmtId="165" fontId="16" fillId="4" borderId="29" xfId="0" applyNumberFormat="1" applyFont="1" applyFill="1" applyBorder="1" applyAlignment="1">
      <alignment horizontal="right" vertical="center"/>
    </xf>
    <xf numFmtId="1" fontId="16" fillId="4" borderId="0" xfId="0" applyNumberFormat="1" applyFont="1" applyFill="1" applyAlignment="1">
      <alignment horizontal="left" vertical="center"/>
    </xf>
    <xf numFmtId="165" fontId="16" fillId="4" borderId="29" xfId="0" applyNumberFormat="1" applyFont="1" applyFill="1" applyBorder="1"/>
    <xf numFmtId="1" fontId="16" fillId="4" borderId="29" xfId="0" applyNumberFormat="1" applyFont="1" applyFill="1" applyBorder="1" applyAlignment="1">
      <alignment horizontal="left" vertical="center"/>
    </xf>
    <xf numFmtId="165" fontId="16" fillId="4" borderId="29" xfId="0" quotePrefix="1" applyNumberFormat="1" applyFont="1" applyFill="1" applyBorder="1"/>
    <xf numFmtId="1" fontId="16" fillId="4" borderId="31" xfId="0" applyNumberFormat="1" applyFont="1" applyFill="1" applyBorder="1" applyAlignment="1">
      <alignment horizontal="left" vertical="center"/>
    </xf>
    <xf numFmtId="0" fontId="25" fillId="4" borderId="35" xfId="0" applyFont="1" applyFill="1" applyBorder="1"/>
    <xf numFmtId="0" fontId="16" fillId="4" borderId="0" xfId="0" applyFont="1" applyFill="1" applyAlignment="1">
      <alignment horizontal="right"/>
    </xf>
    <xf numFmtId="0" fontId="16" fillId="4" borderId="0" xfId="0" applyFont="1" applyFill="1" applyAlignment="1">
      <alignment horizontal="right" vertical="center"/>
    </xf>
    <xf numFmtId="165" fontId="25" fillId="4" borderId="0" xfId="0" applyNumberFormat="1" applyFont="1" applyFill="1" applyAlignment="1">
      <alignment horizontal="left" vertical="center"/>
    </xf>
    <xf numFmtId="0" fontId="20" fillId="0" borderId="14"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14" fillId="0" borderId="23"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7" xfId="0" quotePrefix="1" applyFont="1" applyBorder="1" applyAlignment="1">
      <alignment horizontal="center" vertical="center" wrapText="1"/>
    </xf>
    <xf numFmtId="0" fontId="14" fillId="0" borderId="9" xfId="0" applyFont="1" applyBorder="1" applyAlignment="1">
      <alignment horizontal="left" vertical="center" wrapText="1"/>
    </xf>
    <xf numFmtId="0" fontId="14" fillId="0" borderId="8" xfId="0" applyFont="1" applyBorder="1" applyAlignment="1">
      <alignment horizontal="left" vertical="center" wrapText="1"/>
    </xf>
    <xf numFmtId="0" fontId="14" fillId="0" borderId="20" xfId="0" applyFont="1" applyBorder="1" applyAlignment="1">
      <alignment horizontal="left" vertical="center" wrapText="1"/>
    </xf>
    <xf numFmtId="0" fontId="14" fillId="0" borderId="10" xfId="0" applyFont="1" applyBorder="1" applyAlignment="1">
      <alignment horizontal="left" vertical="center" wrapText="1"/>
    </xf>
    <xf numFmtId="0" fontId="20" fillId="0" borderId="11" xfId="0" applyFont="1" applyBorder="1" applyAlignment="1">
      <alignment horizontal="center" vertical="center" wrapText="1"/>
    </xf>
    <xf numFmtId="0" fontId="20" fillId="0" borderId="1" xfId="0" applyFont="1" applyBorder="1" applyAlignment="1">
      <alignment horizontal="left" vertical="center" wrapText="1"/>
    </xf>
    <xf numFmtId="0" fontId="20" fillId="0" borderId="4" xfId="0" applyFont="1" applyBorder="1" applyAlignment="1">
      <alignment horizontal="left" vertical="center"/>
    </xf>
    <xf numFmtId="0" fontId="20" fillId="0" borderId="19" xfId="0" applyFont="1" applyBorder="1" applyAlignment="1">
      <alignment horizontal="left" vertical="center"/>
    </xf>
    <xf numFmtId="0" fontId="20" fillId="0" borderId="11" xfId="0" quotePrefix="1" applyFont="1" applyBorder="1" applyAlignment="1">
      <alignment horizontal="center" vertical="center" wrapText="1"/>
    </xf>
    <xf numFmtId="0" fontId="29" fillId="4" borderId="9" xfId="0" applyFont="1" applyFill="1" applyBorder="1" applyAlignment="1">
      <alignment horizontal="center" vertical="center"/>
    </xf>
    <xf numFmtId="0" fontId="29" fillId="4" borderId="10" xfId="0" applyFont="1" applyFill="1" applyBorder="1" applyAlignment="1">
      <alignment horizontal="center" vertical="center"/>
    </xf>
    <xf numFmtId="0" fontId="29" fillId="4" borderId="8" xfId="0" applyFont="1" applyFill="1" applyBorder="1" applyAlignment="1">
      <alignment horizontal="center" vertical="center"/>
    </xf>
    <xf numFmtId="0" fontId="29" fillId="4" borderId="27" xfId="0" applyFont="1" applyFill="1" applyBorder="1" applyAlignment="1">
      <alignment horizontal="center" vertical="center"/>
    </xf>
    <xf numFmtId="0" fontId="29" fillId="4" borderId="34" xfId="0" applyFont="1" applyFill="1" applyBorder="1" applyAlignment="1">
      <alignment horizontal="center" vertical="center"/>
    </xf>
    <xf numFmtId="0" fontId="29" fillId="4" borderId="28" xfId="0" applyFont="1" applyFill="1" applyBorder="1" applyAlignment="1">
      <alignment horizontal="center" vertical="center"/>
    </xf>
    <xf numFmtId="0" fontId="29" fillId="4" borderId="29" xfId="0" applyFont="1" applyFill="1" applyBorder="1" applyAlignment="1">
      <alignment horizontal="center" vertical="center"/>
    </xf>
    <xf numFmtId="0" fontId="29" fillId="4" borderId="31" xfId="0" applyFont="1" applyFill="1" applyBorder="1" applyAlignment="1">
      <alignment horizontal="center" vertical="center"/>
    </xf>
    <xf numFmtId="0" fontId="29" fillId="4" borderId="32" xfId="0" applyFont="1" applyFill="1" applyBorder="1" applyAlignment="1">
      <alignment horizontal="center" vertical="center"/>
    </xf>
    <xf numFmtId="0" fontId="29" fillId="4" borderId="22" xfId="0" applyFont="1" applyFill="1" applyBorder="1" applyAlignment="1">
      <alignment horizontal="center" vertical="center"/>
    </xf>
    <xf numFmtId="0" fontId="29" fillId="4" borderId="33" xfId="0" applyFont="1" applyFill="1" applyBorder="1" applyAlignment="1">
      <alignment horizontal="center" vertical="center"/>
    </xf>
    <xf numFmtId="0" fontId="29" fillId="4" borderId="28" xfId="0" applyFont="1" applyFill="1" applyBorder="1" applyAlignment="1">
      <alignment horizontal="center" vertical="center" wrapText="1"/>
    </xf>
    <xf numFmtId="0" fontId="29" fillId="4" borderId="27" xfId="0" applyFont="1" applyFill="1" applyBorder="1" applyAlignment="1">
      <alignment horizontal="center" vertical="center" wrapText="1"/>
    </xf>
    <xf numFmtId="0" fontId="25" fillId="4" borderId="29" xfId="0" applyFont="1" applyFill="1" applyBorder="1" applyAlignment="1">
      <alignment horizontal="center" vertical="center"/>
    </xf>
    <xf numFmtId="0" fontId="25" fillId="4" borderId="0" xfId="0" applyFont="1" applyFill="1" applyAlignment="1">
      <alignment horizontal="left" vertical="center"/>
    </xf>
    <xf numFmtId="0" fontId="25" fillId="4" borderId="0" xfId="0" applyFont="1" applyFill="1" applyAlignment="1">
      <alignment horizontal="center" vertical="center"/>
    </xf>
    <xf numFmtId="2" fontId="25" fillId="4" borderId="0" xfId="0" quotePrefix="1" applyNumberFormat="1" applyFont="1" applyFill="1" applyAlignment="1">
      <alignment horizontal="center" vertical="center"/>
    </xf>
    <xf numFmtId="0" fontId="25" fillId="4" borderId="0" xfId="0" quotePrefix="1" applyFont="1" applyFill="1" applyAlignment="1">
      <alignment horizontal="center" vertical="center"/>
    </xf>
    <xf numFmtId="0" fontId="28" fillId="4" borderId="0" xfId="0" applyFont="1" applyFill="1" applyAlignment="1">
      <alignment horizontal="center" vertical="center"/>
    </xf>
    <xf numFmtId="2" fontId="25" fillId="4" borderId="0" xfId="0" applyNumberFormat="1" applyFont="1" applyFill="1" applyAlignment="1">
      <alignment horizontal="left" vertical="center"/>
    </xf>
    <xf numFmtId="0" fontId="25" fillId="4" borderId="0" xfId="0" applyFont="1" applyFill="1" applyAlignment="1">
      <alignment horizontal="right" vertical="center"/>
    </xf>
    <xf numFmtId="0" fontId="29" fillId="4" borderId="0" xfId="0" quotePrefix="1" applyFont="1" applyFill="1" applyAlignment="1">
      <alignment horizontal="left" vertical="center"/>
    </xf>
    <xf numFmtId="0" fontId="29" fillId="4" borderId="0" xfId="0" applyFont="1" applyFill="1" applyAlignment="1">
      <alignment horizontal="left"/>
    </xf>
    <xf numFmtId="165" fontId="29" fillId="4" borderId="31" xfId="0" applyNumberFormat="1" applyFont="1" applyFill="1" applyBorder="1" applyAlignment="1">
      <alignment horizontal="left" vertical="center"/>
    </xf>
    <xf numFmtId="165" fontId="29" fillId="4" borderId="33" xfId="0" applyNumberFormat="1" applyFont="1" applyFill="1" applyBorder="1" applyAlignment="1">
      <alignment horizontal="left" vertical="center"/>
    </xf>
    <xf numFmtId="165" fontId="29" fillId="4" borderId="28" xfId="0" applyNumberFormat="1" applyFont="1" applyFill="1" applyBorder="1" applyAlignment="1">
      <alignment horizontal="right" vertical="center"/>
    </xf>
    <xf numFmtId="165" fontId="29" fillId="4" borderId="32" xfId="0" applyNumberFormat="1" applyFont="1" applyFill="1" applyBorder="1" applyAlignment="1">
      <alignment horizontal="right" vertical="center"/>
    </xf>
    <xf numFmtId="0" fontId="41" fillId="4" borderId="29" xfId="0" applyFont="1" applyFill="1" applyBorder="1" applyAlignment="1">
      <alignment horizontal="center" vertical="center"/>
    </xf>
    <xf numFmtId="0" fontId="41" fillId="4" borderId="22" xfId="0" applyFont="1" applyFill="1" applyBorder="1" applyAlignment="1">
      <alignment horizontal="center" vertical="center"/>
    </xf>
    <xf numFmtId="0" fontId="16" fillId="4" borderId="18" xfId="0" applyFont="1" applyFill="1" applyBorder="1" applyAlignment="1">
      <alignment horizontal="center" vertical="center" wrapText="1"/>
    </xf>
    <xf numFmtId="0" fontId="16" fillId="4" borderId="11" xfId="0" applyFont="1" applyFill="1" applyBorder="1" applyAlignment="1">
      <alignment horizontal="center" vertical="center"/>
    </xf>
    <xf numFmtId="0" fontId="16" fillId="2" borderId="9" xfId="0" applyFont="1" applyFill="1" applyBorder="1" applyAlignment="1">
      <alignment horizontal="center" vertical="center"/>
    </xf>
    <xf numFmtId="0" fontId="16" fillId="2" borderId="8" xfId="0" applyFont="1" applyFill="1" applyBorder="1" applyAlignment="1">
      <alignment horizontal="center" vertical="center"/>
    </xf>
    <xf numFmtId="0" fontId="16" fillId="2" borderId="10"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7" xfId="0" applyFont="1" applyFill="1" applyBorder="1" applyAlignment="1">
      <alignment horizontal="center" vertical="center"/>
    </xf>
    <xf numFmtId="0" fontId="16" fillId="2" borderId="5"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0" xfId="0" applyFont="1" applyBorder="1" applyAlignment="1">
      <alignment horizontal="center" vertical="center" wrapText="1"/>
    </xf>
    <xf numFmtId="0" fontId="16" fillId="3" borderId="1" xfId="0" applyFont="1" applyFill="1" applyBorder="1" applyAlignment="1">
      <alignment horizontal="center" vertical="center"/>
    </xf>
    <xf numFmtId="0" fontId="16" fillId="3" borderId="3" xfId="0" applyFont="1" applyFill="1" applyBorder="1" applyAlignment="1">
      <alignment horizontal="center" vertical="center"/>
    </xf>
    <xf numFmtId="0" fontId="16" fillId="2" borderId="14"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11" fillId="0" borderId="0" xfId="0" applyFont="1" applyAlignment="1">
      <alignment horizontal="center" vertical="center"/>
    </xf>
    <xf numFmtId="0" fontId="1" fillId="0" borderId="0" xfId="0" applyFont="1" applyAlignment="1">
      <alignment horizontal="center" vertical="center"/>
    </xf>
    <xf numFmtId="165" fontId="25" fillId="4" borderId="0" xfId="0" applyNumberFormat="1" applyFont="1" applyFill="1" applyAlignment="1">
      <alignment horizontal="center"/>
    </xf>
    <xf numFmtId="0" fontId="25" fillId="4" borderId="0" xfId="0" quotePrefix="1" applyFont="1" applyFill="1" applyAlignment="1">
      <alignment horizontal="left" vertical="center" readingOrder="1"/>
    </xf>
    <xf numFmtId="0" fontId="25" fillId="4" borderId="0" xfId="0" applyFont="1" applyFill="1" applyAlignment="1">
      <alignment horizontal="left" vertical="center" readingOrder="1"/>
    </xf>
    <xf numFmtId="0" fontId="25" fillId="4" borderId="0" xfId="0" applyFont="1" applyFill="1" applyAlignment="1">
      <alignment horizontal="left"/>
    </xf>
    <xf numFmtId="0" fontId="25" fillId="4" borderId="0" xfId="0" quotePrefix="1" applyFont="1" applyFill="1" applyAlignment="1">
      <alignment horizontal="left"/>
    </xf>
  </cellXfs>
  <cellStyles count="2">
    <cellStyle name="Comma" xfId="1" builtinId="3"/>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7B0CC-6BA5-4550-BDF2-8B5CE218B310}">
  <dimension ref="A1:V83"/>
  <sheetViews>
    <sheetView topLeftCell="A92" workbookViewId="0">
      <selection activeCell="L6" sqref="L6"/>
    </sheetView>
  </sheetViews>
  <sheetFormatPr defaultRowHeight="13.8"/>
  <cols>
    <col min="1" max="1" width="4.5546875" style="25" bestFit="1" customWidth="1"/>
    <col min="2" max="2" width="46" style="25" bestFit="1" customWidth="1"/>
    <col min="3" max="3" width="5.33203125" style="25" customWidth="1"/>
    <col min="4" max="4" width="1.6640625" style="25" bestFit="1" customWidth="1"/>
    <col min="5" max="5" width="5.33203125" style="25" customWidth="1"/>
    <col min="6" max="6" width="10.77734375" style="25" customWidth="1"/>
    <col min="7" max="7" width="5.33203125" style="34" customWidth="1"/>
    <col min="8" max="8" width="1.6640625" style="34" bestFit="1" customWidth="1"/>
    <col min="9" max="10" width="5.33203125" style="34" customWidth="1"/>
    <col min="11" max="11" width="1.6640625" style="34" bestFit="1" customWidth="1"/>
    <col min="12" max="12" width="5.33203125" style="34" customWidth="1"/>
    <col min="13" max="13" width="11.33203125" style="25" bestFit="1" customWidth="1"/>
    <col min="14" max="14" width="4" style="25" bestFit="1" customWidth="1"/>
    <col min="15" max="15" width="1.6640625" style="25" bestFit="1" customWidth="1"/>
    <col min="16" max="16" width="4" style="25" bestFit="1" customWidth="1"/>
    <col min="17" max="17" width="3.5546875" style="25" bestFit="1" customWidth="1"/>
    <col min="18" max="19" width="10.77734375" style="25" bestFit="1" customWidth="1"/>
    <col min="20" max="20" width="4.5546875" style="25" bestFit="1" customWidth="1"/>
    <col min="21" max="21" width="1.6640625" style="25" bestFit="1" customWidth="1"/>
    <col min="22" max="22" width="5.109375" style="25" bestFit="1" customWidth="1"/>
    <col min="23" max="16384" width="8.88671875" style="25"/>
  </cols>
  <sheetData>
    <row r="1" spans="1:12" ht="14.4" thickBot="1"/>
    <row r="2" spans="1:12" ht="30" customHeight="1" thickTop="1">
      <c r="A2" s="169" t="s">
        <v>43</v>
      </c>
      <c r="B2" s="170"/>
      <c r="C2" s="171"/>
      <c r="G2" s="25"/>
      <c r="H2" s="25"/>
      <c r="I2" s="25"/>
      <c r="J2" s="25"/>
      <c r="K2" s="25"/>
      <c r="L2" s="25"/>
    </row>
    <row r="3" spans="1:12" ht="16.2">
      <c r="A3" s="36" t="s">
        <v>33</v>
      </c>
      <c r="B3" s="37" t="s">
        <v>41</v>
      </c>
      <c r="C3" s="38" t="s">
        <v>42</v>
      </c>
      <c r="D3" s="34"/>
      <c r="E3" s="34"/>
      <c r="F3" s="34"/>
    </row>
    <row r="4" spans="1:12">
      <c r="A4" s="51">
        <v>1</v>
      </c>
      <c r="B4" s="42" t="s">
        <v>78</v>
      </c>
      <c r="C4" s="49">
        <f>(1/3+1/2+2/3)/3</f>
        <v>0.5</v>
      </c>
      <c r="D4" s="28"/>
      <c r="E4" s="34"/>
      <c r="F4" s="28"/>
      <c r="H4" s="28"/>
      <c r="I4" s="28"/>
    </row>
    <row r="5" spans="1:12">
      <c r="A5" s="51">
        <v>2</v>
      </c>
      <c r="B5" s="42" t="s">
        <v>79</v>
      </c>
      <c r="C5" s="49">
        <f>(1/3+1/2+2/3)/3</f>
        <v>0.5</v>
      </c>
      <c r="D5" s="29"/>
      <c r="E5" s="34"/>
      <c r="F5" s="29"/>
      <c r="H5" s="29"/>
      <c r="I5" s="29"/>
    </row>
    <row r="6" spans="1:12">
      <c r="A6" s="51">
        <v>3</v>
      </c>
      <c r="B6" s="42" t="s">
        <v>80</v>
      </c>
      <c r="C6" s="49">
        <v>0</v>
      </c>
      <c r="D6" s="29"/>
      <c r="E6" s="34"/>
      <c r="F6" s="29"/>
      <c r="H6" s="29"/>
      <c r="I6" s="29"/>
    </row>
    <row r="7" spans="1:12">
      <c r="A7" s="51">
        <v>4</v>
      </c>
      <c r="B7" s="42" t="s">
        <v>174</v>
      </c>
      <c r="C7" s="49"/>
      <c r="D7" s="29"/>
      <c r="E7" s="34"/>
      <c r="F7" s="29"/>
      <c r="H7" s="29"/>
      <c r="I7" s="29"/>
    </row>
    <row r="8" spans="1:12">
      <c r="A8" s="51">
        <v>5</v>
      </c>
      <c r="B8" s="42" t="s">
        <v>81</v>
      </c>
      <c r="C8" s="71">
        <v>1</v>
      </c>
      <c r="D8" s="28"/>
      <c r="E8" s="34"/>
      <c r="F8" s="28"/>
      <c r="H8" s="28"/>
      <c r="I8" s="28"/>
    </row>
    <row r="9" spans="1:12">
      <c r="A9" s="51">
        <v>6</v>
      </c>
      <c r="B9" s="42" t="s">
        <v>82</v>
      </c>
      <c r="C9" s="53">
        <f>1/3</f>
        <v>0.33333333333333331</v>
      </c>
      <c r="D9" s="28"/>
      <c r="E9" s="34"/>
      <c r="F9" s="28"/>
      <c r="H9" s="28"/>
      <c r="I9" s="28"/>
    </row>
    <row r="10" spans="1:12">
      <c r="A10" s="51">
        <v>7</v>
      </c>
      <c r="B10" s="42" t="s">
        <v>83</v>
      </c>
      <c r="C10" s="71">
        <v>1</v>
      </c>
      <c r="D10" s="29"/>
      <c r="E10" s="34"/>
      <c r="F10" s="29"/>
      <c r="H10" s="29"/>
      <c r="I10" s="29"/>
    </row>
    <row r="11" spans="1:12">
      <c r="A11" s="51">
        <v>8</v>
      </c>
      <c r="B11" s="42" t="s">
        <v>84</v>
      </c>
      <c r="C11" s="49">
        <f>1/2</f>
        <v>0.5</v>
      </c>
      <c r="D11" s="29"/>
      <c r="E11" s="34"/>
      <c r="F11" s="29"/>
      <c r="H11" s="29"/>
      <c r="I11" s="29"/>
    </row>
    <row r="12" spans="1:12">
      <c r="A12" s="51">
        <v>9</v>
      </c>
      <c r="B12" s="42" t="s">
        <v>85</v>
      </c>
      <c r="C12" s="71">
        <v>1</v>
      </c>
      <c r="D12" s="29"/>
      <c r="E12" s="34"/>
      <c r="F12" s="29"/>
      <c r="H12" s="29"/>
      <c r="I12" s="29"/>
    </row>
    <row r="13" spans="1:12">
      <c r="A13" s="51">
        <v>10</v>
      </c>
      <c r="B13" s="42" t="s">
        <v>86</v>
      </c>
      <c r="C13" s="53">
        <f>2/3</f>
        <v>0.66666666666666663</v>
      </c>
      <c r="D13" s="29"/>
      <c r="E13" s="34"/>
      <c r="F13" s="29"/>
      <c r="H13" s="29"/>
      <c r="I13" s="29"/>
    </row>
    <row r="14" spans="1:12">
      <c r="A14" s="51">
        <v>11</v>
      </c>
      <c r="B14" s="42" t="s">
        <v>87</v>
      </c>
      <c r="C14" s="49">
        <v>1</v>
      </c>
      <c r="D14" s="29"/>
      <c r="E14" s="34"/>
      <c r="F14" s="29"/>
      <c r="H14" s="29"/>
      <c r="I14" s="29"/>
    </row>
    <row r="15" spans="1:12">
      <c r="A15" s="51">
        <v>12</v>
      </c>
      <c r="B15" s="42" t="s">
        <v>88</v>
      </c>
      <c r="C15" s="49">
        <v>1</v>
      </c>
      <c r="D15" s="29"/>
      <c r="E15" s="34"/>
      <c r="F15" s="29"/>
      <c r="H15" s="29"/>
      <c r="I15" s="29"/>
    </row>
    <row r="16" spans="1:12">
      <c r="A16" s="51">
        <v>13</v>
      </c>
      <c r="B16" s="42" t="s">
        <v>89</v>
      </c>
      <c r="C16" s="49">
        <v>1</v>
      </c>
      <c r="D16" s="28"/>
      <c r="E16" s="34"/>
      <c r="F16" s="28"/>
      <c r="H16" s="28"/>
      <c r="I16" s="28"/>
    </row>
    <row r="17" spans="1:9">
      <c r="A17" s="51">
        <v>14</v>
      </c>
      <c r="B17" s="42" t="s">
        <v>90</v>
      </c>
      <c r="C17" s="53">
        <f>1/3</f>
        <v>0.33333333333333331</v>
      </c>
      <c r="D17" s="28"/>
      <c r="E17" s="34"/>
      <c r="F17" s="28"/>
      <c r="H17" s="28"/>
      <c r="I17" s="28"/>
    </row>
    <row r="18" spans="1:9">
      <c r="A18" s="51">
        <v>15</v>
      </c>
      <c r="B18" s="42" t="s">
        <v>91</v>
      </c>
      <c r="C18" s="49">
        <v>1</v>
      </c>
      <c r="D18" s="29"/>
      <c r="E18" s="34"/>
      <c r="F18" s="29"/>
      <c r="H18" s="29"/>
      <c r="I18" s="29"/>
    </row>
    <row r="19" spans="1:9">
      <c r="A19" s="51">
        <v>16</v>
      </c>
      <c r="B19" s="42" t="s">
        <v>92</v>
      </c>
      <c r="C19" s="49">
        <f>1/2</f>
        <v>0.5</v>
      </c>
      <c r="D19" s="29"/>
      <c r="E19" s="34"/>
      <c r="F19" s="29"/>
      <c r="H19" s="29"/>
      <c r="I19" s="29"/>
    </row>
    <row r="20" spans="1:9">
      <c r="A20" s="51">
        <v>17</v>
      </c>
      <c r="B20" s="42" t="s">
        <v>93</v>
      </c>
      <c r="C20" s="49">
        <v>1</v>
      </c>
      <c r="D20" s="29"/>
      <c r="E20" s="34"/>
      <c r="F20" s="29"/>
      <c r="H20" s="29"/>
      <c r="I20" s="29"/>
    </row>
    <row r="21" spans="1:9">
      <c r="A21" s="51">
        <v>18</v>
      </c>
      <c r="B21" s="42" t="s">
        <v>94</v>
      </c>
      <c r="C21" s="53">
        <f>2/3</f>
        <v>0.66666666666666663</v>
      </c>
      <c r="D21" s="29"/>
      <c r="E21" s="34"/>
      <c r="F21" s="29"/>
      <c r="H21" s="29"/>
      <c r="I21" s="29"/>
    </row>
    <row r="22" spans="1:9">
      <c r="A22" s="51">
        <v>19</v>
      </c>
      <c r="B22" s="42" t="s">
        <v>95</v>
      </c>
      <c r="C22" s="49">
        <v>1</v>
      </c>
      <c r="D22" s="29"/>
      <c r="E22" s="34"/>
      <c r="F22" s="29"/>
      <c r="H22" s="29"/>
      <c r="I22" s="29"/>
    </row>
    <row r="23" spans="1:9">
      <c r="A23" s="51">
        <v>20</v>
      </c>
      <c r="B23" s="42" t="s">
        <v>96</v>
      </c>
      <c r="C23" s="49">
        <v>1</v>
      </c>
      <c r="D23" s="29"/>
      <c r="E23" s="34"/>
      <c r="F23" s="29"/>
      <c r="H23" s="29"/>
      <c r="I23" s="29"/>
    </row>
    <row r="24" spans="1:9">
      <c r="A24" s="51">
        <v>21</v>
      </c>
      <c r="B24" s="42" t="s">
        <v>97</v>
      </c>
      <c r="C24" s="49">
        <v>1</v>
      </c>
      <c r="D24" s="29"/>
      <c r="E24" s="34"/>
      <c r="F24" s="29"/>
      <c r="H24" s="29"/>
      <c r="I24" s="29"/>
    </row>
    <row r="25" spans="1:9">
      <c r="A25" s="51">
        <v>22</v>
      </c>
      <c r="B25" s="42" t="s">
        <v>98</v>
      </c>
      <c r="C25" s="49">
        <v>1</v>
      </c>
      <c r="D25" s="29"/>
      <c r="E25" s="34"/>
      <c r="F25" s="29"/>
      <c r="H25" s="29"/>
      <c r="I25" s="29"/>
    </row>
    <row r="26" spans="1:9">
      <c r="A26" s="51">
        <v>23</v>
      </c>
      <c r="B26" s="42" t="s">
        <v>99</v>
      </c>
      <c r="C26" s="49">
        <v>1</v>
      </c>
      <c r="D26" s="29"/>
      <c r="E26" s="34"/>
      <c r="F26" s="29"/>
      <c r="H26" s="29"/>
      <c r="I26" s="29"/>
    </row>
    <row r="27" spans="1:9">
      <c r="A27" s="51">
        <v>24</v>
      </c>
      <c r="B27" s="42" t="s">
        <v>100</v>
      </c>
      <c r="C27" s="49">
        <v>1</v>
      </c>
      <c r="D27" s="29"/>
      <c r="E27" s="34"/>
      <c r="F27" s="29"/>
      <c r="H27" s="29"/>
      <c r="I27" s="29"/>
    </row>
    <row r="28" spans="1:9">
      <c r="A28" s="51">
        <v>25</v>
      </c>
      <c r="B28" s="42" t="s">
        <v>101</v>
      </c>
      <c r="C28" s="49">
        <v>1</v>
      </c>
      <c r="D28" s="29"/>
      <c r="E28" s="34"/>
      <c r="F28" s="29"/>
      <c r="H28" s="29"/>
      <c r="I28" s="29"/>
    </row>
    <row r="29" spans="1:9">
      <c r="A29" s="51">
        <v>26</v>
      </c>
      <c r="B29" s="42" t="s">
        <v>102</v>
      </c>
      <c r="C29" s="49">
        <v>1</v>
      </c>
      <c r="D29" s="29"/>
      <c r="E29" s="34"/>
      <c r="F29" s="29"/>
      <c r="H29" s="29"/>
      <c r="I29" s="29"/>
    </row>
    <row r="30" spans="1:9">
      <c r="A30" s="51">
        <v>27</v>
      </c>
      <c r="B30" s="42" t="s">
        <v>103</v>
      </c>
      <c r="C30" s="49">
        <v>1</v>
      </c>
      <c r="D30" s="29"/>
      <c r="E30" s="34"/>
      <c r="F30" s="29"/>
      <c r="H30" s="29"/>
      <c r="I30" s="29"/>
    </row>
    <row r="31" spans="1:9">
      <c r="A31" s="51">
        <v>28</v>
      </c>
      <c r="B31" s="42" t="s">
        <v>104</v>
      </c>
      <c r="C31" s="49">
        <v>1</v>
      </c>
      <c r="D31" s="29"/>
      <c r="E31" s="34"/>
      <c r="F31" s="29"/>
      <c r="H31" s="29"/>
      <c r="I31" s="29"/>
    </row>
    <row r="32" spans="1:9">
      <c r="A32" s="51">
        <v>29</v>
      </c>
      <c r="B32" s="42" t="s">
        <v>105</v>
      </c>
      <c r="C32" s="49">
        <v>1</v>
      </c>
      <c r="D32" s="29"/>
      <c r="E32" s="34"/>
      <c r="F32" s="29"/>
      <c r="H32" s="29"/>
      <c r="I32" s="29"/>
    </row>
    <row r="33" spans="1:9">
      <c r="A33" s="51">
        <v>30</v>
      </c>
      <c r="B33" s="42" t="s">
        <v>106</v>
      </c>
      <c r="C33" s="49">
        <v>1</v>
      </c>
      <c r="D33" s="29"/>
      <c r="E33" s="34"/>
      <c r="F33" s="29"/>
      <c r="H33" s="29"/>
      <c r="I33" s="29"/>
    </row>
    <row r="34" spans="1:9">
      <c r="A34" s="51">
        <v>31</v>
      </c>
      <c r="B34" s="42" t="s">
        <v>107</v>
      </c>
      <c r="C34" s="49">
        <v>1</v>
      </c>
      <c r="D34" s="29"/>
      <c r="E34" s="34"/>
      <c r="F34" s="29"/>
      <c r="H34" s="29"/>
      <c r="I34" s="29"/>
    </row>
    <row r="35" spans="1:9">
      <c r="A35" s="51">
        <v>32</v>
      </c>
      <c r="B35" s="42" t="s">
        <v>108</v>
      </c>
      <c r="C35" s="49">
        <v>1</v>
      </c>
      <c r="D35" s="29"/>
      <c r="E35" s="34"/>
      <c r="F35" s="29"/>
      <c r="H35" s="29"/>
      <c r="I35" s="29"/>
    </row>
    <row r="36" spans="1:9">
      <c r="A36" s="51">
        <v>33</v>
      </c>
      <c r="B36" s="42" t="s">
        <v>109</v>
      </c>
      <c r="C36" s="49">
        <v>1</v>
      </c>
      <c r="D36" s="29"/>
      <c r="E36" s="34"/>
      <c r="F36" s="29"/>
      <c r="H36" s="29"/>
      <c r="I36" s="29"/>
    </row>
    <row r="37" spans="1:9">
      <c r="A37" s="51">
        <v>34</v>
      </c>
      <c r="B37" s="42" t="s">
        <v>110</v>
      </c>
      <c r="C37" s="49">
        <v>1</v>
      </c>
      <c r="D37" s="29"/>
      <c r="E37" s="34"/>
      <c r="F37" s="29"/>
      <c r="H37" s="29"/>
      <c r="I37" s="29"/>
    </row>
    <row r="38" spans="1:9">
      <c r="A38" s="51">
        <v>35</v>
      </c>
      <c r="B38" s="42" t="s">
        <v>111</v>
      </c>
      <c r="C38" s="49">
        <v>1</v>
      </c>
      <c r="D38" s="29"/>
      <c r="E38" s="34"/>
      <c r="F38" s="29"/>
      <c r="H38" s="29"/>
      <c r="I38" s="29"/>
    </row>
    <row r="39" spans="1:9">
      <c r="A39" s="51">
        <v>36</v>
      </c>
      <c r="B39" s="42" t="s">
        <v>112</v>
      </c>
      <c r="C39" s="49">
        <v>1</v>
      </c>
      <c r="D39" s="29"/>
      <c r="E39" s="34"/>
      <c r="F39" s="29"/>
      <c r="H39" s="29"/>
      <c r="I39" s="29"/>
    </row>
    <row r="40" spans="1:9">
      <c r="A40" s="51">
        <v>37</v>
      </c>
      <c r="B40" s="42" t="s">
        <v>113</v>
      </c>
      <c r="C40" s="49">
        <v>1</v>
      </c>
      <c r="D40" s="29"/>
      <c r="E40" s="34"/>
      <c r="F40" s="29"/>
      <c r="H40" s="29"/>
      <c r="I40" s="29"/>
    </row>
    <row r="41" spans="1:9">
      <c r="A41" s="51">
        <v>38</v>
      </c>
      <c r="B41" s="42" t="s">
        <v>114</v>
      </c>
      <c r="C41" s="49">
        <v>1</v>
      </c>
      <c r="D41" s="29"/>
      <c r="E41" s="34"/>
      <c r="F41" s="29"/>
      <c r="H41" s="29"/>
      <c r="I41" s="29"/>
    </row>
    <row r="42" spans="1:9">
      <c r="A42" s="51">
        <v>39</v>
      </c>
      <c r="B42" s="42" t="s">
        <v>115</v>
      </c>
      <c r="C42" s="49">
        <v>1</v>
      </c>
      <c r="D42" s="29"/>
      <c r="E42" s="34"/>
      <c r="F42" s="29"/>
      <c r="H42" s="29"/>
      <c r="I42" s="29"/>
    </row>
    <row r="43" spans="1:9">
      <c r="A43" s="51">
        <v>40</v>
      </c>
      <c r="B43" s="42" t="s">
        <v>116</v>
      </c>
      <c r="C43" s="49">
        <v>1</v>
      </c>
      <c r="D43" s="29"/>
      <c r="E43" s="34"/>
      <c r="F43" s="29"/>
      <c r="H43" s="29"/>
      <c r="I43" s="29"/>
    </row>
    <row r="44" spans="1:9">
      <c r="A44" s="51">
        <v>41</v>
      </c>
      <c r="B44" s="42" t="s">
        <v>117</v>
      </c>
      <c r="C44" s="49">
        <v>1</v>
      </c>
      <c r="D44" s="29"/>
      <c r="E44" s="34"/>
      <c r="F44" s="29"/>
      <c r="H44" s="29"/>
      <c r="I44" s="29"/>
    </row>
    <row r="45" spans="1:9">
      <c r="A45" s="51">
        <v>42</v>
      </c>
      <c r="B45" s="42" t="s">
        <v>118</v>
      </c>
      <c r="C45" s="49">
        <v>1</v>
      </c>
      <c r="D45" s="29"/>
      <c r="E45" s="34"/>
      <c r="F45" s="29"/>
      <c r="H45" s="29"/>
      <c r="I45" s="29"/>
    </row>
    <row r="46" spans="1:9">
      <c r="A46" s="51">
        <v>43</v>
      </c>
      <c r="B46" s="42" t="s">
        <v>119</v>
      </c>
      <c r="C46" s="49">
        <v>1</v>
      </c>
      <c r="D46" s="29"/>
      <c r="E46" s="34"/>
      <c r="F46" s="29"/>
      <c r="H46" s="29"/>
      <c r="I46" s="29"/>
    </row>
    <row r="47" spans="1:9">
      <c r="A47" s="51">
        <v>44</v>
      </c>
      <c r="B47" s="42" t="s">
        <v>120</v>
      </c>
      <c r="C47" s="49">
        <v>1</v>
      </c>
      <c r="D47" s="29"/>
      <c r="E47" s="34"/>
      <c r="F47" s="29"/>
      <c r="H47" s="29"/>
      <c r="I47" s="29"/>
    </row>
    <row r="48" spans="1:9">
      <c r="A48" s="51">
        <v>45</v>
      </c>
      <c r="B48" s="42" t="s">
        <v>121</v>
      </c>
      <c r="C48" s="49">
        <v>1</v>
      </c>
      <c r="D48" s="29"/>
      <c r="E48" s="34"/>
      <c r="F48" s="29"/>
      <c r="H48" s="29"/>
      <c r="I48" s="29"/>
    </row>
    <row r="49" spans="1:12">
      <c r="A49" s="51">
        <v>46</v>
      </c>
      <c r="B49" s="42" t="s">
        <v>122</v>
      </c>
      <c r="C49" s="49">
        <v>1</v>
      </c>
      <c r="D49" s="29"/>
      <c r="E49" s="34"/>
      <c r="F49" s="29"/>
      <c r="H49" s="29"/>
      <c r="I49" s="29"/>
    </row>
    <row r="50" spans="1:12">
      <c r="A50" s="51">
        <v>47</v>
      </c>
      <c r="B50" s="42" t="s">
        <v>123</v>
      </c>
      <c r="C50" s="49">
        <v>1</v>
      </c>
      <c r="D50" s="29"/>
      <c r="E50" s="34"/>
      <c r="F50" s="29"/>
      <c r="H50" s="29"/>
      <c r="I50" s="29"/>
    </row>
    <row r="51" spans="1:12">
      <c r="A51" s="51">
        <v>48</v>
      </c>
      <c r="B51" s="42" t="s">
        <v>124</v>
      </c>
      <c r="C51" s="49">
        <v>1</v>
      </c>
      <c r="D51" s="29"/>
      <c r="E51" s="34"/>
      <c r="F51" s="29"/>
      <c r="H51" s="29"/>
      <c r="I51" s="29"/>
    </row>
    <row r="52" spans="1:12">
      <c r="A52" s="51">
        <v>49</v>
      </c>
      <c r="B52" s="42" t="s">
        <v>125</v>
      </c>
      <c r="C52" s="49">
        <v>1</v>
      </c>
      <c r="D52" s="29"/>
      <c r="E52" s="34"/>
      <c r="F52" s="29"/>
      <c r="H52" s="29"/>
      <c r="I52" s="29"/>
    </row>
    <row r="53" spans="1:12">
      <c r="A53" s="51">
        <v>50</v>
      </c>
      <c r="B53" s="42" t="s">
        <v>126</v>
      </c>
      <c r="C53" s="49">
        <v>1</v>
      </c>
      <c r="D53" s="29"/>
      <c r="E53" s="34"/>
      <c r="F53" s="29"/>
      <c r="H53" s="29"/>
      <c r="I53" s="29"/>
    </row>
    <row r="54" spans="1:12">
      <c r="A54" s="51">
        <v>51</v>
      </c>
      <c r="B54" s="42" t="s">
        <v>127</v>
      </c>
      <c r="C54" s="49">
        <v>1</v>
      </c>
      <c r="D54" s="29"/>
      <c r="E54" s="34"/>
      <c r="F54" s="29"/>
      <c r="H54" s="29"/>
      <c r="I54" s="29"/>
    </row>
    <row r="55" spans="1:12">
      <c r="A55" s="51">
        <v>52</v>
      </c>
      <c r="B55" s="42" t="s">
        <v>128</v>
      </c>
      <c r="C55" s="49">
        <v>1</v>
      </c>
      <c r="D55" s="29"/>
      <c r="E55" s="34"/>
      <c r="F55" s="29"/>
      <c r="H55" s="29"/>
      <c r="I55" s="29"/>
    </row>
    <row r="56" spans="1:12">
      <c r="A56" s="51">
        <v>53</v>
      </c>
      <c r="B56" s="42" t="s">
        <v>129</v>
      </c>
      <c r="C56" s="49">
        <v>1</v>
      </c>
      <c r="D56" s="29"/>
      <c r="E56" s="34"/>
      <c r="F56" s="29"/>
      <c r="H56" s="29"/>
      <c r="I56" s="29"/>
    </row>
    <row r="57" spans="1:12" ht="14.4" thickBot="1">
      <c r="A57" s="52"/>
      <c r="B57" s="43"/>
      <c r="C57" s="50"/>
      <c r="D57" s="29"/>
      <c r="E57" s="34"/>
      <c r="F57" s="29"/>
      <c r="H57" s="29"/>
      <c r="I57" s="29"/>
    </row>
    <row r="58" spans="1:12" ht="15" thickTop="1" thickBot="1"/>
    <row r="59" spans="1:12" ht="45" customHeight="1" thickTop="1">
      <c r="A59" s="183" t="s">
        <v>54</v>
      </c>
      <c r="B59" s="184"/>
      <c r="C59" s="184"/>
      <c r="D59" s="184"/>
      <c r="E59" s="184"/>
      <c r="F59" s="184"/>
      <c r="G59" s="184"/>
      <c r="H59" s="184"/>
      <c r="I59" s="184"/>
      <c r="J59" s="184"/>
      <c r="K59" s="184"/>
      <c r="L59" s="185"/>
    </row>
    <row r="60" spans="1:12" ht="38.4" customHeight="1">
      <c r="A60" s="36" t="s">
        <v>33</v>
      </c>
      <c r="B60" s="37" t="s">
        <v>34</v>
      </c>
      <c r="C60" s="174" t="s">
        <v>47</v>
      </c>
      <c r="D60" s="175"/>
      <c r="E60" s="176"/>
      <c r="F60" s="37" t="s">
        <v>46</v>
      </c>
      <c r="G60" s="172" t="s">
        <v>40</v>
      </c>
      <c r="H60" s="172"/>
      <c r="I60" s="172"/>
      <c r="J60" s="172" t="s">
        <v>35</v>
      </c>
      <c r="K60" s="172"/>
      <c r="L60" s="182"/>
    </row>
    <row r="61" spans="1:12" ht="38.4" customHeight="1">
      <c r="A61" s="46" t="s">
        <v>48</v>
      </c>
      <c r="B61" s="47" t="s">
        <v>49</v>
      </c>
      <c r="C61" s="177" t="s">
        <v>50</v>
      </c>
      <c r="D61" s="177"/>
      <c r="E61" s="177"/>
      <c r="F61" s="47" t="s">
        <v>51</v>
      </c>
      <c r="G61" s="177" t="s">
        <v>52</v>
      </c>
      <c r="H61" s="177"/>
      <c r="I61" s="177"/>
      <c r="J61" s="177" t="s">
        <v>53</v>
      </c>
      <c r="K61" s="177"/>
      <c r="L61" s="186"/>
    </row>
    <row r="62" spans="1:12" ht="27.6" customHeight="1">
      <c r="A62" s="55">
        <v>1</v>
      </c>
      <c r="B62" s="48" t="s">
        <v>163</v>
      </c>
      <c r="C62" s="40">
        <v>4</v>
      </c>
      <c r="D62" s="44" t="s">
        <v>39</v>
      </c>
      <c r="E62" s="41">
        <v>5</v>
      </c>
      <c r="F62" s="113">
        <v>0</v>
      </c>
      <c r="G62" s="40">
        <v>75</v>
      </c>
      <c r="H62" s="44" t="s">
        <v>39</v>
      </c>
      <c r="I62" s="41">
        <v>100</v>
      </c>
      <c r="J62" s="40">
        <v>40</v>
      </c>
      <c r="K62" s="44" t="s">
        <v>39</v>
      </c>
      <c r="L62" s="45">
        <v>45</v>
      </c>
    </row>
    <row r="63" spans="1:12" ht="27.6">
      <c r="A63" s="173">
        <v>2</v>
      </c>
      <c r="B63" s="31" t="s">
        <v>155</v>
      </c>
      <c r="C63" s="40">
        <v>6</v>
      </c>
      <c r="D63" s="44" t="s">
        <v>39</v>
      </c>
      <c r="E63" s="41">
        <v>8</v>
      </c>
      <c r="F63" s="39">
        <v>5</v>
      </c>
      <c r="G63" s="40">
        <v>15</v>
      </c>
      <c r="H63" s="44" t="s">
        <v>39</v>
      </c>
      <c r="I63" s="41">
        <v>16</v>
      </c>
      <c r="J63" s="40">
        <v>32</v>
      </c>
      <c r="K63" s="44" t="s">
        <v>39</v>
      </c>
      <c r="L63" s="45">
        <v>40</v>
      </c>
    </row>
    <row r="64" spans="1:12" ht="27.6">
      <c r="A64" s="173"/>
      <c r="B64" s="31" t="s">
        <v>156</v>
      </c>
      <c r="C64" s="40">
        <v>8</v>
      </c>
      <c r="D64" s="44" t="s">
        <v>39</v>
      </c>
      <c r="E64" s="41">
        <v>10</v>
      </c>
      <c r="F64" s="39">
        <v>6</v>
      </c>
      <c r="G64" s="40">
        <v>17</v>
      </c>
      <c r="H64" s="44" t="s">
        <v>39</v>
      </c>
      <c r="I64" s="41">
        <v>18</v>
      </c>
      <c r="J64" s="40">
        <v>25</v>
      </c>
      <c r="K64" s="44" t="s">
        <v>39</v>
      </c>
      <c r="L64" s="45">
        <v>32</v>
      </c>
    </row>
    <row r="65" spans="1:22" ht="27.6">
      <c r="A65" s="173"/>
      <c r="B65" s="31" t="s">
        <v>157</v>
      </c>
      <c r="C65" s="40">
        <v>10</v>
      </c>
      <c r="D65" s="44" t="s">
        <v>39</v>
      </c>
      <c r="E65" s="41">
        <v>12</v>
      </c>
      <c r="F65" s="39">
        <v>7</v>
      </c>
      <c r="G65" s="40">
        <v>19</v>
      </c>
      <c r="H65" s="44" t="s">
        <v>39</v>
      </c>
      <c r="I65" s="41">
        <v>20</v>
      </c>
      <c r="J65" s="40">
        <v>20</v>
      </c>
      <c r="K65" s="44" t="s">
        <v>39</v>
      </c>
      <c r="L65" s="45">
        <v>25</v>
      </c>
    </row>
    <row r="66" spans="1:22" ht="27.6">
      <c r="A66" s="173">
        <v>3</v>
      </c>
      <c r="B66" s="31" t="s">
        <v>158</v>
      </c>
      <c r="C66" s="40">
        <v>6</v>
      </c>
      <c r="D66" s="44" t="s">
        <v>39</v>
      </c>
      <c r="E66" s="41">
        <v>8</v>
      </c>
      <c r="F66" s="39">
        <v>6</v>
      </c>
      <c r="G66" s="40">
        <v>11</v>
      </c>
      <c r="H66" s="44" t="s">
        <v>39</v>
      </c>
      <c r="I66" s="41">
        <v>12</v>
      </c>
      <c r="J66" s="40">
        <v>32</v>
      </c>
      <c r="K66" s="44" t="s">
        <v>39</v>
      </c>
      <c r="L66" s="45">
        <v>40</v>
      </c>
    </row>
    <row r="67" spans="1:22" ht="27.6">
      <c r="A67" s="173"/>
      <c r="B67" s="31" t="s">
        <v>159</v>
      </c>
      <c r="C67" s="40">
        <v>8</v>
      </c>
      <c r="D67" s="44" t="s">
        <v>39</v>
      </c>
      <c r="E67" s="41">
        <v>10</v>
      </c>
      <c r="F67" s="39">
        <v>8</v>
      </c>
      <c r="G67" s="40">
        <v>13</v>
      </c>
      <c r="H67" s="44" t="s">
        <v>39</v>
      </c>
      <c r="I67" s="41">
        <v>14</v>
      </c>
      <c r="J67" s="40">
        <v>25</v>
      </c>
      <c r="K67" s="44" t="s">
        <v>39</v>
      </c>
      <c r="L67" s="45">
        <v>32</v>
      </c>
    </row>
    <row r="68" spans="1:22" ht="27.6">
      <c r="A68" s="173"/>
      <c r="B68" s="31" t="s">
        <v>160</v>
      </c>
      <c r="C68" s="40">
        <v>10</v>
      </c>
      <c r="D68" s="44" t="s">
        <v>39</v>
      </c>
      <c r="E68" s="41">
        <v>12</v>
      </c>
      <c r="F68" s="39">
        <v>9</v>
      </c>
      <c r="G68" s="40">
        <v>15</v>
      </c>
      <c r="H68" s="44" t="s">
        <v>39</v>
      </c>
      <c r="I68" s="41">
        <v>16</v>
      </c>
      <c r="J68" s="40">
        <v>20</v>
      </c>
      <c r="K68" s="44" t="s">
        <v>39</v>
      </c>
      <c r="L68" s="45">
        <v>25</v>
      </c>
    </row>
    <row r="69" spans="1:22" ht="27.6">
      <c r="A69" s="173">
        <v>4</v>
      </c>
      <c r="B69" s="31" t="s">
        <v>152</v>
      </c>
      <c r="C69" s="40">
        <v>10</v>
      </c>
      <c r="D69" s="44" t="s">
        <v>39</v>
      </c>
      <c r="E69" s="41">
        <v>15</v>
      </c>
      <c r="F69" s="40">
        <v>0</v>
      </c>
      <c r="G69" s="40">
        <v>10</v>
      </c>
      <c r="H69" s="44" t="s">
        <v>39</v>
      </c>
      <c r="I69" s="41">
        <v>11</v>
      </c>
      <c r="J69" s="40">
        <v>50</v>
      </c>
      <c r="K69" s="44" t="s">
        <v>39</v>
      </c>
      <c r="L69" s="45">
        <v>60</v>
      </c>
    </row>
    <row r="70" spans="1:22" ht="27.6">
      <c r="A70" s="173"/>
      <c r="B70" s="31" t="s">
        <v>153</v>
      </c>
      <c r="C70" s="40">
        <v>15</v>
      </c>
      <c r="D70" s="44" t="s">
        <v>39</v>
      </c>
      <c r="E70" s="41">
        <v>20</v>
      </c>
      <c r="F70" s="40">
        <v>0</v>
      </c>
      <c r="G70" s="40">
        <v>12</v>
      </c>
      <c r="H70" s="44" t="s">
        <v>39</v>
      </c>
      <c r="I70" s="41">
        <v>13</v>
      </c>
      <c r="J70" s="40">
        <v>40</v>
      </c>
      <c r="K70" s="44" t="s">
        <v>39</v>
      </c>
      <c r="L70" s="45">
        <v>50</v>
      </c>
    </row>
    <row r="71" spans="1:22" ht="27.6">
      <c r="A71" s="173"/>
      <c r="B71" s="31" t="s">
        <v>154</v>
      </c>
      <c r="C71" s="40">
        <v>20</v>
      </c>
      <c r="D71" s="44" t="s">
        <v>39</v>
      </c>
      <c r="E71" s="41">
        <v>25</v>
      </c>
      <c r="F71" s="40">
        <v>0</v>
      </c>
      <c r="G71" s="40">
        <v>14</v>
      </c>
      <c r="H71" s="44" t="s">
        <v>39</v>
      </c>
      <c r="I71" s="41">
        <v>15</v>
      </c>
      <c r="J71" s="40">
        <v>30</v>
      </c>
      <c r="K71" s="44" t="s">
        <v>39</v>
      </c>
      <c r="L71" s="45">
        <v>40</v>
      </c>
      <c r="T71" s="110" t="s">
        <v>148</v>
      </c>
      <c r="U71" s="110"/>
      <c r="V71" s="110"/>
    </row>
    <row r="72" spans="1:22" ht="27.6">
      <c r="A72" s="173">
        <v>5</v>
      </c>
      <c r="B72" s="31" t="s">
        <v>149</v>
      </c>
      <c r="C72" s="40">
        <v>23</v>
      </c>
      <c r="D72" s="44" t="s">
        <v>39</v>
      </c>
      <c r="E72" s="41">
        <v>28</v>
      </c>
      <c r="F72" s="40">
        <v>5</v>
      </c>
      <c r="G72" s="40">
        <v>5</v>
      </c>
      <c r="H72" s="44" t="s">
        <v>39</v>
      </c>
      <c r="I72" s="41">
        <v>6</v>
      </c>
      <c r="J72" s="40">
        <v>80</v>
      </c>
      <c r="K72" s="44" t="s">
        <v>39</v>
      </c>
      <c r="L72" s="45">
        <v>90</v>
      </c>
      <c r="M72" s="25" t="s">
        <v>138</v>
      </c>
      <c r="N72" s="25">
        <v>25</v>
      </c>
      <c r="O72" s="109" t="s">
        <v>39</v>
      </c>
      <c r="P72" s="25">
        <v>40</v>
      </c>
      <c r="Q72" s="25" t="s">
        <v>139</v>
      </c>
      <c r="R72" s="25" t="s">
        <v>140</v>
      </c>
      <c r="S72" s="25" t="s">
        <v>142</v>
      </c>
      <c r="T72" s="111">
        <v>25</v>
      </c>
      <c r="U72" s="112" t="s">
        <v>39</v>
      </c>
      <c r="V72" s="111">
        <v>40</v>
      </c>
    </row>
    <row r="73" spans="1:22" ht="27.6">
      <c r="A73" s="173"/>
      <c r="B73" s="31" t="s">
        <v>150</v>
      </c>
      <c r="C73" s="40">
        <v>28</v>
      </c>
      <c r="D73" s="44" t="s">
        <v>39</v>
      </c>
      <c r="E73" s="41">
        <v>35</v>
      </c>
      <c r="F73" s="40">
        <v>5</v>
      </c>
      <c r="G73" s="40">
        <v>7</v>
      </c>
      <c r="H73" s="44" t="s">
        <v>39</v>
      </c>
      <c r="I73" s="41">
        <v>8</v>
      </c>
      <c r="J73" s="40">
        <v>70</v>
      </c>
      <c r="K73" s="44" t="s">
        <v>39</v>
      </c>
      <c r="L73" s="45">
        <v>80</v>
      </c>
      <c r="N73" s="25">
        <v>40</v>
      </c>
      <c r="O73" s="109" t="s">
        <v>39</v>
      </c>
      <c r="P73" s="25">
        <v>55</v>
      </c>
      <c r="Q73" s="25" t="s">
        <v>139</v>
      </c>
      <c r="R73" s="25" t="s">
        <v>141</v>
      </c>
      <c r="T73" s="111">
        <f>N73/2</f>
        <v>20</v>
      </c>
      <c r="U73" s="112" t="s">
        <v>39</v>
      </c>
      <c r="V73" s="111">
        <f>P73/2</f>
        <v>27.5</v>
      </c>
    </row>
    <row r="74" spans="1:22" ht="27.6">
      <c r="A74" s="173"/>
      <c r="B74" s="31" t="s">
        <v>151</v>
      </c>
      <c r="C74" s="40">
        <v>35</v>
      </c>
      <c r="D74" s="44" t="s">
        <v>39</v>
      </c>
      <c r="E74" s="41">
        <v>45</v>
      </c>
      <c r="F74" s="40">
        <v>5</v>
      </c>
      <c r="G74" s="40">
        <v>9</v>
      </c>
      <c r="H74" s="44" t="s">
        <v>39</v>
      </c>
      <c r="I74" s="41">
        <v>10</v>
      </c>
      <c r="J74" s="40">
        <v>60</v>
      </c>
      <c r="K74" s="44" t="s">
        <v>39</v>
      </c>
      <c r="L74" s="45">
        <v>70</v>
      </c>
      <c r="N74" s="25">
        <v>55</v>
      </c>
      <c r="O74" s="109" t="s">
        <v>39</v>
      </c>
      <c r="P74" s="25">
        <v>70</v>
      </c>
      <c r="Q74" s="25" t="s">
        <v>139</v>
      </c>
      <c r="R74" s="25" t="s">
        <v>143</v>
      </c>
      <c r="T74" s="111">
        <f>N74/3</f>
        <v>18.333333333333332</v>
      </c>
      <c r="U74" s="112" t="s">
        <v>39</v>
      </c>
      <c r="V74" s="111">
        <f>P74/3</f>
        <v>23.333333333333332</v>
      </c>
    </row>
    <row r="75" spans="1:22" ht="27.6">
      <c r="A75" s="173">
        <v>6</v>
      </c>
      <c r="B75" s="31" t="s">
        <v>161</v>
      </c>
      <c r="C75" s="40">
        <v>18</v>
      </c>
      <c r="D75" s="44" t="s">
        <v>39</v>
      </c>
      <c r="E75" s="41">
        <v>24</v>
      </c>
      <c r="F75" s="40">
        <v>5</v>
      </c>
      <c r="G75" s="40">
        <v>5</v>
      </c>
      <c r="H75" s="44" t="s">
        <v>39</v>
      </c>
      <c r="I75" s="41">
        <v>6</v>
      </c>
      <c r="J75" s="40">
        <v>80</v>
      </c>
      <c r="K75" s="44" t="s">
        <v>39</v>
      </c>
      <c r="L75" s="45">
        <v>90</v>
      </c>
      <c r="N75" s="25">
        <v>70</v>
      </c>
      <c r="O75" s="109" t="s">
        <v>39</v>
      </c>
      <c r="P75" s="25">
        <v>77</v>
      </c>
      <c r="Q75" s="25" t="s">
        <v>139</v>
      </c>
      <c r="R75" s="25" t="s">
        <v>144</v>
      </c>
      <c r="T75" s="111">
        <f>N75/3</f>
        <v>23.333333333333332</v>
      </c>
      <c r="U75" s="112" t="s">
        <v>39</v>
      </c>
      <c r="V75" s="111">
        <f>P75/3</f>
        <v>25.666666666666668</v>
      </c>
    </row>
    <row r="76" spans="1:22" ht="27.6">
      <c r="A76" s="173"/>
      <c r="B76" s="31" t="s">
        <v>162</v>
      </c>
      <c r="C76" s="40">
        <v>24</v>
      </c>
      <c r="D76" s="44" t="s">
        <v>39</v>
      </c>
      <c r="E76" s="41">
        <v>30</v>
      </c>
      <c r="F76" s="40">
        <v>5</v>
      </c>
      <c r="G76" s="40">
        <v>7</v>
      </c>
      <c r="H76" s="44" t="s">
        <v>39</v>
      </c>
      <c r="I76" s="41">
        <v>8</v>
      </c>
      <c r="J76" s="40">
        <v>70</v>
      </c>
      <c r="K76" s="44" t="s">
        <v>39</v>
      </c>
      <c r="L76" s="45">
        <v>80</v>
      </c>
      <c r="M76" s="25" t="s">
        <v>145</v>
      </c>
      <c r="N76" s="25">
        <v>25</v>
      </c>
      <c r="O76" s="109" t="s">
        <v>39</v>
      </c>
      <c r="P76" s="25">
        <v>45</v>
      </c>
      <c r="Q76" s="25" t="s">
        <v>139</v>
      </c>
      <c r="R76" s="25" t="s">
        <v>140</v>
      </c>
      <c r="T76" s="111">
        <f>N76/1</f>
        <v>25</v>
      </c>
      <c r="U76" s="112" t="s">
        <v>39</v>
      </c>
      <c r="V76" s="111">
        <f>P76/1</f>
        <v>45</v>
      </c>
    </row>
    <row r="77" spans="1:22" ht="27.6" customHeight="1">
      <c r="A77" s="30">
        <v>7</v>
      </c>
      <c r="B77" s="31" t="s">
        <v>36</v>
      </c>
      <c r="C77" s="178" t="s">
        <v>37</v>
      </c>
      <c r="D77" s="179"/>
      <c r="E77" s="179"/>
      <c r="F77" s="179"/>
      <c r="G77" s="179"/>
      <c r="H77" s="179"/>
      <c r="I77" s="179"/>
      <c r="J77" s="179"/>
      <c r="K77" s="179"/>
      <c r="L77" s="180"/>
      <c r="N77" s="25">
        <v>45</v>
      </c>
      <c r="O77" s="109" t="s">
        <v>39</v>
      </c>
      <c r="P77" s="25">
        <v>70</v>
      </c>
      <c r="Q77" s="25" t="s">
        <v>139</v>
      </c>
      <c r="R77" s="25" t="s">
        <v>141</v>
      </c>
      <c r="T77" s="111">
        <f>N77/2</f>
        <v>22.5</v>
      </c>
      <c r="U77" s="112" t="s">
        <v>39</v>
      </c>
      <c r="V77" s="111">
        <f>P77/2</f>
        <v>35</v>
      </c>
    </row>
    <row r="78" spans="1:22" ht="27.6" customHeight="1">
      <c r="A78" s="30">
        <v>8</v>
      </c>
      <c r="B78" s="31" t="s">
        <v>164</v>
      </c>
      <c r="C78" s="178" t="s">
        <v>38</v>
      </c>
      <c r="D78" s="179"/>
      <c r="E78" s="179"/>
      <c r="F78" s="179"/>
      <c r="G78" s="179"/>
      <c r="H78" s="179"/>
      <c r="I78" s="181"/>
      <c r="J78" s="40">
        <v>40</v>
      </c>
      <c r="K78" s="44" t="s">
        <v>39</v>
      </c>
      <c r="L78" s="60">
        <v>50</v>
      </c>
      <c r="N78" s="25">
        <v>70</v>
      </c>
      <c r="O78" s="109" t="s">
        <v>39</v>
      </c>
      <c r="P78" s="25">
        <v>100</v>
      </c>
      <c r="Q78" s="25" t="s">
        <v>139</v>
      </c>
      <c r="R78" s="25" t="s">
        <v>143</v>
      </c>
      <c r="T78" s="111">
        <f>N78/3</f>
        <v>23.333333333333332</v>
      </c>
      <c r="U78" s="112" t="s">
        <v>39</v>
      </c>
      <c r="V78" s="111">
        <f>P78/3</f>
        <v>33.333333333333336</v>
      </c>
    </row>
    <row r="79" spans="1:22" ht="27.6" customHeight="1">
      <c r="A79" s="35">
        <v>9</v>
      </c>
      <c r="B79" s="54" t="s">
        <v>55</v>
      </c>
      <c r="C79" s="66"/>
      <c r="D79" s="64"/>
      <c r="E79" s="65"/>
      <c r="F79" s="63"/>
      <c r="G79" s="66"/>
      <c r="H79" s="67"/>
      <c r="I79" s="68"/>
      <c r="J79" s="69"/>
      <c r="K79" s="70"/>
      <c r="L79" s="62"/>
      <c r="N79" s="25">
        <v>100</v>
      </c>
      <c r="O79" s="109" t="s">
        <v>39</v>
      </c>
      <c r="P79" s="25">
        <v>125</v>
      </c>
      <c r="Q79" s="25" t="s">
        <v>139</v>
      </c>
      <c r="R79" s="25" t="s">
        <v>144</v>
      </c>
      <c r="T79" s="111">
        <f>N79/4</f>
        <v>25</v>
      </c>
      <c r="U79" s="112" t="s">
        <v>39</v>
      </c>
      <c r="V79" s="111">
        <f>P79/4</f>
        <v>31.25</v>
      </c>
    </row>
    <row r="80" spans="1:22" ht="27.6" customHeight="1" thickBot="1">
      <c r="A80" s="32"/>
      <c r="B80" s="33"/>
      <c r="C80" s="56"/>
      <c r="D80" s="57"/>
      <c r="E80" s="58"/>
      <c r="F80" s="56"/>
      <c r="G80" s="56"/>
      <c r="H80" s="57"/>
      <c r="I80" s="58"/>
      <c r="J80" s="56"/>
      <c r="K80" s="57"/>
      <c r="L80" s="59"/>
      <c r="N80" s="25" t="s">
        <v>146</v>
      </c>
      <c r="R80" s="25" t="s">
        <v>147</v>
      </c>
      <c r="T80" s="111">
        <f>125/5</f>
        <v>25</v>
      </c>
      <c r="U80" s="112" t="s">
        <v>39</v>
      </c>
      <c r="V80" s="111"/>
    </row>
    <row r="81" spans="15:22" ht="14.4" thickTop="1">
      <c r="O81" s="109"/>
      <c r="T81" s="111"/>
      <c r="U81" s="112"/>
      <c r="V81" s="111"/>
    </row>
    <row r="82" spans="15:22">
      <c r="O82" s="109"/>
      <c r="T82" s="111"/>
      <c r="U82" s="112"/>
      <c r="V82" s="111"/>
    </row>
    <row r="83" spans="15:22">
      <c r="T83" s="111"/>
      <c r="U83" s="112"/>
      <c r="V83" s="111"/>
    </row>
  </sheetData>
  <mergeCells count="15">
    <mergeCell ref="A72:A74"/>
    <mergeCell ref="C77:L77"/>
    <mergeCell ref="C78:I78"/>
    <mergeCell ref="J60:L60"/>
    <mergeCell ref="A59:L59"/>
    <mergeCell ref="A75:A76"/>
    <mergeCell ref="J61:L61"/>
    <mergeCell ref="A2:C2"/>
    <mergeCell ref="G60:I60"/>
    <mergeCell ref="A63:A65"/>
    <mergeCell ref="A66:A68"/>
    <mergeCell ref="A69:A71"/>
    <mergeCell ref="C60:E60"/>
    <mergeCell ref="C61:E61"/>
    <mergeCell ref="G61:I61"/>
  </mergeCells>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39F-932A-49E3-9AA2-B6A09ABB60ED}">
  <dimension ref="A1:AN14"/>
  <sheetViews>
    <sheetView tabSelected="1" zoomScale="80" zoomScaleNormal="80" workbookViewId="0">
      <selection activeCell="D22" sqref="D22"/>
    </sheetView>
  </sheetViews>
  <sheetFormatPr defaultRowHeight="16.8"/>
  <cols>
    <col min="1" max="1" width="24.109375" style="26" bestFit="1" customWidth="1"/>
    <col min="2" max="2" width="29.44140625" style="26" bestFit="1" customWidth="1"/>
    <col min="3" max="3" width="29.5546875" style="26" bestFit="1" customWidth="1"/>
    <col min="4" max="4" width="10.109375" style="26" bestFit="1" customWidth="1"/>
    <col min="5" max="5" width="7.44140625" style="26" bestFit="1" customWidth="1"/>
    <col min="6" max="6" width="10.109375" style="26" bestFit="1" customWidth="1"/>
    <col min="7" max="7" width="6" style="26" bestFit="1" customWidth="1"/>
    <col min="8" max="8" width="2.33203125" style="26" bestFit="1" customWidth="1"/>
    <col min="9" max="9" width="6" style="26" bestFit="1" customWidth="1"/>
    <col min="10" max="10" width="5.77734375" style="26" customWidth="1"/>
    <col min="11" max="11" width="6.33203125" style="26" bestFit="1" customWidth="1"/>
    <col min="12" max="12" width="6" style="26" bestFit="1" customWidth="1"/>
    <col min="13" max="13" width="2.33203125" style="26" bestFit="1" customWidth="1"/>
    <col min="14" max="14" width="6" style="26" bestFit="1" customWidth="1"/>
    <col min="15" max="15" width="8.109375" style="26" customWidth="1"/>
    <col min="16" max="16" width="2.33203125" style="26" customWidth="1"/>
    <col min="17" max="17" width="8.21875" style="26" bestFit="1" customWidth="1"/>
    <col min="18" max="18" width="8.88671875" style="26"/>
    <col min="41" max="16384" width="8.88671875" style="26"/>
  </cols>
  <sheetData>
    <row r="1" spans="1:17">
      <c r="F1" s="27"/>
      <c r="G1" s="27"/>
      <c r="H1" s="27"/>
      <c r="I1" s="27"/>
      <c r="J1" s="27"/>
    </row>
    <row r="2" spans="1:17" ht="19.8" customHeight="1">
      <c r="A2" s="187" t="s">
        <v>28</v>
      </c>
      <c r="B2" s="189"/>
      <c r="C2" s="188"/>
      <c r="D2" s="190" t="s">
        <v>165</v>
      </c>
      <c r="E2" s="190" t="s">
        <v>166</v>
      </c>
      <c r="F2" s="187" t="s">
        <v>167</v>
      </c>
      <c r="G2" s="189"/>
      <c r="H2" s="189"/>
      <c r="I2" s="188"/>
      <c r="J2" s="190" t="s">
        <v>168</v>
      </c>
      <c r="K2" s="199" t="s">
        <v>169</v>
      </c>
      <c r="L2" s="198" t="s">
        <v>170</v>
      </c>
      <c r="M2" s="193"/>
      <c r="N2" s="194"/>
      <c r="O2" s="192" t="s">
        <v>29</v>
      </c>
      <c r="P2" s="193"/>
      <c r="Q2" s="194"/>
    </row>
    <row r="3" spans="1:17" ht="23.4">
      <c r="A3" s="187" t="s">
        <v>44</v>
      </c>
      <c r="B3" s="188"/>
      <c r="C3" s="114" t="s">
        <v>45</v>
      </c>
      <c r="D3" s="191"/>
      <c r="E3" s="191"/>
      <c r="F3" s="115" t="s">
        <v>171</v>
      </c>
      <c r="G3" s="187" t="s">
        <v>172</v>
      </c>
      <c r="H3" s="189"/>
      <c r="I3" s="188"/>
      <c r="J3" s="191"/>
      <c r="K3" s="191"/>
      <c r="L3" s="195"/>
      <c r="M3" s="196"/>
      <c r="N3" s="197"/>
      <c r="O3" s="195"/>
      <c r="P3" s="196"/>
      <c r="Q3" s="197"/>
    </row>
    <row r="4" spans="1:17" ht="38.4">
      <c r="A4" s="116" t="s">
        <v>80</v>
      </c>
      <c r="B4" s="117" t="s">
        <v>173</v>
      </c>
      <c r="C4" s="118" t="s">
        <v>55</v>
      </c>
      <c r="D4" s="119"/>
      <c r="E4" s="119"/>
      <c r="F4" s="120"/>
      <c r="G4" s="121" t="str">
        <f>IFERROR(IF(C4="Không tính","",VLOOKUP(C4,Default!$B$63:$I$80,2,0)),"")</f>
        <v/>
      </c>
      <c r="H4" s="122" t="str">
        <f t="shared" ref="H4:H13" si="0">IF(C4="Không tính","",IF(C4="","","÷"))</f>
        <v/>
      </c>
      <c r="I4" s="123" t="str">
        <f>IFERROR(IF(C4="Không tính","",VLOOKUP(C4,Default!$B$63:$I$80,4,0)),"")</f>
        <v/>
      </c>
      <c r="J4" s="124" t="str">
        <f>IFERROR(IF(C4="Không tính","",VLOOKUP(A4,Default!$B$4:$C$57,2,0)),"")</f>
        <v/>
      </c>
      <c r="K4" s="125" t="str">
        <f>IFERROR(IF(C4="Không tính","",VLOOKUP(C4,Default!$B$63:$I$80,5,0)),"")</f>
        <v/>
      </c>
      <c r="L4" s="125" t="str">
        <f>IFERROR(IF(C4="Không tính","",VLOOKUP(C4,Default!$B$63:$I$80,6,0)),"")</f>
        <v/>
      </c>
      <c r="M4" s="122" t="str">
        <f t="shared" ref="M4:M13" si="1">IF(C4="Không tính","",IF(C4="","","÷"))</f>
        <v/>
      </c>
      <c r="N4" s="126" t="str">
        <f>IFERROR(IF(C4="Không tính","",VLOOKUP(C4,Default!$B$63:$I$80,8,0)),"")</f>
        <v/>
      </c>
      <c r="O4" s="127" t="str">
        <f t="shared" ref="O4:O13" si="2">IFERROR(ROUND(((F4/I4)*J4)*(1+K4%)*(L4%/5),1),"")</f>
        <v/>
      </c>
      <c r="P4" s="122" t="str">
        <f t="shared" ref="P4:P13" si="3">IF(C4="Không tính","",IF(C4="","","÷"))</f>
        <v/>
      </c>
      <c r="Q4" s="128" t="str">
        <f t="shared" ref="Q4:Q13" si="4">IFERROR(ROUND(((F4/G4)*J4)*(1+K4%)*(N4%/5),1),"")</f>
        <v/>
      </c>
    </row>
    <row r="5" spans="1:17" ht="38.4">
      <c r="A5" s="116" t="s">
        <v>174</v>
      </c>
      <c r="B5" s="117" t="s">
        <v>175</v>
      </c>
      <c r="C5" s="118" t="s">
        <v>55</v>
      </c>
      <c r="D5" s="120"/>
      <c r="E5" s="129"/>
      <c r="F5" s="120"/>
      <c r="G5" s="121" t="str">
        <f>IFERROR(IF(C5="Không tính","",VLOOKUP(C5,Default!$B$63:$I$80,2,0)),"")</f>
        <v/>
      </c>
      <c r="H5" s="122" t="str">
        <f t="shared" si="0"/>
        <v/>
      </c>
      <c r="I5" s="123" t="str">
        <f>IFERROR(IF(C5="Không tính","",VLOOKUP(C5,Default!$B$63:$I$80,4,0)),"")</f>
        <v/>
      </c>
      <c r="J5" s="130" t="str">
        <f>IFERROR(IF(C5="Không tính","",VLOOKUP(A5,Default!$B$4:$C$57,2,0)),"")</f>
        <v/>
      </c>
      <c r="K5" s="125" t="str">
        <f>IFERROR(IF(C5="Không tính","",VLOOKUP(C5,Default!$B$63:$I$80,5,0)),"")</f>
        <v/>
      </c>
      <c r="L5" s="125" t="str">
        <f>IFERROR(IF(C5="Không tính","",VLOOKUP(C5,Default!$B$63:$I$80,6,0)),"")</f>
        <v/>
      </c>
      <c r="M5" s="122" t="str">
        <f t="shared" si="1"/>
        <v/>
      </c>
      <c r="N5" s="126" t="str">
        <f>IFERROR(IF(C5="Không tính","",VLOOKUP(C5,Default!$B$63:$I$80,8,0)),"")</f>
        <v/>
      </c>
      <c r="O5" s="127" t="str">
        <f t="shared" si="2"/>
        <v/>
      </c>
      <c r="P5" s="122" t="str">
        <f t="shared" si="3"/>
        <v/>
      </c>
      <c r="Q5" s="128" t="str">
        <f t="shared" si="4"/>
        <v/>
      </c>
    </row>
    <row r="6" spans="1:17" ht="42">
      <c r="A6" s="116" t="s">
        <v>88</v>
      </c>
      <c r="B6" s="117" t="s">
        <v>176</v>
      </c>
      <c r="C6" s="118" t="s">
        <v>155</v>
      </c>
      <c r="D6" s="120"/>
      <c r="E6" s="129"/>
      <c r="F6" s="120">
        <f>570*4</f>
        <v>2280</v>
      </c>
      <c r="G6" s="121">
        <f>IFERROR(IF(C6="Không tính","",VLOOKUP(C6,Default!$B$63:$I$80,2,0)),"")</f>
        <v>6</v>
      </c>
      <c r="H6" s="122" t="str">
        <f t="shared" si="0"/>
        <v>÷</v>
      </c>
      <c r="I6" s="123">
        <f>IFERROR(IF(C6="Không tính","",VLOOKUP(C6,Default!$B$63:$I$80,4,0)),"")</f>
        <v>8</v>
      </c>
      <c r="J6" s="130">
        <f>IFERROR(IF(C6="Không tính","",VLOOKUP(A6,Default!$B$4:$C$57,2,0)),"")</f>
        <v>1</v>
      </c>
      <c r="K6" s="125">
        <f>IFERROR(IF(C6="Không tính","",VLOOKUP(C6,Default!$B$63:$I$80,5,0)),"")</f>
        <v>5</v>
      </c>
      <c r="L6" s="125">
        <f>IFERROR(IF(C6="Không tính","",VLOOKUP(C6,Default!$B$63:$I$80,6,0)),"")</f>
        <v>15</v>
      </c>
      <c r="M6" s="122" t="str">
        <f t="shared" si="1"/>
        <v>÷</v>
      </c>
      <c r="N6" s="126">
        <f>IFERROR(IF(C6="Không tính","",VLOOKUP(C6,Default!$B$63:$I$80,8,0)),"")</f>
        <v>16</v>
      </c>
      <c r="O6" s="127">
        <f>IFERROR(ROUND(((F6/I6)*J6)*(1+K6%)*(L6%/5),1),"")</f>
        <v>9</v>
      </c>
      <c r="P6" s="122" t="str">
        <f t="shared" si="3"/>
        <v>÷</v>
      </c>
      <c r="Q6" s="128">
        <f t="shared" si="4"/>
        <v>12.8</v>
      </c>
    </row>
    <row r="7" spans="1:17" ht="42">
      <c r="A7" s="116" t="s">
        <v>88</v>
      </c>
      <c r="B7" s="117" t="s">
        <v>177</v>
      </c>
      <c r="C7" s="118" t="s">
        <v>149</v>
      </c>
      <c r="D7" s="132"/>
      <c r="E7" s="132"/>
      <c r="F7" s="120">
        <f>570*16</f>
        <v>9120</v>
      </c>
      <c r="G7" s="121">
        <f>IFERROR(IF(C7="Không tính","",VLOOKUP(C7,Default!$B$63:$I$80,2,0)),"")</f>
        <v>23</v>
      </c>
      <c r="H7" s="122" t="str">
        <f t="shared" si="0"/>
        <v>÷</v>
      </c>
      <c r="I7" s="123">
        <f>IFERROR(IF(C7="Không tính","",VLOOKUP(C7,Default!$B$63:$I$80,4,0)),"")</f>
        <v>28</v>
      </c>
      <c r="J7" s="130">
        <f>IFERROR(IF(C7="Không tính","",VLOOKUP(A7,Default!$B$4:$C$57,2,0)),"")</f>
        <v>1</v>
      </c>
      <c r="K7" s="125">
        <f>IFERROR(IF(C7="Không tính","",VLOOKUP(C7,Default!$B$63:$I$80,5,0)),"")</f>
        <v>5</v>
      </c>
      <c r="L7" s="125">
        <f>IFERROR(IF(C7="Không tính","",VLOOKUP(C7,Default!$B$63:$I$80,6,0)),"")</f>
        <v>5</v>
      </c>
      <c r="M7" s="122" t="str">
        <f t="shared" si="1"/>
        <v>÷</v>
      </c>
      <c r="N7" s="126">
        <f>IFERROR(IF(C7="Không tính","",VLOOKUP(C7,Default!$B$63:$I$80,8,0)),"")</f>
        <v>6</v>
      </c>
      <c r="O7" s="127">
        <f t="shared" si="2"/>
        <v>3.4</v>
      </c>
      <c r="P7" s="122" t="str">
        <f t="shared" si="3"/>
        <v>÷</v>
      </c>
      <c r="Q7" s="128">
        <f t="shared" si="4"/>
        <v>5</v>
      </c>
    </row>
    <row r="8" spans="1:17" ht="19.2" hidden="1">
      <c r="A8" s="116"/>
      <c r="B8" s="131"/>
      <c r="C8" s="118"/>
      <c r="D8" s="132"/>
      <c r="E8" s="132"/>
      <c r="F8" s="120"/>
      <c r="G8" s="121" t="str">
        <f>IFERROR(IF(C8="Không tính","",VLOOKUP(C8,Default!$B$63:$I$80,2,0)),"")</f>
        <v/>
      </c>
      <c r="H8" s="122" t="str">
        <f t="shared" si="0"/>
        <v/>
      </c>
      <c r="I8" s="123" t="str">
        <f>IFERROR(IF(C8="Không tính","",VLOOKUP(C8,Default!$B$63:$I$80,4,0)),"")</f>
        <v/>
      </c>
      <c r="J8" s="130" t="str">
        <f>IFERROR(IF(C8="Không tính","",VLOOKUP(A8,Default!$B$4:$C$57,2,0)),"")</f>
        <v/>
      </c>
      <c r="K8" s="125" t="str">
        <f>IFERROR(IF(C8="Không tính","",VLOOKUP(C8,Default!$B$63:$I$80,5,0)),"")</f>
        <v/>
      </c>
      <c r="L8" s="125" t="str">
        <f>IFERROR(IF(C8="Không tính","",VLOOKUP(C8,Default!$B$63:$I$80,6,0)),"")</f>
        <v/>
      </c>
      <c r="M8" s="122" t="str">
        <f t="shared" si="1"/>
        <v/>
      </c>
      <c r="N8" s="126" t="str">
        <f>IFERROR(IF(C8="Không tính","",VLOOKUP(C8,Default!$B$63:$I$80,8,0)),"")</f>
        <v/>
      </c>
      <c r="O8" s="127" t="str">
        <f t="shared" si="2"/>
        <v/>
      </c>
      <c r="P8" s="122" t="str">
        <f t="shared" si="3"/>
        <v/>
      </c>
      <c r="Q8" s="128" t="str">
        <f t="shared" si="4"/>
        <v/>
      </c>
    </row>
    <row r="9" spans="1:17" ht="19.2" hidden="1">
      <c r="A9" s="116"/>
      <c r="B9" s="131"/>
      <c r="C9" s="118"/>
      <c r="D9" s="132"/>
      <c r="E9" s="132"/>
      <c r="F9" s="120"/>
      <c r="G9" s="121" t="str">
        <f>IFERROR(IF(C9="Không tính","",VLOOKUP(C9,Default!$B$63:$I$80,2,0)),"")</f>
        <v/>
      </c>
      <c r="H9" s="122" t="str">
        <f t="shared" si="0"/>
        <v/>
      </c>
      <c r="I9" s="123" t="str">
        <f>IFERROR(IF(C9="Không tính","",VLOOKUP(C9,Default!$B$63:$I$80,4,0)),"")</f>
        <v/>
      </c>
      <c r="J9" s="130" t="str">
        <f>IFERROR(IF(C9="Không tính","",VLOOKUP(A9,Default!$B$4:$C$57,2,0)),"")</f>
        <v/>
      </c>
      <c r="K9" s="125" t="str">
        <f>IFERROR(IF(C9="Không tính","",VLOOKUP(C9,Default!$B$63:$I$80,5,0)),"")</f>
        <v/>
      </c>
      <c r="L9" s="125" t="str">
        <f>IFERROR(IF(C9="Không tính","",VLOOKUP(C9,Default!$B$63:$I$80,6,0)),"")</f>
        <v/>
      </c>
      <c r="M9" s="122" t="str">
        <f t="shared" si="1"/>
        <v/>
      </c>
      <c r="N9" s="126" t="str">
        <f>IFERROR(IF(C9="Không tính","",VLOOKUP(C9,Default!$B$63:$I$80,8,0)),"")</f>
        <v/>
      </c>
      <c r="O9" s="127" t="str">
        <f t="shared" si="2"/>
        <v/>
      </c>
      <c r="P9" s="122" t="str">
        <f t="shared" si="3"/>
        <v/>
      </c>
      <c r="Q9" s="128" t="str">
        <f t="shared" si="4"/>
        <v/>
      </c>
    </row>
    <row r="10" spans="1:17" ht="19.2" hidden="1">
      <c r="A10" s="116"/>
      <c r="B10" s="131"/>
      <c r="C10" s="118"/>
      <c r="D10" s="132"/>
      <c r="E10" s="132"/>
      <c r="F10" s="120"/>
      <c r="G10" s="121" t="str">
        <f>IFERROR(IF(C10="Không tính","",VLOOKUP(C10,Default!$B$63:$I$80,2,0)),"")</f>
        <v/>
      </c>
      <c r="H10" s="122" t="str">
        <f t="shared" si="0"/>
        <v/>
      </c>
      <c r="I10" s="123" t="str">
        <f>IFERROR(IF(C10="Không tính","",VLOOKUP(C10,Default!$B$63:$I$80,4,0)),"")</f>
        <v/>
      </c>
      <c r="J10" s="130" t="str">
        <f>IFERROR(IF(C10="Không tính","",VLOOKUP(A10,Default!$B$4:$C$57,2,0)),"")</f>
        <v/>
      </c>
      <c r="K10" s="125" t="str">
        <f>IFERROR(IF(C10="Không tính","",VLOOKUP(C10,Default!$B$63:$I$80,5,0)),"")</f>
        <v/>
      </c>
      <c r="L10" s="125" t="str">
        <f>IFERROR(IF(C10="Không tính","",VLOOKUP(C10,Default!$B$63:$I$80,6,0)),"")</f>
        <v/>
      </c>
      <c r="M10" s="122" t="str">
        <f t="shared" si="1"/>
        <v/>
      </c>
      <c r="N10" s="126" t="str">
        <f>IFERROR(IF(C10="Không tính","",VLOOKUP(C10,Default!$B$63:$I$80,8,0)),"")</f>
        <v/>
      </c>
      <c r="O10" s="127" t="str">
        <f t="shared" si="2"/>
        <v/>
      </c>
      <c r="P10" s="122" t="str">
        <f t="shared" si="3"/>
        <v/>
      </c>
      <c r="Q10" s="128" t="str">
        <f t="shared" si="4"/>
        <v/>
      </c>
    </row>
    <row r="11" spans="1:17" ht="19.2" hidden="1">
      <c r="A11" s="116"/>
      <c r="B11" s="131"/>
      <c r="C11" s="118"/>
      <c r="D11" s="132"/>
      <c r="E11" s="132"/>
      <c r="F11" s="120"/>
      <c r="G11" s="121" t="str">
        <f>IFERROR(IF(C11="Không tính","",VLOOKUP(C11,Default!$B$63:$I$80,2,0)),"")</f>
        <v/>
      </c>
      <c r="H11" s="122" t="str">
        <f t="shared" si="0"/>
        <v/>
      </c>
      <c r="I11" s="123" t="str">
        <f>IFERROR(IF(C11="Không tính","",VLOOKUP(C11,Default!$B$63:$I$80,4,0)),"")</f>
        <v/>
      </c>
      <c r="J11" s="130" t="str">
        <f>IFERROR(IF(C11="Không tính","",VLOOKUP(A11,Default!$B$4:$C$57,2,0)),"")</f>
        <v/>
      </c>
      <c r="K11" s="125" t="str">
        <f>IFERROR(IF(C11="Không tính","",VLOOKUP(C11,Default!$B$63:$I$80,5,0)),"")</f>
        <v/>
      </c>
      <c r="L11" s="125" t="str">
        <f>IFERROR(IF(C11="Không tính","",VLOOKUP(C11,Default!$B$63:$I$80,6,0)),"")</f>
        <v/>
      </c>
      <c r="M11" s="122" t="str">
        <f t="shared" si="1"/>
        <v/>
      </c>
      <c r="N11" s="126" t="str">
        <f>IFERROR(IF(C11="Không tính","",VLOOKUP(C11,Default!$B$63:$I$80,8,0)),"")</f>
        <v/>
      </c>
      <c r="O11" s="127" t="str">
        <f t="shared" si="2"/>
        <v/>
      </c>
      <c r="P11" s="122" t="str">
        <f t="shared" si="3"/>
        <v/>
      </c>
      <c r="Q11" s="128" t="str">
        <f t="shared" si="4"/>
        <v/>
      </c>
    </row>
    <row r="12" spans="1:17" ht="19.2" hidden="1">
      <c r="A12" s="116"/>
      <c r="B12" s="131"/>
      <c r="C12" s="118"/>
      <c r="D12" s="132"/>
      <c r="E12" s="132"/>
      <c r="F12" s="120"/>
      <c r="G12" s="121" t="str">
        <f>IFERROR(IF(C12="Không tính","",VLOOKUP(C12,Default!$B$63:$I$80,2,0)),"")</f>
        <v/>
      </c>
      <c r="H12" s="122" t="str">
        <f t="shared" si="0"/>
        <v/>
      </c>
      <c r="I12" s="123" t="str">
        <f>IFERROR(IF(C12="Không tính","",VLOOKUP(C12,Default!$B$63:$I$80,4,0)),"")</f>
        <v/>
      </c>
      <c r="J12" s="130" t="str">
        <f>IFERROR(IF(C12="Không tính","",VLOOKUP(A12,Default!$B$4:$C$57,2,0)),"")</f>
        <v/>
      </c>
      <c r="K12" s="125" t="str">
        <f>IFERROR(IF(C12="Không tính","",VLOOKUP(C12,Default!$B$63:$I$80,5,0)),"")</f>
        <v/>
      </c>
      <c r="L12" s="125" t="str">
        <f>IFERROR(IF(C12="Không tính","",VLOOKUP(C12,Default!$B$63:$I$80,6,0)),"")</f>
        <v/>
      </c>
      <c r="M12" s="122" t="str">
        <f t="shared" si="1"/>
        <v/>
      </c>
      <c r="N12" s="126" t="str">
        <f>IFERROR(IF(C12="Không tính","",VLOOKUP(C12,Default!$B$63:$I$80,8,0)),"")</f>
        <v/>
      </c>
      <c r="O12" s="127" t="str">
        <f t="shared" si="2"/>
        <v/>
      </c>
      <c r="P12" s="122" t="str">
        <f t="shared" si="3"/>
        <v/>
      </c>
      <c r="Q12" s="128" t="str">
        <f t="shared" si="4"/>
        <v/>
      </c>
    </row>
    <row r="13" spans="1:17" ht="19.2" hidden="1">
      <c r="A13" s="116"/>
      <c r="B13" s="131"/>
      <c r="C13" s="118"/>
      <c r="D13" s="132"/>
      <c r="E13" s="132"/>
      <c r="F13" s="120"/>
      <c r="G13" s="121" t="str">
        <f>IFERROR(IF(C13="Không tính","",VLOOKUP(C13,Default!$B$63:$I$80,2,0)),"")</f>
        <v/>
      </c>
      <c r="H13" s="122" t="str">
        <f t="shared" si="0"/>
        <v/>
      </c>
      <c r="I13" s="123" t="str">
        <f>IFERROR(IF(C13="Không tính","",VLOOKUP(C13,Default!$B$63:$I$80,4,0)),"")</f>
        <v/>
      </c>
      <c r="J13" s="130" t="str">
        <f>IFERROR(IF(C13="Không tính","",VLOOKUP(A13,Default!$B$4:$C$57,2,0)),"")</f>
        <v/>
      </c>
      <c r="K13" s="125" t="str">
        <f>IFERROR(IF(C13="Không tính","",VLOOKUP(C13,Default!$B$63:$I$80,5,0)),"")</f>
        <v/>
      </c>
      <c r="L13" s="125" t="str">
        <f>IFERROR(IF(C13="Không tính","",VLOOKUP(C13,Default!$B$63:$I$80,6,0)),"")</f>
        <v/>
      </c>
      <c r="M13" s="122" t="str">
        <f t="shared" si="1"/>
        <v/>
      </c>
      <c r="N13" s="126" t="str">
        <f>IFERROR(IF(C13="Không tính","",VLOOKUP(C13,Default!$B$63:$I$80,8,0)),"")</f>
        <v/>
      </c>
      <c r="O13" s="127" t="str">
        <f t="shared" si="2"/>
        <v/>
      </c>
      <c r="P13" s="122" t="str">
        <f t="shared" si="3"/>
        <v/>
      </c>
      <c r="Q13" s="128" t="str">
        <f t="shared" si="4"/>
        <v/>
      </c>
    </row>
    <row r="14" spans="1:17" s="61" customFormat="1" ht="24" customHeight="1">
      <c r="A14" s="187" t="s">
        <v>30</v>
      </c>
      <c r="B14" s="189"/>
      <c r="C14" s="189"/>
      <c r="D14" s="189"/>
      <c r="E14" s="189"/>
      <c r="F14" s="189"/>
      <c r="G14" s="189"/>
      <c r="H14" s="189"/>
      <c r="I14" s="189"/>
      <c r="J14" s="189"/>
      <c r="K14" s="189"/>
      <c r="L14" s="189"/>
      <c r="M14" s="189"/>
      <c r="N14" s="188"/>
      <c r="O14" s="127">
        <f>ROUND(SUM(O4:O13),1)</f>
        <v>12.4</v>
      </c>
      <c r="P14" s="122" t="s">
        <v>17</v>
      </c>
      <c r="Q14" s="133">
        <f>ROUND(SUM(Q4:Q13),1)</f>
        <v>17.8</v>
      </c>
    </row>
  </sheetData>
  <mergeCells count="11">
    <mergeCell ref="O2:Q3"/>
    <mergeCell ref="L2:N3"/>
    <mergeCell ref="J2:J3"/>
    <mergeCell ref="K2:K3"/>
    <mergeCell ref="E2:E3"/>
    <mergeCell ref="A3:B3"/>
    <mergeCell ref="A2:C2"/>
    <mergeCell ref="F2:I2"/>
    <mergeCell ref="G3:I3"/>
    <mergeCell ref="A14:N14"/>
    <mergeCell ref="D2:D3"/>
  </mergeCells>
  <conditionalFormatting sqref="D4:Q13">
    <cfRule type="containsBlanks" dxfId="1" priority="2">
      <formula>LEN(TRIM(D4))=0</formula>
    </cfRule>
  </conditionalFormatting>
  <conditionalFormatting sqref="P14">
    <cfRule type="containsBlanks" dxfId="0" priority="1">
      <formula>LEN(TRIM(P14))=0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2BC1601-738E-47AF-A405-05DE232709B7}">
          <x14:formula1>
            <xm:f>Default!$B$4:$B$57</xm:f>
          </x14:formula1>
          <xm:sqref>A4:A13</xm:sqref>
        </x14:dataValidation>
        <x14:dataValidation type="list" allowBlank="1" showInputMessage="1" showErrorMessage="1" xr:uid="{D5E5F140-A14C-4438-87CA-ABB5ABA2CDC1}">
          <x14:formula1>
            <xm:f>Default!$B$62:$B$80</xm:f>
          </x14:formula1>
          <xm:sqref>C4:C13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6EB6-72CF-4222-A946-287554817CE3}">
  <dimension ref="A2:AC12"/>
  <sheetViews>
    <sheetView workbookViewId="0">
      <selection activeCell="AI10" sqref="AI10"/>
    </sheetView>
  </sheetViews>
  <sheetFormatPr defaultRowHeight="16.8"/>
  <cols>
    <col min="1" max="1" width="8.88671875" style="26"/>
    <col min="2" max="2" width="2.5546875" style="26" bestFit="1" customWidth="1"/>
    <col min="3" max="3" width="3.21875" style="26" bestFit="1" customWidth="1"/>
    <col min="4" max="4" width="2.5546875" style="26" bestFit="1" customWidth="1"/>
    <col min="5" max="5" width="5.88671875" style="26" bestFit="1" customWidth="1"/>
    <col min="6" max="6" width="2.5546875" style="26" bestFit="1" customWidth="1"/>
    <col min="7" max="7" width="7" style="26" bestFit="1" customWidth="1"/>
    <col min="8" max="8" width="2.44140625" style="26" bestFit="1" customWidth="1"/>
    <col min="9" max="9" width="7" style="26" bestFit="1" customWidth="1"/>
    <col min="10" max="10" width="4.44140625" style="26" bestFit="1" customWidth="1"/>
    <col min="11" max="11" width="5.6640625" style="26" bestFit="1" customWidth="1"/>
    <col min="12" max="12" width="4.109375" style="26" bestFit="1" customWidth="1"/>
    <col min="13" max="13" width="5.6640625" style="26" customWidth="1"/>
    <col min="14" max="14" width="11.88671875" style="26" bestFit="1" customWidth="1"/>
    <col min="15" max="15" width="7.21875" style="26" bestFit="1" customWidth="1"/>
    <col min="16" max="16" width="5.6640625" style="26" bestFit="1" customWidth="1"/>
    <col min="17" max="17" width="2.21875" style="26" bestFit="1" customWidth="1"/>
    <col min="18" max="18" width="3.44140625" style="26" bestFit="1" customWidth="1"/>
    <col min="19" max="19" width="2.33203125" style="26" bestFit="1" customWidth="1"/>
    <col min="20" max="20" width="4" style="26" bestFit="1" customWidth="1"/>
    <col min="21" max="21" width="2.21875" style="26" bestFit="1" customWidth="1"/>
    <col min="22" max="22" width="2.21875" bestFit="1" customWidth="1"/>
    <col min="23" max="23" width="2.5546875" bestFit="1" customWidth="1"/>
    <col min="24" max="24" width="4.33203125" bestFit="1" customWidth="1"/>
    <col min="25" max="25" width="2.44140625" bestFit="1" customWidth="1"/>
    <col min="26" max="26" width="5.6640625" bestFit="1" customWidth="1"/>
    <col min="27" max="27" width="2.21875" bestFit="1" customWidth="1"/>
    <col min="28" max="28" width="3.44140625" bestFit="1" customWidth="1"/>
    <col min="29" max="29" width="1.77734375" bestFit="1" customWidth="1"/>
  </cols>
  <sheetData>
    <row r="2" spans="1:29" ht="18.600000000000001">
      <c r="A2" s="208" t="s">
        <v>60</v>
      </c>
      <c r="B2" s="208"/>
      <c r="C2" s="208"/>
      <c r="D2" s="208"/>
      <c r="E2" s="208"/>
      <c r="F2" s="208"/>
      <c r="G2" s="208"/>
      <c r="H2" s="79" t="s">
        <v>61</v>
      </c>
      <c r="I2" s="80">
        <v>15</v>
      </c>
      <c r="J2" s="81" t="s">
        <v>62</v>
      </c>
      <c r="K2" s="80">
        <v>180</v>
      </c>
      <c r="L2" s="80">
        <v>25</v>
      </c>
      <c r="M2" s="91"/>
      <c r="N2" s="91"/>
      <c r="O2" s="82"/>
      <c r="P2" s="83"/>
      <c r="Q2" s="209"/>
      <c r="R2" s="209"/>
      <c r="S2" s="83"/>
      <c r="T2" s="83"/>
      <c r="U2" s="83"/>
      <c r="V2" s="84"/>
      <c r="W2" s="84"/>
      <c r="X2" s="84"/>
      <c r="Y2" s="84"/>
      <c r="Z2" s="84"/>
      <c r="AA2" s="84"/>
      <c r="AB2" s="84"/>
      <c r="AC2" s="84"/>
    </row>
    <row r="3" spans="1:29" ht="19.2">
      <c r="A3" s="201" t="s">
        <v>63</v>
      </c>
      <c r="B3" s="204" t="s">
        <v>3</v>
      </c>
      <c r="C3" s="87" t="s">
        <v>64</v>
      </c>
      <c r="D3" s="77" t="s">
        <v>56</v>
      </c>
      <c r="E3" s="77" t="s">
        <v>65</v>
      </c>
      <c r="F3" s="204" t="s">
        <v>66</v>
      </c>
      <c r="G3" s="202" t="s">
        <v>67</v>
      </c>
      <c r="H3" s="204" t="s">
        <v>56</v>
      </c>
      <c r="I3" s="87">
        <v>1</v>
      </c>
      <c r="J3" s="202" t="s">
        <v>76</v>
      </c>
      <c r="K3" s="75"/>
      <c r="L3" s="75"/>
      <c r="M3" s="78"/>
      <c r="N3" s="73" t="s">
        <v>69</v>
      </c>
      <c r="O3" s="144" t="s">
        <v>70</v>
      </c>
      <c r="P3" s="159">
        <v>3.6</v>
      </c>
      <c r="Q3" s="161" t="s">
        <v>56</v>
      </c>
      <c r="R3" s="162">
        <v>1</v>
      </c>
      <c r="S3" s="163" t="s">
        <v>66</v>
      </c>
      <c r="T3" s="159">
        <v>4.8</v>
      </c>
      <c r="U3" s="161" t="s">
        <v>56</v>
      </c>
      <c r="V3" s="164">
        <v>4</v>
      </c>
      <c r="W3" s="149"/>
      <c r="X3" s="148"/>
      <c r="Y3" s="150"/>
      <c r="Z3" s="148"/>
      <c r="AC3" s="99"/>
    </row>
    <row r="4" spans="1:29" ht="19.8">
      <c r="A4" s="201"/>
      <c r="B4" s="204"/>
      <c r="C4" s="200" t="s">
        <v>68</v>
      </c>
      <c r="D4" s="200"/>
      <c r="E4" s="200"/>
      <c r="F4" s="204"/>
      <c r="G4" s="202"/>
      <c r="H4" s="204"/>
      <c r="I4" s="88">
        <v>12</v>
      </c>
      <c r="J4" s="202"/>
      <c r="K4" s="75"/>
      <c r="L4" s="75"/>
      <c r="M4" s="78"/>
      <c r="N4" s="165"/>
      <c r="O4" s="166" t="s">
        <v>66</v>
      </c>
      <c r="P4" s="167">
        <v>3.3</v>
      </c>
      <c r="Q4" s="157" t="s">
        <v>56</v>
      </c>
      <c r="R4" s="160">
        <v>19</v>
      </c>
      <c r="S4" s="99"/>
      <c r="T4" s="154"/>
      <c r="U4" s="99"/>
      <c r="V4" s="158"/>
      <c r="W4" s="146"/>
      <c r="X4" s="146"/>
      <c r="Y4" s="141"/>
      <c r="Z4" s="100"/>
      <c r="AA4" s="100"/>
      <c r="AB4" s="100"/>
      <c r="AC4" s="100"/>
    </row>
    <row r="5" spans="1:29" ht="19.8">
      <c r="A5" s="75"/>
      <c r="B5" s="89" t="s">
        <v>3</v>
      </c>
      <c r="C5" s="77">
        <v>2</v>
      </c>
      <c r="D5" s="77" t="s">
        <v>56</v>
      </c>
      <c r="E5" s="147">
        <f>P5</f>
        <v>85.5</v>
      </c>
      <c r="F5" s="204" t="s">
        <v>66</v>
      </c>
      <c r="G5" s="207">
        <f>P7</f>
        <v>25</v>
      </c>
      <c r="H5" s="202" t="s">
        <v>56</v>
      </c>
      <c r="I5" s="87">
        <v>1</v>
      </c>
      <c r="J5" s="202" t="s">
        <v>56</v>
      </c>
      <c r="K5" s="203">
        <f>P8</f>
        <v>0.4</v>
      </c>
      <c r="L5" s="75"/>
      <c r="M5" s="75"/>
      <c r="N5" s="165"/>
      <c r="O5" s="102" t="s">
        <v>3</v>
      </c>
      <c r="P5" s="168">
        <f>P3*R3+T3*V3+P4*R4</f>
        <v>85.5</v>
      </c>
      <c r="Q5" s="143"/>
      <c r="R5" s="152"/>
      <c r="S5" s="75"/>
      <c r="T5" s="85"/>
      <c r="U5" s="75"/>
      <c r="V5" s="151"/>
      <c r="W5" s="146"/>
      <c r="X5" s="146"/>
      <c r="Y5" s="142"/>
      <c r="Z5" s="84"/>
      <c r="AA5" s="84"/>
      <c r="AB5" s="84"/>
      <c r="AC5" s="84"/>
    </row>
    <row r="6" spans="1:29" ht="19.2">
      <c r="A6" s="75"/>
      <c r="B6" s="75"/>
      <c r="C6" s="200">
        <f>K2</f>
        <v>180</v>
      </c>
      <c r="D6" s="200"/>
      <c r="E6" s="200"/>
      <c r="F6" s="202"/>
      <c r="G6" s="207"/>
      <c r="H6" s="202"/>
      <c r="I6" s="88">
        <v>12</v>
      </c>
      <c r="J6" s="202"/>
      <c r="K6" s="202"/>
      <c r="L6" s="75"/>
      <c r="M6" s="75"/>
      <c r="N6" s="74"/>
      <c r="O6" s="143" t="s">
        <v>179</v>
      </c>
      <c r="P6" s="85">
        <f>K2</f>
        <v>180</v>
      </c>
      <c r="Q6" s="143"/>
      <c r="R6" s="153"/>
      <c r="S6" s="99"/>
      <c r="T6" s="154"/>
      <c r="U6" s="85"/>
      <c r="V6" s="155"/>
      <c r="W6" s="84"/>
      <c r="X6" s="84"/>
      <c r="Y6" s="142"/>
      <c r="Z6" s="84"/>
      <c r="AA6" s="84"/>
      <c r="AB6" s="84"/>
      <c r="AC6" s="84"/>
    </row>
    <row r="7" spans="1:29" ht="19.2">
      <c r="A7" s="75"/>
      <c r="B7" s="89" t="s">
        <v>3</v>
      </c>
      <c r="C7" s="202">
        <f>ROUND(C5*E5/C6+G5*K5/12,2)</f>
        <v>1.78</v>
      </c>
      <c r="D7" s="202"/>
      <c r="E7" s="202"/>
      <c r="F7" s="91"/>
      <c r="G7" s="91"/>
      <c r="H7" s="91"/>
      <c r="I7" s="91"/>
      <c r="J7" s="91"/>
      <c r="K7" s="91"/>
      <c r="L7" s="86"/>
      <c r="M7" s="86"/>
      <c r="N7" s="74"/>
      <c r="O7" s="143" t="s">
        <v>178</v>
      </c>
      <c r="P7" s="85">
        <f>L2</f>
        <v>25</v>
      </c>
      <c r="Q7" s="75"/>
      <c r="R7" s="75"/>
      <c r="S7" s="75"/>
      <c r="T7" s="75"/>
      <c r="U7" s="75"/>
      <c r="V7" s="155"/>
      <c r="W7" s="84"/>
      <c r="X7" s="84"/>
      <c r="Y7" s="84"/>
      <c r="Z7" s="84"/>
      <c r="AA7" s="84"/>
      <c r="AB7" s="84"/>
      <c r="AC7" s="84"/>
    </row>
    <row r="8" spans="1:29" ht="22.8">
      <c r="A8" s="201" t="s">
        <v>71</v>
      </c>
      <c r="B8" s="201"/>
      <c r="C8" s="201"/>
      <c r="D8" s="201"/>
      <c r="E8" s="201"/>
      <c r="F8" s="204" t="s">
        <v>3</v>
      </c>
      <c r="G8" s="87">
        <f>I2</f>
        <v>15</v>
      </c>
      <c r="H8" s="78"/>
      <c r="I8" s="78"/>
      <c r="J8" s="204" t="s">
        <v>3</v>
      </c>
      <c r="K8" s="206">
        <f>ROUND(G8/G9,2)</f>
        <v>8.43</v>
      </c>
      <c r="L8" s="206"/>
      <c r="M8" s="75"/>
      <c r="N8" s="76"/>
      <c r="O8" s="145" t="s">
        <v>75</v>
      </c>
      <c r="P8" s="90">
        <v>0.4</v>
      </c>
      <c r="Q8" s="77"/>
      <c r="R8" s="77"/>
      <c r="S8" s="77"/>
      <c r="T8" s="77"/>
      <c r="U8" s="77"/>
      <c r="V8" s="156"/>
      <c r="W8" s="84"/>
      <c r="X8" s="84"/>
      <c r="Y8" s="84"/>
      <c r="Z8" s="84"/>
      <c r="AA8" s="84"/>
      <c r="AB8" s="84"/>
      <c r="AC8" s="84"/>
    </row>
    <row r="9" spans="1:29" ht="19.2">
      <c r="A9" s="201"/>
      <c r="B9" s="201"/>
      <c r="C9" s="201"/>
      <c r="D9" s="201"/>
      <c r="E9" s="201"/>
      <c r="F9" s="202"/>
      <c r="G9" s="93">
        <f>C7</f>
        <v>1.78</v>
      </c>
      <c r="H9" s="94"/>
      <c r="I9" s="94"/>
      <c r="J9" s="202"/>
      <c r="K9" s="206"/>
      <c r="L9" s="206"/>
      <c r="M9" s="95"/>
      <c r="N9" s="95"/>
      <c r="O9" s="95"/>
      <c r="P9" s="95"/>
      <c r="Q9" s="95"/>
      <c r="R9" s="95"/>
      <c r="S9" s="95"/>
      <c r="T9" s="95"/>
      <c r="U9" s="95"/>
      <c r="V9" s="84"/>
      <c r="W9" s="84"/>
      <c r="X9" s="84"/>
      <c r="Y9" s="84"/>
      <c r="Z9" s="84"/>
      <c r="AA9" s="84"/>
      <c r="AB9" s="84"/>
      <c r="AC9" s="84"/>
    </row>
    <row r="10" spans="1:29" ht="19.2">
      <c r="A10" s="85"/>
      <c r="B10" s="85"/>
      <c r="C10" s="85"/>
      <c r="D10" s="85"/>
      <c r="E10" s="85"/>
      <c r="F10" s="78"/>
      <c r="G10" s="94"/>
      <c r="H10" s="94"/>
      <c r="I10" s="94"/>
      <c r="J10" s="78"/>
      <c r="K10" s="92"/>
      <c r="L10" s="92"/>
      <c r="M10" s="95"/>
      <c r="N10" s="95"/>
      <c r="O10" s="95"/>
      <c r="P10" s="95"/>
      <c r="Q10" s="95"/>
      <c r="R10" s="95"/>
      <c r="S10" s="95"/>
      <c r="T10" s="95"/>
      <c r="U10" s="95"/>
      <c r="V10" s="84"/>
      <c r="W10" s="84"/>
      <c r="X10" s="84"/>
      <c r="Y10" s="84"/>
      <c r="Z10" s="84"/>
      <c r="AA10" s="84"/>
      <c r="AB10" s="84"/>
      <c r="AC10" s="84"/>
    </row>
    <row r="11" spans="1:29" ht="21.6">
      <c r="A11" s="201" t="s">
        <v>72</v>
      </c>
      <c r="B11" s="201"/>
      <c r="C11" s="201"/>
      <c r="D11" s="204" t="s">
        <v>3</v>
      </c>
      <c r="E11" s="96" t="s">
        <v>73</v>
      </c>
      <c r="F11" s="204" t="s">
        <v>3</v>
      </c>
      <c r="G11" s="96">
        <f>ThangDung_B!O14</f>
        <v>12.4</v>
      </c>
      <c r="H11" s="205" t="s">
        <v>77</v>
      </c>
      <c r="I11" s="96">
        <f>ThangDung_B!Q14</f>
        <v>17.8</v>
      </c>
      <c r="J11" s="204" t="s">
        <v>3</v>
      </c>
      <c r="K11" s="212">
        <f>G11/G12</f>
        <v>1.4709371293001188</v>
      </c>
      <c r="L11" s="214" t="s">
        <v>77</v>
      </c>
      <c r="M11" s="210">
        <f>I11/I12</f>
        <v>2.1115065243179125</v>
      </c>
      <c r="N11" s="95"/>
      <c r="O11" s="95"/>
      <c r="P11" s="95"/>
      <c r="Q11" s="95"/>
      <c r="R11" s="95"/>
      <c r="S11" s="95"/>
      <c r="T11" s="95"/>
      <c r="U11" s="95"/>
      <c r="V11" s="84"/>
      <c r="W11" s="84"/>
      <c r="X11" s="84"/>
      <c r="Y11" s="84"/>
      <c r="Z11" s="84"/>
      <c r="AA11" s="84"/>
      <c r="AB11" s="84"/>
      <c r="AC11" s="84"/>
    </row>
    <row r="12" spans="1:29" ht="21.6">
      <c r="A12" s="201"/>
      <c r="B12" s="201"/>
      <c r="C12" s="201"/>
      <c r="D12" s="202"/>
      <c r="E12" s="97" t="s">
        <v>74</v>
      </c>
      <c r="F12" s="202"/>
      <c r="G12" s="98">
        <f>K8</f>
        <v>8.43</v>
      </c>
      <c r="H12" s="205"/>
      <c r="I12" s="98">
        <f>K8</f>
        <v>8.43</v>
      </c>
      <c r="J12" s="202"/>
      <c r="K12" s="213"/>
      <c r="L12" s="215"/>
      <c r="M12" s="211"/>
      <c r="N12" s="95"/>
      <c r="O12" s="95"/>
      <c r="P12" s="95"/>
      <c r="Q12" s="95"/>
      <c r="R12" s="95"/>
      <c r="S12" s="95"/>
      <c r="T12" s="95"/>
      <c r="U12" s="95"/>
      <c r="V12" s="84"/>
      <c r="W12" s="84"/>
      <c r="X12" s="84"/>
      <c r="Y12" s="84"/>
      <c r="Z12" s="84"/>
      <c r="AA12" s="84"/>
      <c r="AB12" s="84"/>
      <c r="AC12" s="84"/>
    </row>
  </sheetData>
  <mergeCells count="28">
    <mergeCell ref="M11:M12"/>
    <mergeCell ref="D11:D12"/>
    <mergeCell ref="F11:F12"/>
    <mergeCell ref="J11:J12"/>
    <mergeCell ref="K11:K12"/>
    <mergeCell ref="L11:L12"/>
    <mergeCell ref="A2:G2"/>
    <mergeCell ref="Q2:R2"/>
    <mergeCell ref="A3:A4"/>
    <mergeCell ref="B3:B4"/>
    <mergeCell ref="F3:F4"/>
    <mergeCell ref="G3:G4"/>
    <mergeCell ref="J3:J4"/>
    <mergeCell ref="C4:E4"/>
    <mergeCell ref="C6:E6"/>
    <mergeCell ref="A11:C12"/>
    <mergeCell ref="H5:H6"/>
    <mergeCell ref="K5:K6"/>
    <mergeCell ref="H3:H4"/>
    <mergeCell ref="H11:H12"/>
    <mergeCell ref="C7:E7"/>
    <mergeCell ref="A8:E9"/>
    <mergeCell ref="F8:F9"/>
    <mergeCell ref="J8:J9"/>
    <mergeCell ref="K8:L9"/>
    <mergeCell ref="F5:F6"/>
    <mergeCell ref="G5:G6"/>
    <mergeCell ref="J5:J6"/>
  </mergeCells>
  <pageMargins left="0.70866141732283472" right="0.70866141732283472" top="0.74803149606299213" bottom="0.74803149606299213" header="0.31496062992125984" footer="0.31496062992125984"/>
  <pageSetup paperSize="9" orientation="portrait" blackAndWhite="1"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E3AE-04FE-42F3-ADA4-2C6AA851123F}">
  <dimension ref="A1:W11"/>
  <sheetViews>
    <sheetView workbookViewId="0">
      <selection activeCell="T20" sqref="T20"/>
    </sheetView>
  </sheetViews>
  <sheetFormatPr defaultRowHeight="14.4"/>
  <cols>
    <col min="1" max="1" width="5.88671875" bestFit="1" customWidth="1"/>
    <col min="2" max="2" width="3.77734375" customWidth="1"/>
    <col min="3" max="3" width="6.77734375" customWidth="1"/>
    <col min="4" max="4" width="2.44140625" bestFit="1" customWidth="1"/>
    <col min="5" max="6" width="6.77734375" customWidth="1"/>
    <col min="7" max="7" width="8.109375" bestFit="1" customWidth="1"/>
    <col min="8" max="8" width="11.77734375" bestFit="1" customWidth="1"/>
    <col min="9" max="9" width="6.77734375" customWidth="1"/>
    <col min="10" max="10" width="2.33203125" bestFit="1" customWidth="1"/>
    <col min="11" max="11" width="6.77734375" customWidth="1"/>
    <col min="12" max="13" width="9.77734375" customWidth="1"/>
    <col min="14" max="14" width="2.33203125" bestFit="1" customWidth="1"/>
    <col min="15" max="16" width="9.77734375" customWidth="1"/>
    <col min="17" max="17" width="2.33203125" bestFit="1" customWidth="1"/>
    <col min="18" max="22" width="9.77734375" customWidth="1"/>
    <col min="23" max="23" width="12" bestFit="1" customWidth="1"/>
  </cols>
  <sheetData>
    <row r="1" spans="1:23" ht="36" customHeight="1" thickTop="1">
      <c r="A1" s="236" t="s">
        <v>59</v>
      </c>
      <c r="B1" s="226"/>
      <c r="C1" s="226"/>
      <c r="D1" s="226"/>
      <c r="E1" s="226"/>
      <c r="F1" s="237"/>
      <c r="G1" s="234" t="s">
        <v>58</v>
      </c>
      <c r="H1" s="235"/>
      <c r="I1" s="221" t="s">
        <v>22</v>
      </c>
      <c r="J1" s="222"/>
      <c r="K1" s="223"/>
      <c r="L1" s="224" t="s">
        <v>13</v>
      </c>
      <c r="M1" s="228" t="s">
        <v>20</v>
      </c>
      <c r="N1" s="229"/>
      <c r="O1" s="229"/>
      <c r="P1" s="228" t="s">
        <v>21</v>
      </c>
      <c r="Q1" s="229"/>
      <c r="R1" s="232"/>
      <c r="S1" s="226" t="s">
        <v>14</v>
      </c>
      <c r="T1" s="226"/>
      <c r="U1" s="226"/>
      <c r="V1" s="224" t="s">
        <v>25</v>
      </c>
      <c r="W1" s="216" t="s">
        <v>26</v>
      </c>
    </row>
    <row r="2" spans="1:23" ht="21">
      <c r="A2" s="134"/>
      <c r="B2" s="135"/>
      <c r="C2" s="218" t="s">
        <v>31</v>
      </c>
      <c r="D2" s="219"/>
      <c r="E2" s="220"/>
      <c r="F2" s="136" t="s">
        <v>15</v>
      </c>
      <c r="G2" s="24" t="s">
        <v>32</v>
      </c>
      <c r="H2" s="6" t="s">
        <v>57</v>
      </c>
      <c r="I2" s="19" t="s">
        <v>19</v>
      </c>
      <c r="J2" s="17"/>
      <c r="K2" s="18" t="s">
        <v>18</v>
      </c>
      <c r="L2" s="225"/>
      <c r="M2" s="230"/>
      <c r="N2" s="231"/>
      <c r="O2" s="231"/>
      <c r="P2" s="230"/>
      <c r="Q2" s="231"/>
      <c r="R2" s="233"/>
      <c r="S2" s="7" t="s">
        <v>23</v>
      </c>
      <c r="T2" s="7" t="s">
        <v>24</v>
      </c>
      <c r="U2" s="7" t="s">
        <v>16</v>
      </c>
      <c r="V2" s="227"/>
      <c r="W2" s="217"/>
    </row>
    <row r="3" spans="1:23" ht="16.8">
      <c r="A3" s="137" t="s">
        <v>27</v>
      </c>
      <c r="B3" s="138">
        <v>2</v>
      </c>
      <c r="C3" s="139">
        <v>45</v>
      </c>
      <c r="D3" s="140" t="s">
        <v>56</v>
      </c>
      <c r="E3" s="138">
        <v>120</v>
      </c>
      <c r="F3" s="136">
        <v>0.6</v>
      </c>
      <c r="G3" s="8">
        <f>C3*E3*F3</f>
        <v>3240</v>
      </c>
      <c r="H3" s="9">
        <v>5</v>
      </c>
      <c r="I3" s="10">
        <v>75</v>
      </c>
      <c r="J3" s="10" t="s">
        <v>17</v>
      </c>
      <c r="K3" s="10">
        <v>100</v>
      </c>
      <c r="L3" s="20">
        <f>MAX(B3:B11)-1</f>
        <v>5</v>
      </c>
      <c r="M3" s="11">
        <f t="shared" ref="M3:M7" si="0">(G3/H3)*I3%+M4</f>
        <v>2430</v>
      </c>
      <c r="N3" s="21" t="s">
        <v>17</v>
      </c>
      <c r="O3" s="11">
        <f t="shared" ref="O3:O7" si="1">(G3/H3)*K3%+O4</f>
        <v>3240</v>
      </c>
      <c r="P3" s="22">
        <f>M3*60/5</f>
        <v>29160</v>
      </c>
      <c r="Q3" s="21" t="s">
        <v>17</v>
      </c>
      <c r="R3" s="23">
        <f t="shared" ref="R3:R7" si="2">O3*60/5</f>
        <v>38880</v>
      </c>
      <c r="S3" s="12">
        <v>0.65</v>
      </c>
      <c r="T3" s="13">
        <v>1</v>
      </c>
      <c r="U3" s="14" t="str">
        <f t="shared" ref="U3:U7" si="3">IF(AND(S3=0.75,T3=1),"13500",IF(AND(S3=0.75,T3=0.8),"10125",IF(AND(S3=0.75,T3=0.6),"6750",IF(AND(S3=0.65,T3=1),"11700",IF(AND(S3=0.65,T3=0.8),"8775",IF(AND(S3=0.65,T3=0.6),"5850",IF(AND(S3=0.5,T3=1),"9000",IF(AND(S3=0.5,T3=0.8),"6750",IF(AND(S3=0.5,T3=0.6),"4500","-")))))))))</f>
        <v>11700</v>
      </c>
      <c r="V3" s="15">
        <v>3</v>
      </c>
      <c r="W3" s="16">
        <f t="shared" ref="W3:W7" si="4">U3*V3</f>
        <v>35100</v>
      </c>
    </row>
    <row r="4" spans="1:23" ht="16.8">
      <c r="A4" s="137" t="s">
        <v>27</v>
      </c>
      <c r="B4" s="138">
        <v>3</v>
      </c>
      <c r="C4" s="139">
        <v>45</v>
      </c>
      <c r="D4" s="140" t="s">
        <v>56</v>
      </c>
      <c r="E4" s="138">
        <v>120</v>
      </c>
      <c r="F4" s="136">
        <v>0.6</v>
      </c>
      <c r="G4" s="8">
        <f>C4*E4*F4</f>
        <v>3240</v>
      </c>
      <c r="H4" s="9">
        <v>5</v>
      </c>
      <c r="I4" s="10">
        <v>75</v>
      </c>
      <c r="J4" s="10" t="s">
        <v>17</v>
      </c>
      <c r="K4" s="10">
        <v>100</v>
      </c>
      <c r="L4" s="20">
        <f t="shared" ref="L4:L7" si="5">L3-1</f>
        <v>4</v>
      </c>
      <c r="M4" s="11">
        <f t="shared" si="0"/>
        <v>1944</v>
      </c>
      <c r="N4" s="21" t="s">
        <v>17</v>
      </c>
      <c r="O4" s="11">
        <f t="shared" si="1"/>
        <v>2592</v>
      </c>
      <c r="P4" s="22">
        <f t="shared" ref="P4:P7" si="6">M4*60/5</f>
        <v>23328</v>
      </c>
      <c r="Q4" s="21" t="s">
        <v>17</v>
      </c>
      <c r="R4" s="23">
        <f t="shared" si="2"/>
        <v>31104</v>
      </c>
      <c r="S4" s="12">
        <v>0.5</v>
      </c>
      <c r="T4" s="13">
        <v>1</v>
      </c>
      <c r="U4" s="14" t="str">
        <f t="shared" si="3"/>
        <v>9000</v>
      </c>
      <c r="V4" s="15">
        <v>3</v>
      </c>
      <c r="W4" s="16">
        <f t="shared" si="4"/>
        <v>27000</v>
      </c>
    </row>
    <row r="5" spans="1:23" ht="16.8">
      <c r="A5" s="137" t="s">
        <v>27</v>
      </c>
      <c r="B5" s="138">
        <v>4</v>
      </c>
      <c r="C5" s="139">
        <v>45</v>
      </c>
      <c r="D5" s="140" t="s">
        <v>56</v>
      </c>
      <c r="E5" s="138">
        <v>120</v>
      </c>
      <c r="F5" s="136">
        <v>0.6</v>
      </c>
      <c r="G5" s="8">
        <f t="shared" ref="G5:G7" si="7">C5*E5*F5</f>
        <v>3240</v>
      </c>
      <c r="H5" s="9">
        <v>5</v>
      </c>
      <c r="I5" s="10">
        <v>75</v>
      </c>
      <c r="J5" s="10" t="s">
        <v>17</v>
      </c>
      <c r="K5" s="10">
        <v>100</v>
      </c>
      <c r="L5" s="20">
        <f t="shared" si="5"/>
        <v>3</v>
      </c>
      <c r="M5" s="11">
        <f t="shared" si="0"/>
        <v>1458</v>
      </c>
      <c r="N5" s="21" t="s">
        <v>17</v>
      </c>
      <c r="O5" s="11">
        <f t="shared" si="1"/>
        <v>1944</v>
      </c>
      <c r="P5" s="22">
        <f t="shared" si="6"/>
        <v>17496</v>
      </c>
      <c r="Q5" s="21" t="s">
        <v>17</v>
      </c>
      <c r="R5" s="23">
        <f t="shared" si="2"/>
        <v>23328</v>
      </c>
      <c r="S5" s="12">
        <v>0.5</v>
      </c>
      <c r="T5" s="13">
        <v>0.8</v>
      </c>
      <c r="U5" s="14" t="str">
        <f t="shared" si="3"/>
        <v>6750</v>
      </c>
      <c r="V5" s="15">
        <v>3</v>
      </c>
      <c r="W5" s="16">
        <f t="shared" si="4"/>
        <v>20250</v>
      </c>
    </row>
    <row r="6" spans="1:23" ht="16.8">
      <c r="A6" s="137" t="s">
        <v>27</v>
      </c>
      <c r="B6" s="138">
        <v>5</v>
      </c>
      <c r="C6" s="139">
        <v>45</v>
      </c>
      <c r="D6" s="140" t="s">
        <v>56</v>
      </c>
      <c r="E6" s="138">
        <v>120</v>
      </c>
      <c r="F6" s="136">
        <v>0.6</v>
      </c>
      <c r="G6" s="8">
        <f t="shared" si="7"/>
        <v>3240</v>
      </c>
      <c r="H6" s="9">
        <v>5</v>
      </c>
      <c r="I6" s="10">
        <v>75</v>
      </c>
      <c r="J6" s="10" t="s">
        <v>17</v>
      </c>
      <c r="K6" s="10">
        <v>100</v>
      </c>
      <c r="L6" s="20">
        <f t="shared" si="5"/>
        <v>2</v>
      </c>
      <c r="M6" s="11">
        <f t="shared" si="0"/>
        <v>972</v>
      </c>
      <c r="N6" s="21" t="s">
        <v>17</v>
      </c>
      <c r="O6" s="11">
        <f t="shared" si="1"/>
        <v>1296</v>
      </c>
      <c r="P6" s="22">
        <f t="shared" si="6"/>
        <v>11664</v>
      </c>
      <c r="Q6" s="21" t="s">
        <v>17</v>
      </c>
      <c r="R6" s="23">
        <f t="shared" si="2"/>
        <v>15552</v>
      </c>
      <c r="S6" s="12">
        <v>0.5</v>
      </c>
      <c r="T6" s="13">
        <v>0.6</v>
      </c>
      <c r="U6" s="14" t="str">
        <f t="shared" si="3"/>
        <v>4500</v>
      </c>
      <c r="V6" s="15">
        <v>3</v>
      </c>
      <c r="W6" s="16">
        <f t="shared" si="4"/>
        <v>13500</v>
      </c>
    </row>
    <row r="7" spans="1:23" ht="16.8">
      <c r="A7" s="137" t="s">
        <v>27</v>
      </c>
      <c r="B7" s="138">
        <v>6</v>
      </c>
      <c r="C7" s="139">
        <v>45</v>
      </c>
      <c r="D7" s="140" t="s">
        <v>56</v>
      </c>
      <c r="E7" s="138">
        <v>120</v>
      </c>
      <c r="F7" s="136">
        <v>0.6</v>
      </c>
      <c r="G7" s="8">
        <f t="shared" si="7"/>
        <v>3240</v>
      </c>
      <c r="H7" s="9">
        <v>5</v>
      </c>
      <c r="I7" s="10">
        <v>75</v>
      </c>
      <c r="J7" s="10" t="s">
        <v>17</v>
      </c>
      <c r="K7" s="10">
        <v>100</v>
      </c>
      <c r="L7" s="20">
        <f t="shared" si="5"/>
        <v>1</v>
      </c>
      <c r="M7" s="11">
        <f t="shared" si="0"/>
        <v>486</v>
      </c>
      <c r="N7" s="21" t="s">
        <v>17</v>
      </c>
      <c r="O7" s="11">
        <f t="shared" si="1"/>
        <v>648</v>
      </c>
      <c r="P7" s="22">
        <f t="shared" si="6"/>
        <v>5832</v>
      </c>
      <c r="Q7" s="21" t="s">
        <v>17</v>
      </c>
      <c r="R7" s="23">
        <f t="shared" si="2"/>
        <v>7776</v>
      </c>
      <c r="S7" s="12">
        <v>0.5</v>
      </c>
      <c r="T7" s="13">
        <v>0.6</v>
      </c>
      <c r="U7" s="14" t="str">
        <f t="shared" si="3"/>
        <v>4500</v>
      </c>
      <c r="V7" s="15">
        <v>3</v>
      </c>
      <c r="W7" s="16">
        <f t="shared" si="4"/>
        <v>13500</v>
      </c>
    </row>
    <row r="8" spans="1:23" ht="16.8">
      <c r="A8" s="137"/>
      <c r="B8" s="138"/>
      <c r="C8" s="139"/>
      <c r="D8" s="140"/>
      <c r="E8" s="138"/>
      <c r="F8" s="136"/>
      <c r="G8" s="8"/>
      <c r="H8" s="9"/>
      <c r="I8" s="10"/>
      <c r="J8" s="10"/>
      <c r="K8" s="10"/>
      <c r="L8" s="20"/>
      <c r="M8" s="11"/>
      <c r="N8" s="21"/>
      <c r="O8" s="11"/>
      <c r="P8" s="22"/>
      <c r="Q8" s="21"/>
      <c r="R8" s="23"/>
      <c r="S8" s="12"/>
      <c r="T8" s="13"/>
      <c r="U8" s="14"/>
      <c r="V8" s="15"/>
      <c r="W8" s="16"/>
    </row>
    <row r="9" spans="1:23" ht="16.8">
      <c r="A9" s="137"/>
      <c r="B9" s="138"/>
      <c r="C9" s="139"/>
      <c r="D9" s="140"/>
      <c r="E9" s="138"/>
      <c r="F9" s="136"/>
      <c r="G9" s="8"/>
      <c r="H9" s="9"/>
      <c r="I9" s="10"/>
      <c r="J9" s="10"/>
      <c r="K9" s="10"/>
      <c r="L9" s="20"/>
      <c r="M9" s="11"/>
      <c r="N9" s="21"/>
      <c r="O9" s="11"/>
      <c r="P9" s="22"/>
      <c r="Q9" s="21"/>
      <c r="R9" s="23"/>
      <c r="S9" s="12"/>
      <c r="T9" s="13"/>
      <c r="U9" s="14"/>
      <c r="V9" s="15"/>
      <c r="W9" s="16"/>
    </row>
    <row r="10" spans="1:23" ht="16.8">
      <c r="A10" s="137"/>
      <c r="B10" s="138"/>
      <c r="C10" s="139"/>
      <c r="D10" s="140"/>
      <c r="E10" s="138"/>
      <c r="F10" s="136"/>
      <c r="G10" s="8"/>
      <c r="H10" s="9"/>
      <c r="I10" s="10"/>
      <c r="J10" s="10"/>
      <c r="K10" s="10"/>
      <c r="L10" s="20"/>
      <c r="M10" s="11"/>
      <c r="N10" s="21"/>
      <c r="O10" s="11"/>
      <c r="P10" s="22"/>
      <c r="Q10" s="21"/>
      <c r="R10" s="23"/>
      <c r="S10" s="12"/>
      <c r="T10" s="13"/>
      <c r="U10" s="14"/>
      <c r="V10" s="15"/>
      <c r="W10" s="16"/>
    </row>
    <row r="11" spans="1:23" ht="16.8">
      <c r="A11" s="137"/>
      <c r="B11" s="138"/>
      <c r="C11" s="139"/>
      <c r="D11" s="140"/>
      <c r="E11" s="138"/>
      <c r="F11" s="136"/>
      <c r="G11" s="8"/>
      <c r="H11" s="9"/>
      <c r="I11" s="10"/>
      <c r="J11" s="10"/>
      <c r="K11" s="10"/>
      <c r="L11" s="20"/>
      <c r="M11" s="11"/>
      <c r="N11" s="21"/>
      <c r="O11" s="11"/>
      <c r="P11" s="22"/>
      <c r="Q11" s="21"/>
      <c r="R11" s="23"/>
      <c r="S11" s="12"/>
      <c r="T11" s="13"/>
      <c r="U11" s="14"/>
      <c r="V11" s="15"/>
      <c r="W11" s="16"/>
    </row>
  </sheetData>
  <mergeCells count="10">
    <mergeCell ref="W1:W2"/>
    <mergeCell ref="C2:E2"/>
    <mergeCell ref="I1:K1"/>
    <mergeCell ref="L1:L2"/>
    <mergeCell ref="S1:U1"/>
    <mergeCell ref="V1:V2"/>
    <mergeCell ref="M1:O2"/>
    <mergeCell ref="P1:R2"/>
    <mergeCell ref="G1:H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014DC-5C22-458F-BD36-712F014EF50D}">
  <dimension ref="A1:J7"/>
  <sheetViews>
    <sheetView workbookViewId="0">
      <selection activeCell="M7" sqref="M7"/>
    </sheetView>
  </sheetViews>
  <sheetFormatPr defaultRowHeight="18"/>
  <cols>
    <col min="1" max="1" width="45.109375" style="1" bestFit="1" customWidth="1"/>
    <col min="2" max="2" width="5" style="1" bestFit="1" customWidth="1"/>
    <col min="3" max="3" width="2.21875" style="1" bestFit="1" customWidth="1"/>
    <col min="4" max="4" width="10.33203125" style="1" bestFit="1" customWidth="1"/>
    <col min="5" max="5" width="8.88671875" style="1"/>
    <col min="6" max="6" width="14.5546875" style="1" bestFit="1" customWidth="1"/>
    <col min="7" max="7" width="3.44140625" style="1" bestFit="1" customWidth="1"/>
    <col min="8" max="8" width="2.21875" style="1" bestFit="1" customWidth="1"/>
    <col min="9" max="16384" width="8.88671875" style="1"/>
  </cols>
  <sheetData>
    <row r="1" spans="1:10">
      <c r="A1" s="1" t="s">
        <v>0</v>
      </c>
    </row>
    <row r="2" spans="1:10">
      <c r="A2" s="1" t="s">
        <v>7</v>
      </c>
    </row>
    <row r="3" spans="1:10" ht="107.4">
      <c r="A3" s="238" t="s">
        <v>12</v>
      </c>
      <c r="B3" s="239"/>
      <c r="C3" s="239"/>
      <c r="D3" s="239"/>
      <c r="E3" s="239"/>
      <c r="F3" s="239"/>
      <c r="G3" s="239"/>
      <c r="H3" s="239"/>
      <c r="I3" s="239"/>
      <c r="J3" s="239"/>
    </row>
    <row r="4" spans="1:10" ht="42" customHeight="1">
      <c r="A4" s="239" t="s">
        <v>8</v>
      </c>
      <c r="B4" s="239"/>
      <c r="C4" s="239"/>
      <c r="D4" s="239"/>
      <c r="E4" s="239"/>
      <c r="F4" s="239"/>
      <c r="G4" s="239"/>
      <c r="H4" s="239"/>
      <c r="I4" s="239"/>
      <c r="J4" s="239"/>
    </row>
    <row r="5" spans="1:10" ht="21">
      <c r="A5" s="1" t="s">
        <v>6</v>
      </c>
      <c r="B5" s="1" t="s">
        <v>9</v>
      </c>
      <c r="C5" s="3" t="s">
        <v>3</v>
      </c>
      <c r="D5" s="1">
        <v>2881.25</v>
      </c>
      <c r="F5" s="1" t="s">
        <v>5</v>
      </c>
      <c r="G5" s="4" t="s">
        <v>4</v>
      </c>
      <c r="H5" s="3" t="s">
        <v>3</v>
      </c>
      <c r="I5" s="1">
        <f>(2*D6)^2-4*1*(D5-D7^2-2*D6*D7)</f>
        <v>575</v>
      </c>
    </row>
    <row r="6" spans="1:10">
      <c r="B6" s="1" t="s">
        <v>1</v>
      </c>
      <c r="C6" s="3" t="s">
        <v>3</v>
      </c>
      <c r="D6" s="1">
        <v>20</v>
      </c>
      <c r="G6" s="1" t="s">
        <v>10</v>
      </c>
      <c r="H6" s="3" t="s">
        <v>3</v>
      </c>
      <c r="I6" s="5">
        <f>(2*D6+I5^(1/2))/2</f>
        <v>31.989578808281799</v>
      </c>
    </row>
    <row r="7" spans="1:10">
      <c r="B7" s="2" t="s">
        <v>2</v>
      </c>
      <c r="C7" s="3" t="s">
        <v>3</v>
      </c>
      <c r="D7" s="1">
        <v>35</v>
      </c>
      <c r="G7" s="1" t="s">
        <v>11</v>
      </c>
      <c r="H7" s="3" t="s">
        <v>3</v>
      </c>
      <c r="I7" s="5">
        <f>(2*D6-I5^(1/2))/2</f>
        <v>8.0104211917182013</v>
      </c>
    </row>
  </sheetData>
  <mergeCells count="2">
    <mergeCell ref="A3:J3"/>
    <mergeCell ref="A4:J4"/>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3B7C-BD9D-4429-97D4-878DC05576DB}">
  <dimension ref="A3:Q10"/>
  <sheetViews>
    <sheetView workbookViewId="0">
      <selection activeCell="S13" sqref="S13"/>
    </sheetView>
  </sheetViews>
  <sheetFormatPr defaultRowHeight="14.4"/>
  <cols>
    <col min="2" max="2" width="9.109375" bestFit="1" customWidth="1"/>
    <col min="3" max="3" width="2.88671875" bestFit="1" customWidth="1"/>
    <col min="4" max="4" width="3.88671875" customWidth="1"/>
    <col min="5" max="5" width="4.109375" bestFit="1" customWidth="1"/>
    <col min="6" max="6" width="2.88671875" bestFit="1" customWidth="1"/>
    <col min="7" max="7" width="6" bestFit="1" customWidth="1"/>
    <col min="8" max="8" width="2.109375" bestFit="1" customWidth="1"/>
    <col min="9" max="10" width="4.21875" bestFit="1" customWidth="1"/>
    <col min="11" max="11" width="2.88671875" bestFit="1" customWidth="1"/>
    <col min="12" max="12" width="5.21875" bestFit="1" customWidth="1"/>
    <col min="13" max="13" width="3" bestFit="1" customWidth="1"/>
    <col min="14" max="14" width="5.6640625" customWidth="1"/>
    <col min="15" max="15" width="4.109375" bestFit="1" customWidth="1"/>
    <col min="16" max="16" width="2.88671875" bestFit="1" customWidth="1"/>
    <col min="17" max="17" width="5.21875" bestFit="1" customWidth="1"/>
    <col min="18" max="18" width="6.6640625" bestFit="1" customWidth="1"/>
    <col min="19" max="20" width="2.44140625" bestFit="1" customWidth="1"/>
    <col min="21" max="21" width="2.6640625" bestFit="1" customWidth="1"/>
    <col min="22" max="22" width="5" bestFit="1" customWidth="1"/>
    <col min="23" max="23" width="2.44140625" bestFit="1" customWidth="1"/>
    <col min="24" max="24" width="3.77734375" bestFit="1" customWidth="1"/>
  </cols>
  <sheetData>
    <row r="3" spans="1:17" s="72" customFormat="1" ht="22.8">
      <c r="A3" s="241" t="s">
        <v>130</v>
      </c>
      <c r="B3" s="242"/>
      <c r="C3" s="242"/>
      <c r="D3" s="242"/>
      <c r="E3" s="242"/>
      <c r="F3" s="242"/>
      <c r="G3" s="242"/>
      <c r="H3" s="242"/>
      <c r="I3" s="242"/>
      <c r="J3" s="242"/>
      <c r="K3" s="242"/>
      <c r="L3" s="242"/>
      <c r="M3" s="242"/>
      <c r="N3" s="242"/>
      <c r="O3" s="242"/>
      <c r="P3" s="242"/>
      <c r="Q3" s="95"/>
    </row>
    <row r="4" spans="1:17" s="72" customFormat="1" ht="23.4">
      <c r="A4" s="95"/>
      <c r="B4" s="101" t="s">
        <v>131</v>
      </c>
      <c r="C4" s="101" t="s">
        <v>3</v>
      </c>
      <c r="D4" s="102">
        <v>42</v>
      </c>
      <c r="E4" s="103">
        <v>2</v>
      </c>
      <c r="F4" s="101" t="s">
        <v>66</v>
      </c>
      <c r="G4" s="104">
        <v>13.5</v>
      </c>
      <c r="H4" s="103">
        <v>2</v>
      </c>
      <c r="I4" s="101" t="s">
        <v>3</v>
      </c>
      <c r="J4" s="243">
        <f>D4^2+G4^2</f>
        <v>1946.25</v>
      </c>
      <c r="K4" s="243"/>
      <c r="L4" s="243"/>
      <c r="M4" s="95"/>
      <c r="N4" s="95"/>
      <c r="O4" s="95"/>
      <c r="P4" s="95"/>
      <c r="Q4" s="95"/>
    </row>
    <row r="5" spans="1:17" s="72" customFormat="1" ht="22.8">
      <c r="A5" s="95"/>
      <c r="B5" s="101" t="s">
        <v>132</v>
      </c>
      <c r="C5" s="101" t="s">
        <v>3</v>
      </c>
      <c r="D5" s="106">
        <v>5</v>
      </c>
      <c r="E5" s="243" t="s">
        <v>133</v>
      </c>
      <c r="F5" s="243"/>
      <c r="G5" s="244" t="s">
        <v>134</v>
      </c>
      <c r="H5" s="244"/>
      <c r="I5" s="244"/>
      <c r="J5" s="95">
        <v>25</v>
      </c>
      <c r="K5" s="95"/>
      <c r="L5" s="95"/>
      <c r="M5" s="95"/>
      <c r="N5" s="95"/>
      <c r="O5" s="95"/>
      <c r="P5" s="95"/>
      <c r="Q5" s="95"/>
    </row>
    <row r="6" spans="1:17" s="72" customFormat="1" ht="23.4">
      <c r="A6" s="107" t="s">
        <v>135</v>
      </c>
      <c r="B6" s="108" t="s">
        <v>131</v>
      </c>
      <c r="C6" s="101" t="s">
        <v>3</v>
      </c>
      <c r="D6" s="244" t="s">
        <v>136</v>
      </c>
      <c r="E6" s="244"/>
      <c r="F6" s="244"/>
      <c r="G6" s="244"/>
      <c r="H6" s="244"/>
      <c r="I6" s="244"/>
      <c r="J6" s="244"/>
      <c r="K6" s="244"/>
      <c r="L6" s="244"/>
      <c r="M6" s="244"/>
      <c r="N6" s="95"/>
      <c r="O6" s="95"/>
      <c r="P6" s="95"/>
      <c r="Q6" s="95"/>
    </row>
    <row r="7" spans="1:17" s="72" customFormat="1" ht="22.8">
      <c r="A7" s="107" t="s">
        <v>135</v>
      </c>
      <c r="B7" s="102">
        <f>J4</f>
        <v>1946.25</v>
      </c>
      <c r="C7" s="101" t="s">
        <v>3</v>
      </c>
      <c r="D7" s="102">
        <f>D5*2</f>
        <v>10</v>
      </c>
      <c r="E7" s="105" t="s">
        <v>137</v>
      </c>
      <c r="F7" s="101" t="s">
        <v>39</v>
      </c>
      <c r="G7" s="95">
        <f>D5^2</f>
        <v>25</v>
      </c>
      <c r="H7" s="101" t="s">
        <v>66</v>
      </c>
      <c r="I7" s="95">
        <f>J5*2</f>
        <v>50</v>
      </c>
      <c r="J7" s="95" t="s">
        <v>137</v>
      </c>
      <c r="K7" s="101" t="s">
        <v>66</v>
      </c>
      <c r="L7" s="95">
        <f>J5^2</f>
        <v>625</v>
      </c>
      <c r="M7" s="95" t="s">
        <v>3</v>
      </c>
      <c r="N7" s="95">
        <f>D7+I7</f>
        <v>60</v>
      </c>
      <c r="O7" s="95" t="s">
        <v>137</v>
      </c>
      <c r="P7" s="95" t="s">
        <v>66</v>
      </c>
      <c r="Q7" s="95">
        <f>L7-G7</f>
        <v>600</v>
      </c>
    </row>
    <row r="8" spans="1:17" s="72" customFormat="1" ht="22.8">
      <c r="A8" s="107" t="s">
        <v>135</v>
      </c>
      <c r="B8" s="102" t="s">
        <v>137</v>
      </c>
      <c r="C8" s="101" t="s">
        <v>3</v>
      </c>
      <c r="D8" s="240">
        <f>(B7-Q7)/N7</f>
        <v>22.4375</v>
      </c>
      <c r="E8" s="240"/>
      <c r="F8" s="95"/>
      <c r="G8" s="95"/>
      <c r="H8" s="95"/>
      <c r="I8" s="95"/>
      <c r="J8" s="95"/>
      <c r="K8" s="95"/>
      <c r="L8" s="95"/>
      <c r="M8" s="95"/>
      <c r="N8" s="95"/>
      <c r="O8" s="95"/>
      <c r="P8" s="95"/>
      <c r="Q8" s="95"/>
    </row>
    <row r="9" spans="1:17" s="72" customFormat="1" ht="19.2"/>
    <row r="10" spans="1:17" s="72" customFormat="1" ht="19.2"/>
  </sheetData>
  <mergeCells count="6">
    <mergeCell ref="D8:E8"/>
    <mergeCell ref="A3:P3"/>
    <mergeCell ref="J4:L4"/>
    <mergeCell ref="E5:F5"/>
    <mergeCell ref="G5:I5"/>
    <mergeCell ref="D6: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Default</vt:lpstr>
      <vt:lpstr>ThangDung_B</vt:lpstr>
      <vt:lpstr>ThangDung_N</vt:lpstr>
      <vt:lpstr>ThangCuon</vt:lpstr>
      <vt:lpstr>TinhChieuCaoH_KimThuSet</vt:lpstr>
      <vt:lpstr>ChongSet_R QuaCauLan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TranThanhQuy</dc:creator>
  <cp:lastModifiedBy>THANG LE</cp:lastModifiedBy>
  <dcterms:created xsi:type="dcterms:W3CDTF">2023-03-02T07:45:23Z</dcterms:created>
  <dcterms:modified xsi:type="dcterms:W3CDTF">2025-05-14T10:40:36Z</dcterms:modified>
</cp:coreProperties>
</file>